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WH304\Desktop\"/>
    </mc:Choice>
  </mc:AlternateContent>
  <xr:revisionPtr revIDLastSave="0" documentId="13_ncr:1_{754187A3-8E62-4CCC-8A17-0CB145151CD2}" xr6:coauthVersionLast="47" xr6:coauthVersionMax="47" xr10:uidLastSave="{00000000-0000-0000-0000-000000000000}"/>
  <bookViews>
    <workbookView xWindow="-120" yWindow="-120" windowWidth="29040" windowHeight="15990" tabRatio="941" firstSheet="65" activeTab="89" xr2:uid="{00000000-000D-0000-FFFF-FFFF00000000}"/>
  </bookViews>
  <sheets>
    <sheet name="簡報8-1" sheetId="22" state="hidden" r:id="rId1"/>
    <sheet name="簡報9-2" sheetId="23" state="hidden" r:id="rId2"/>
    <sheet name="簡報9-3" sheetId="24" state="hidden" r:id="rId3"/>
    <sheet name="簡報9-4" sheetId="25" state="hidden" r:id="rId4"/>
    <sheet name="簡報9-5" sheetId="26" state="hidden" r:id="rId5"/>
    <sheet name="簡報9-6" sheetId="27" state="hidden" r:id="rId6"/>
    <sheet name="簡報9-7" sheetId="28" state="hidden" r:id="rId7"/>
    <sheet name="簡報8-8" sheetId="29" state="hidden" r:id="rId8"/>
    <sheet name="簡報9-9" sheetId="30" state="hidden" r:id="rId9"/>
    <sheet name="簡報9-10" sheetId="34" state="hidden" r:id="rId10"/>
    <sheet name="簡報9-11" sheetId="32" state="hidden" r:id="rId11"/>
    <sheet name="簡報9-12" sheetId="35" state="hidden" r:id="rId12"/>
    <sheet name="簡報9-13" sheetId="37" state="hidden" r:id="rId13"/>
    <sheet name="簡報9-14" sheetId="38" state="hidden" r:id="rId14"/>
    <sheet name="簡報8-15" sheetId="36" state="hidden" r:id="rId15"/>
    <sheet name="簡報9-16" sheetId="40" state="hidden" r:id="rId16"/>
    <sheet name="簡報9-17" sheetId="41" state="hidden" r:id="rId17"/>
    <sheet name="簡報9-18" sheetId="44" state="hidden" r:id="rId18"/>
    <sheet name="簡報8-19" sheetId="39" state="hidden" r:id="rId19"/>
    <sheet name="簡報9-20" sheetId="43" state="hidden" r:id="rId20"/>
    <sheet name="簡報8-21" sheetId="42" state="hidden" r:id="rId21"/>
    <sheet name="簡報8-22" sheetId="45" state="hidden" r:id="rId22"/>
    <sheet name="簡報8-24" sheetId="49" state="hidden" r:id="rId23"/>
    <sheet name="簡報7-25" sheetId="50" state="hidden" r:id="rId24"/>
    <sheet name="簡報8-26" sheetId="51" state="hidden" r:id="rId25"/>
    <sheet name="簡報8-27" sheetId="52" state="hidden" r:id="rId26"/>
    <sheet name="簡報8-28" sheetId="53" state="hidden" r:id="rId27"/>
    <sheet name="簡報8-29" sheetId="48" state="hidden" r:id="rId28"/>
    <sheet name="簡報8-30" sheetId="46" state="hidden" r:id="rId29"/>
    <sheet name="簡報8-31" sheetId="54" state="hidden" r:id="rId30"/>
    <sheet name="1101" sheetId="2826" r:id="rId31"/>
    <sheet name="1102" sheetId="2827" r:id="rId32"/>
    <sheet name="1103" sheetId="2828" r:id="rId33"/>
    <sheet name="1104" sheetId="2829" r:id="rId34"/>
    <sheet name="1105" sheetId="2830" r:id="rId35"/>
    <sheet name="1106" sheetId="2831" r:id="rId36"/>
    <sheet name="1107" sheetId="2832" r:id="rId37"/>
    <sheet name="1108" sheetId="2833" r:id="rId38"/>
    <sheet name="1109" sheetId="2834" r:id="rId39"/>
    <sheet name="1110" sheetId="2835" r:id="rId40"/>
    <sheet name="1113" sheetId="2836" r:id="rId41"/>
    <sheet name="1114" sheetId="2837" r:id="rId42"/>
    <sheet name="1115" sheetId="2838" r:id="rId43"/>
    <sheet name="1116" sheetId="2839" r:id="rId44"/>
    <sheet name="1117" sheetId="2840" r:id="rId45"/>
    <sheet name="1118" sheetId="2841" r:id="rId46"/>
    <sheet name="1119" sheetId="2842" r:id="rId47"/>
    <sheet name="1120" sheetId="2843" r:id="rId48"/>
    <sheet name="1121" sheetId="2844" r:id="rId49"/>
    <sheet name="1122" sheetId="2845" r:id="rId50"/>
    <sheet name="1123" sheetId="2846" r:id="rId51"/>
    <sheet name="1124" sheetId="2847" r:id="rId52"/>
    <sheet name="1127" sheetId="2848" r:id="rId53"/>
    <sheet name="1128" sheetId="2849" r:id="rId54"/>
    <sheet name="1129" sheetId="2850" r:id="rId55"/>
    <sheet name="1130" sheetId="2851" r:id="rId56"/>
    <sheet name="EX" sheetId="2727" r:id="rId57"/>
    <sheet name="總表" sheetId="325" r:id="rId58"/>
    <sheet name="杯蓋機201" sheetId="7" state="hidden" r:id="rId59"/>
    <sheet name="101" sheetId="2725" r:id="rId60"/>
    <sheet name="102" sheetId="2724" r:id="rId61"/>
    <sheet name="103" sheetId="2723" r:id="rId62"/>
    <sheet name="104" sheetId="2722" r:id="rId63"/>
    <sheet name="105" sheetId="2721" r:id="rId64"/>
    <sheet name="106" sheetId="2720" r:id="rId65"/>
    <sheet name="107" sheetId="2085" r:id="rId66"/>
    <sheet name="501押" sheetId="1553" r:id="rId67"/>
    <sheet name="202" sheetId="2898" r:id="rId68"/>
    <sheet name="203" sheetId="2897" r:id="rId69"/>
    <sheet name="204" sheetId="2896" r:id="rId70"/>
    <sheet name="205" sheetId="2895" r:id="rId71"/>
    <sheet name="206" sheetId="2894" r:id="rId72"/>
    <sheet name="207" sheetId="2893" r:id="rId73"/>
    <sheet name="208" sheetId="2892" r:id="rId74"/>
    <sheet name="209" sheetId="2891" r:id="rId75"/>
    <sheet name="210" sheetId="2890" r:id="rId76"/>
    <sheet name="211" sheetId="2889" r:id="rId77"/>
    <sheet name="301" sheetId="2888" r:id="rId78"/>
    <sheet name="302" sheetId="2887" r:id="rId79"/>
    <sheet name="303" sheetId="2886" r:id="rId80"/>
    <sheet name="304" sheetId="2885" r:id="rId81"/>
    <sheet name="305" sheetId="2884" r:id="rId82"/>
    <sheet name="306" sheetId="2879" r:id="rId83"/>
    <sheet name="501" sheetId="2878" r:id="rId84"/>
    <sheet name="502" sheetId="2864" r:id="rId85"/>
    <sheet name="503" sheetId="2858" r:id="rId86"/>
    <sheet name="印401" sheetId="2716" r:id="rId87"/>
    <sheet name="印402" sheetId="2874" r:id="rId88"/>
    <sheet name="印403" sheetId="2875" r:id="rId89"/>
    <sheet name="印405" sheetId="2876" r:id="rId90"/>
    <sheet name="吸管" sheetId="2719" r:id="rId91"/>
    <sheet name="成型機資料庫" sheetId="2871" r:id="rId92"/>
    <sheet name="印刷機資料庫" sheetId="2883" r:id="rId93"/>
    <sheet name="規格清單" sheetId="2866" r:id="rId94"/>
    <sheet name="2月份產值總表" sheetId="2" state="hidden" r:id="rId95"/>
    <sheet name="2月成型機良率統計表" sheetId="4" state="hidden" r:id="rId96"/>
  </sheets>
  <externalReferences>
    <externalReference r:id="rId97"/>
  </externalReferences>
  <definedNames>
    <definedName name="_xlnm._FilterDatabase" localSheetId="67" hidden="1">'202'!$B$3:$DX$3</definedName>
    <definedName name="_xlnm._FilterDatabase" localSheetId="68" hidden="1">'203'!$B$3:$DX$3</definedName>
    <definedName name="_xlnm._FilterDatabase" localSheetId="69" hidden="1">'204'!$B$3:$DX$3</definedName>
    <definedName name="_xlnm._FilterDatabase" localSheetId="70" hidden="1">'205'!$B$3:$DX$3</definedName>
    <definedName name="_xlnm._FilterDatabase" localSheetId="71" hidden="1">'206'!$B$3:$DX$3</definedName>
    <definedName name="_xlnm._FilterDatabase" localSheetId="72" hidden="1">'207'!$B$3:$DX$3</definedName>
    <definedName name="_xlnm._FilterDatabase" localSheetId="73" hidden="1">'208'!$B$3:$DX$3</definedName>
    <definedName name="_xlnm._FilterDatabase" localSheetId="74" hidden="1">'209'!$B$3:$DX$3</definedName>
    <definedName name="_xlnm._FilterDatabase" localSheetId="75" hidden="1">'210'!$B$3:$DX$3</definedName>
    <definedName name="_xlnm._FilterDatabase" localSheetId="76" hidden="1">'211'!$B$3:$DX$3</definedName>
    <definedName name="_xlnm._FilterDatabase" localSheetId="77" hidden="1">'301'!$B$3:$DX$3</definedName>
    <definedName name="_xlnm._FilterDatabase" localSheetId="78" hidden="1">'302'!$B$3:$DX$3</definedName>
    <definedName name="_xlnm._FilterDatabase" localSheetId="79" hidden="1">'303'!$B$3:$DX$3</definedName>
    <definedName name="_xlnm._FilterDatabase" localSheetId="80" hidden="1">'304'!$B$3:$DX$3</definedName>
    <definedName name="_xlnm._FilterDatabase" localSheetId="81" hidden="1">'305'!$B$3:$DX$3</definedName>
    <definedName name="_xlnm._FilterDatabase" localSheetId="82" hidden="1">'306'!$B$3:$DX$3</definedName>
    <definedName name="_xlnm._FilterDatabase" localSheetId="83" hidden="1">'501'!$B$3:$DX$3</definedName>
    <definedName name="_xlnm._FilterDatabase" localSheetId="84" hidden="1">'502'!$B$3:$DX$3</definedName>
    <definedName name="_xlnm._FilterDatabase" localSheetId="85" hidden="1">'503'!$B$3:$DX$3</definedName>
    <definedName name="_xlnm._FilterDatabase" localSheetId="86" hidden="1">印401!$A$3:$DU$3</definedName>
    <definedName name="_xlnm._FilterDatabase" localSheetId="87" hidden="1">印402!$A$3:$DU$3</definedName>
    <definedName name="_xlnm._FilterDatabase" localSheetId="88" hidden="1">印403!$A$3:$DU$3</definedName>
    <definedName name="_xlnm._FilterDatabase" localSheetId="89" hidden="1">印405!$A$3:$DU$3</definedName>
    <definedName name="_xlnm._FilterDatabase" localSheetId="90" hidden="1">吸管!$A$3:$DP$3</definedName>
    <definedName name="PET透9812" localSheetId="87">印402!#REF!</definedName>
    <definedName name="PET透9812" localSheetId="88">印403!#REF!</definedName>
    <definedName name="PET透9812" localSheetId="89">印405!#REF!</definedName>
    <definedName name="PET透9812">印401!#REF!</definedName>
    <definedName name="_xlnm.Print_Area" localSheetId="56">EX!$A$1:$S$84</definedName>
    <definedName name="杯飲PET透9812" localSheetId="87">印402!#REF!</definedName>
    <definedName name="杯飲PET透9812" localSheetId="88">印403!#REF!</definedName>
    <definedName name="杯飲PET透9812" localSheetId="89">印405!#REF!</definedName>
    <definedName name="杯飲PET透9812">印401!#REF!</definedName>
  </definedNames>
  <calcPr calcId="191029"/>
</workbook>
</file>

<file path=xl/calcChain.xml><?xml version="1.0" encoding="utf-8"?>
<calcChain xmlns="http://schemas.openxmlformats.org/spreadsheetml/2006/main">
  <c r="Q55" i="2878" l="1"/>
  <c r="Q56" i="2878"/>
  <c r="Q57" i="2878"/>
  <c r="Q58" i="2878"/>
  <c r="N58" i="2878" s="1"/>
  <c r="Q59" i="2878"/>
  <c r="Q60" i="2878"/>
  <c r="Q61" i="2878"/>
  <c r="Q62" i="2878"/>
  <c r="N62" i="2878" s="1"/>
  <c r="Q63" i="2878"/>
  <c r="Q64" i="2878"/>
  <c r="Q65" i="2878"/>
  <c r="Q66" i="2878"/>
  <c r="N66" i="2878" s="1"/>
  <c r="Q67" i="2878"/>
  <c r="Q68" i="2878"/>
  <c r="Q69" i="2878"/>
  <c r="Q70" i="2878"/>
  <c r="N70" i="2878" s="1"/>
  <c r="Q71" i="2878"/>
  <c r="Q72" i="2878"/>
  <c r="Q73" i="2878"/>
  <c r="Q74" i="2878"/>
  <c r="N74" i="2878" s="1"/>
  <c r="Q75" i="2878"/>
  <c r="Q76" i="2878"/>
  <c r="Q77" i="2878"/>
  <c r="Q78" i="2878"/>
  <c r="R78" i="2878" s="1"/>
  <c r="S78" i="2878" s="1"/>
  <c r="Q79" i="2878"/>
  <c r="Q80" i="2878"/>
  <c r="Q81" i="2878"/>
  <c r="Q82" i="2878"/>
  <c r="N82" i="2878" s="1"/>
  <c r="Q83" i="2878"/>
  <c r="Q54" i="2878"/>
  <c r="U5" i="2878"/>
  <c r="U6" i="2878"/>
  <c r="U7" i="2878"/>
  <c r="U8" i="2878"/>
  <c r="U9" i="2878"/>
  <c r="U10" i="2878"/>
  <c r="U11" i="2878"/>
  <c r="U12" i="2878"/>
  <c r="U13" i="2878"/>
  <c r="U14" i="2878"/>
  <c r="U15" i="2878"/>
  <c r="U16" i="2878"/>
  <c r="U17" i="2878"/>
  <c r="U18" i="2878"/>
  <c r="U19" i="2878"/>
  <c r="U20" i="2878"/>
  <c r="U21" i="2878"/>
  <c r="U22" i="2878"/>
  <c r="U23" i="2878"/>
  <c r="U24" i="2878"/>
  <c r="U25" i="2878"/>
  <c r="U26" i="2878"/>
  <c r="U27" i="2878"/>
  <c r="U28" i="2878"/>
  <c r="U29" i="2878"/>
  <c r="U30" i="2878"/>
  <c r="U31" i="2878"/>
  <c r="U32" i="2878"/>
  <c r="U33" i="2878"/>
  <c r="U34" i="2878"/>
  <c r="U35" i="2878"/>
  <c r="U36" i="2878"/>
  <c r="U37" i="2878"/>
  <c r="U38" i="2878"/>
  <c r="U39" i="2878"/>
  <c r="U40" i="2878"/>
  <c r="U41" i="2878"/>
  <c r="U42" i="2878"/>
  <c r="U43" i="2878"/>
  <c r="U44" i="2878"/>
  <c r="Q5" i="2878"/>
  <c r="Q6" i="2878"/>
  <c r="Q7" i="2878"/>
  <c r="Q8" i="2878"/>
  <c r="Q9" i="2878"/>
  <c r="Q10" i="2878"/>
  <c r="Q11" i="2878"/>
  <c r="Q12" i="2878"/>
  <c r="R12" i="2878" s="1"/>
  <c r="S12" i="2878" s="1"/>
  <c r="Q13" i="2878"/>
  <c r="Q14" i="2878"/>
  <c r="Q15" i="2878"/>
  <c r="Q16" i="2878"/>
  <c r="R16" i="2878" s="1"/>
  <c r="S16" i="2878" s="1"/>
  <c r="Q17" i="2878"/>
  <c r="Q18" i="2878"/>
  <c r="Q19" i="2878"/>
  <c r="Q20" i="2878"/>
  <c r="Q21" i="2878"/>
  <c r="Q22" i="2878"/>
  <c r="Q23" i="2878"/>
  <c r="Q24" i="2878"/>
  <c r="R24" i="2878" s="1"/>
  <c r="S24" i="2878" s="1"/>
  <c r="Q25" i="2878"/>
  <c r="Q26" i="2878"/>
  <c r="Q27" i="2878"/>
  <c r="Q28" i="2878"/>
  <c r="R28" i="2878" s="1"/>
  <c r="S28" i="2878" s="1"/>
  <c r="Q29" i="2878"/>
  <c r="Q30" i="2878"/>
  <c r="Q31" i="2878"/>
  <c r="Q32" i="2878"/>
  <c r="R32" i="2878" s="1"/>
  <c r="S32" i="2878" s="1"/>
  <c r="Q33" i="2878"/>
  <c r="Q34" i="2878"/>
  <c r="Q35" i="2878"/>
  <c r="Q36" i="2878"/>
  <c r="R36" i="2878" s="1"/>
  <c r="S36" i="2878" s="1"/>
  <c r="Q37" i="2878"/>
  <c r="Q38" i="2878"/>
  <c r="Q39" i="2878"/>
  <c r="Q40" i="2878"/>
  <c r="R40" i="2878" s="1"/>
  <c r="S40" i="2878" s="1"/>
  <c r="Q41" i="2878"/>
  <c r="Q42" i="2878"/>
  <c r="Q43" i="2878"/>
  <c r="Q44" i="2878"/>
  <c r="N44" i="2878" s="1"/>
  <c r="K16" i="2883"/>
  <c r="K15" i="2883"/>
  <c r="K14" i="2883"/>
  <c r="V46" i="2898"/>
  <c r="V47" i="2898"/>
  <c r="V48" i="2898"/>
  <c r="V49" i="2898"/>
  <c r="W49" i="2898" s="1"/>
  <c r="V50" i="2898"/>
  <c r="V51" i="2898"/>
  <c r="V52" i="2898"/>
  <c r="V53" i="2898"/>
  <c r="W53" i="2898" s="1"/>
  <c r="V54" i="2898"/>
  <c r="V55" i="2898"/>
  <c r="V56" i="2898"/>
  <c r="V57" i="2898"/>
  <c r="W57" i="2898" s="1"/>
  <c r="V58" i="2898"/>
  <c r="V59" i="2898"/>
  <c r="V60" i="2898"/>
  <c r="V61" i="2898"/>
  <c r="V62" i="2898"/>
  <c r="V63" i="2898"/>
  <c r="V64" i="2898"/>
  <c r="V65" i="2898"/>
  <c r="W65" i="2898" s="1"/>
  <c r="V66" i="2898"/>
  <c r="V67" i="2898"/>
  <c r="V68" i="2898"/>
  <c r="V69" i="2898"/>
  <c r="W69" i="2898" s="1"/>
  <c r="V70" i="2898"/>
  <c r="V71" i="2898"/>
  <c r="V72" i="2898"/>
  <c r="V73" i="2898"/>
  <c r="W73" i="2898" s="1"/>
  <c r="V74" i="2898"/>
  <c r="V45" i="2898"/>
  <c r="V5" i="2898"/>
  <c r="V6" i="2898"/>
  <c r="V7" i="2898"/>
  <c r="V8" i="2898"/>
  <c r="W8" i="2898" s="1"/>
  <c r="V9" i="2898"/>
  <c r="V10" i="2898"/>
  <c r="V11" i="2898"/>
  <c r="V12" i="2898"/>
  <c r="W12" i="2898" s="1"/>
  <c r="V13" i="2898"/>
  <c r="V14" i="2898"/>
  <c r="V15" i="2898"/>
  <c r="V16" i="2898"/>
  <c r="W16" i="2898" s="1"/>
  <c r="V17" i="2898"/>
  <c r="V18" i="2898"/>
  <c r="V19" i="2898"/>
  <c r="V20" i="2898"/>
  <c r="V21" i="2898"/>
  <c r="V22" i="2898"/>
  <c r="V23" i="2898"/>
  <c r="V24" i="2898"/>
  <c r="W24" i="2898" s="1"/>
  <c r="V25" i="2898"/>
  <c r="V26" i="2898"/>
  <c r="V27" i="2898"/>
  <c r="V28" i="2898"/>
  <c r="V29" i="2898"/>
  <c r="V30" i="2898"/>
  <c r="V31" i="2898"/>
  <c r="V32" i="2898"/>
  <c r="W32" i="2898" s="1"/>
  <c r="V33" i="2898"/>
  <c r="V34" i="2898"/>
  <c r="V35" i="2898"/>
  <c r="V4" i="2898"/>
  <c r="U46" i="2898"/>
  <c r="U47" i="2898"/>
  <c r="U48" i="2898"/>
  <c r="U49" i="2898"/>
  <c r="U50" i="2898"/>
  <c r="U51" i="2898"/>
  <c r="U52" i="2898"/>
  <c r="U53" i="2898"/>
  <c r="U54" i="2898"/>
  <c r="U55" i="2898"/>
  <c r="U56" i="2898"/>
  <c r="U57" i="2898"/>
  <c r="U58" i="2898"/>
  <c r="U59" i="2898"/>
  <c r="U60" i="2898"/>
  <c r="U61" i="2898"/>
  <c r="U62" i="2898"/>
  <c r="U63" i="2898"/>
  <c r="U64" i="2898"/>
  <c r="U65" i="2898"/>
  <c r="U66" i="2898"/>
  <c r="U67" i="2898"/>
  <c r="U68" i="2898"/>
  <c r="U69" i="2898"/>
  <c r="U70" i="2898"/>
  <c r="U71" i="2898"/>
  <c r="U72" i="2898"/>
  <c r="U73" i="2898"/>
  <c r="U74" i="2898"/>
  <c r="U45" i="2898"/>
  <c r="U5" i="2898"/>
  <c r="U6" i="2898"/>
  <c r="U7" i="2898"/>
  <c r="U8" i="2898"/>
  <c r="U9" i="2898"/>
  <c r="U10" i="2898"/>
  <c r="U11" i="2898"/>
  <c r="U12" i="2898"/>
  <c r="U13" i="2898"/>
  <c r="U14" i="2898"/>
  <c r="U15" i="2898"/>
  <c r="U16" i="2898"/>
  <c r="U17" i="2898"/>
  <c r="U18" i="2898"/>
  <c r="U19" i="2898"/>
  <c r="U20" i="2898"/>
  <c r="U21" i="2898"/>
  <c r="U22" i="2898"/>
  <c r="U23" i="2898"/>
  <c r="U24" i="2898"/>
  <c r="U25" i="2898"/>
  <c r="U26" i="2898"/>
  <c r="U27" i="2898"/>
  <c r="U28" i="2898"/>
  <c r="U29" i="2898"/>
  <c r="U30" i="2898"/>
  <c r="U31" i="2898"/>
  <c r="U32" i="2898"/>
  <c r="U33" i="2898"/>
  <c r="U34" i="2898"/>
  <c r="U35" i="2898"/>
  <c r="U4" i="2898"/>
  <c r="T46" i="2898"/>
  <c r="T47" i="2898"/>
  <c r="T48" i="2898"/>
  <c r="T49" i="2898"/>
  <c r="T50" i="2898"/>
  <c r="T51" i="2898"/>
  <c r="T52" i="2898"/>
  <c r="T53" i="2898"/>
  <c r="T54" i="2898"/>
  <c r="T55" i="2898"/>
  <c r="T56" i="2898"/>
  <c r="T57" i="2898"/>
  <c r="T58" i="2898"/>
  <c r="T59" i="2898"/>
  <c r="T60" i="2898"/>
  <c r="T61" i="2898"/>
  <c r="T62" i="2898"/>
  <c r="T63" i="2898"/>
  <c r="T64" i="2898"/>
  <c r="T65" i="2898"/>
  <c r="T66" i="2898"/>
  <c r="T67" i="2898"/>
  <c r="T68" i="2898"/>
  <c r="T69" i="2898"/>
  <c r="T70" i="2898"/>
  <c r="T71" i="2898"/>
  <c r="T72" i="2898"/>
  <c r="T73" i="2898"/>
  <c r="T74" i="2898"/>
  <c r="T45" i="2898"/>
  <c r="T5" i="2898"/>
  <c r="T6" i="2898"/>
  <c r="T7" i="2898"/>
  <c r="T8" i="2898"/>
  <c r="T9" i="2898"/>
  <c r="T10" i="2898"/>
  <c r="T11" i="2898"/>
  <c r="T12" i="2898"/>
  <c r="T13" i="2898"/>
  <c r="T14" i="2898"/>
  <c r="T15" i="2898"/>
  <c r="T16" i="2898"/>
  <c r="T17" i="2898"/>
  <c r="T18" i="2898"/>
  <c r="T19" i="2898"/>
  <c r="T20" i="2898"/>
  <c r="T21" i="2898"/>
  <c r="T22" i="2898"/>
  <c r="T23" i="2898"/>
  <c r="T24" i="2898"/>
  <c r="T25" i="2898"/>
  <c r="T26" i="2898"/>
  <c r="T27" i="2898"/>
  <c r="T28" i="2898"/>
  <c r="T29" i="2898"/>
  <c r="T30" i="2898"/>
  <c r="T31" i="2898"/>
  <c r="T32" i="2898"/>
  <c r="T33" i="2898"/>
  <c r="T34" i="2898"/>
  <c r="T35" i="2898"/>
  <c r="T4" i="2898"/>
  <c r="Q46" i="2898"/>
  <c r="Q47" i="2898"/>
  <c r="Q48" i="2898"/>
  <c r="Q49" i="2898"/>
  <c r="R49" i="2898" s="1"/>
  <c r="S49" i="2898" s="1"/>
  <c r="Q50" i="2898"/>
  <c r="Q51" i="2898"/>
  <c r="Q52" i="2898"/>
  <c r="Q53" i="2898"/>
  <c r="R53" i="2898" s="1"/>
  <c r="S53" i="2898" s="1"/>
  <c r="Q54" i="2898"/>
  <c r="Q55" i="2898"/>
  <c r="Q56" i="2898"/>
  <c r="Q57" i="2898"/>
  <c r="R57" i="2898" s="1"/>
  <c r="S57" i="2898" s="1"/>
  <c r="Q58" i="2898"/>
  <c r="Q59" i="2898"/>
  <c r="Q60" i="2898"/>
  <c r="Q61" i="2898"/>
  <c r="R61" i="2898" s="1"/>
  <c r="S61" i="2898" s="1"/>
  <c r="Q62" i="2898"/>
  <c r="Q63" i="2898"/>
  <c r="Q64" i="2898"/>
  <c r="Q65" i="2898"/>
  <c r="R65" i="2898" s="1"/>
  <c r="S65" i="2898" s="1"/>
  <c r="Q66" i="2898"/>
  <c r="Q67" i="2898"/>
  <c r="Q68" i="2898"/>
  <c r="Q69" i="2898"/>
  <c r="R69" i="2898" s="1"/>
  <c r="S69" i="2898" s="1"/>
  <c r="Q70" i="2898"/>
  <c r="Q71" i="2898"/>
  <c r="Q72" i="2898"/>
  <c r="Q73" i="2898"/>
  <c r="R73" i="2898" s="1"/>
  <c r="S73" i="2898" s="1"/>
  <c r="Q74" i="2898"/>
  <c r="Q45" i="2898"/>
  <c r="Q5" i="2898"/>
  <c r="Q6" i="2898"/>
  <c r="Q7" i="2898"/>
  <c r="Q8" i="2898"/>
  <c r="Q9" i="2898"/>
  <c r="Q10" i="2898"/>
  <c r="Q11" i="2898"/>
  <c r="Q12" i="2898"/>
  <c r="Q13" i="2898"/>
  <c r="Q14" i="2898"/>
  <c r="Q15" i="2898"/>
  <c r="Q16" i="2898"/>
  <c r="Q17" i="2898"/>
  <c r="Q18" i="2898"/>
  <c r="Q19" i="2898"/>
  <c r="Q20" i="2898"/>
  <c r="N20" i="2898" s="1"/>
  <c r="Q21" i="2898"/>
  <c r="Q22" i="2898"/>
  <c r="Q23" i="2898"/>
  <c r="Q24" i="2898"/>
  <c r="N24" i="2898" s="1"/>
  <c r="Q25" i="2898"/>
  <c r="Q26" i="2898"/>
  <c r="Q27" i="2898"/>
  <c r="Q28" i="2898"/>
  <c r="N28" i="2898" s="1"/>
  <c r="Q29" i="2898"/>
  <c r="Q30" i="2898"/>
  <c r="Q31" i="2898"/>
  <c r="Q32" i="2898"/>
  <c r="N32" i="2898" s="1"/>
  <c r="Q33" i="2898"/>
  <c r="Q34" i="2898"/>
  <c r="Q35" i="2898"/>
  <c r="Q4" i="2898"/>
  <c r="V46" i="2897"/>
  <c r="V47" i="2897"/>
  <c r="V48" i="2897"/>
  <c r="V49" i="2897"/>
  <c r="W49" i="2897" s="1"/>
  <c r="V50" i="2897"/>
  <c r="V51" i="2897"/>
  <c r="V52" i="2897"/>
  <c r="V53" i="2897"/>
  <c r="W53" i="2897" s="1"/>
  <c r="V54" i="2897"/>
  <c r="V55" i="2897"/>
  <c r="V56" i="2897"/>
  <c r="V57" i="2897"/>
  <c r="W57" i="2897" s="1"/>
  <c r="V58" i="2897"/>
  <c r="V59" i="2897"/>
  <c r="V60" i="2897"/>
  <c r="V61" i="2897"/>
  <c r="V62" i="2897"/>
  <c r="V63" i="2897"/>
  <c r="V64" i="2897"/>
  <c r="V65" i="2897"/>
  <c r="W65" i="2897" s="1"/>
  <c r="V66" i="2897"/>
  <c r="V67" i="2897"/>
  <c r="V68" i="2897"/>
  <c r="V69" i="2897"/>
  <c r="W69" i="2897" s="1"/>
  <c r="V70" i="2897"/>
  <c r="V71" i="2897"/>
  <c r="V72" i="2897"/>
  <c r="V73" i="2897"/>
  <c r="W73" i="2897" s="1"/>
  <c r="V74" i="2897"/>
  <c r="V45" i="2897"/>
  <c r="V5" i="2897"/>
  <c r="V6" i="2897"/>
  <c r="V7" i="2897"/>
  <c r="V8" i="2897"/>
  <c r="W8" i="2897" s="1"/>
  <c r="V9" i="2897"/>
  <c r="V10" i="2897"/>
  <c r="V11" i="2897"/>
  <c r="V12" i="2897"/>
  <c r="V13" i="2897"/>
  <c r="V14" i="2897"/>
  <c r="V15" i="2897"/>
  <c r="V16" i="2897"/>
  <c r="W16" i="2897" s="1"/>
  <c r="V17" i="2897"/>
  <c r="V18" i="2897"/>
  <c r="V19" i="2897"/>
  <c r="V20" i="2897"/>
  <c r="W20" i="2897" s="1"/>
  <c r="V21" i="2897"/>
  <c r="V22" i="2897"/>
  <c r="V23" i="2897"/>
  <c r="V24" i="2897"/>
  <c r="W24" i="2897" s="1"/>
  <c r="V25" i="2897"/>
  <c r="V26" i="2897"/>
  <c r="V27" i="2897"/>
  <c r="V28" i="2897"/>
  <c r="V29" i="2897"/>
  <c r="V30" i="2897"/>
  <c r="V31" i="2897"/>
  <c r="V32" i="2897"/>
  <c r="W32" i="2897" s="1"/>
  <c r="V33" i="2897"/>
  <c r="V34" i="2897"/>
  <c r="V35" i="2897"/>
  <c r="V4" i="2897"/>
  <c r="U46" i="2897"/>
  <c r="U47" i="2897"/>
  <c r="U48" i="2897"/>
  <c r="U49" i="2897"/>
  <c r="U50" i="2897"/>
  <c r="U51" i="2897"/>
  <c r="U52" i="2897"/>
  <c r="U53" i="2897"/>
  <c r="U54" i="2897"/>
  <c r="U55" i="2897"/>
  <c r="U56" i="2897"/>
  <c r="U57" i="2897"/>
  <c r="U58" i="2897"/>
  <c r="U59" i="2897"/>
  <c r="U60" i="2897"/>
  <c r="U61" i="2897"/>
  <c r="U62" i="2897"/>
  <c r="U63" i="2897"/>
  <c r="U64" i="2897"/>
  <c r="U65" i="2897"/>
  <c r="U66" i="2897"/>
  <c r="U67" i="2897"/>
  <c r="U68" i="2897"/>
  <c r="U69" i="2897"/>
  <c r="U70" i="2897"/>
  <c r="U71" i="2897"/>
  <c r="U72" i="2897"/>
  <c r="U73" i="2897"/>
  <c r="U74" i="2897"/>
  <c r="U45" i="2897"/>
  <c r="U5" i="2897"/>
  <c r="U6" i="2897"/>
  <c r="U7" i="2897"/>
  <c r="U8" i="2897"/>
  <c r="U9" i="2897"/>
  <c r="U10" i="2897"/>
  <c r="U11" i="2897"/>
  <c r="U12" i="2897"/>
  <c r="U13" i="2897"/>
  <c r="U14" i="2897"/>
  <c r="U15" i="2897"/>
  <c r="U16" i="2897"/>
  <c r="U17" i="2897"/>
  <c r="U18" i="2897"/>
  <c r="U19" i="2897"/>
  <c r="U20" i="2897"/>
  <c r="U21" i="2897"/>
  <c r="U22" i="2897"/>
  <c r="U23" i="2897"/>
  <c r="U24" i="2897"/>
  <c r="U25" i="2897"/>
  <c r="U26" i="2897"/>
  <c r="U27" i="2897"/>
  <c r="U28" i="2897"/>
  <c r="U29" i="2897"/>
  <c r="U30" i="2897"/>
  <c r="U31" i="2897"/>
  <c r="U32" i="2897"/>
  <c r="U33" i="2897"/>
  <c r="U34" i="2897"/>
  <c r="U35" i="2897"/>
  <c r="U4" i="2897"/>
  <c r="T46" i="2897"/>
  <c r="T47" i="2897"/>
  <c r="T48" i="2897"/>
  <c r="T49" i="2897"/>
  <c r="T50" i="2897"/>
  <c r="T51" i="2897"/>
  <c r="T52" i="2897"/>
  <c r="T53" i="2897"/>
  <c r="T54" i="2897"/>
  <c r="T55" i="2897"/>
  <c r="T56" i="2897"/>
  <c r="T57" i="2897"/>
  <c r="T58" i="2897"/>
  <c r="T59" i="2897"/>
  <c r="T60" i="2897"/>
  <c r="T61" i="2897"/>
  <c r="T62" i="2897"/>
  <c r="T63" i="2897"/>
  <c r="T64" i="2897"/>
  <c r="T65" i="2897"/>
  <c r="T66" i="2897"/>
  <c r="T67" i="2897"/>
  <c r="T68" i="2897"/>
  <c r="T69" i="2897"/>
  <c r="T70" i="2897"/>
  <c r="T71" i="2897"/>
  <c r="T72" i="2897"/>
  <c r="T73" i="2897"/>
  <c r="T74" i="2897"/>
  <c r="T45" i="2897"/>
  <c r="T5" i="2897"/>
  <c r="T6" i="2897"/>
  <c r="T7" i="2897"/>
  <c r="T8" i="2897"/>
  <c r="T9" i="2897"/>
  <c r="T10" i="2897"/>
  <c r="T11" i="2897"/>
  <c r="T12" i="2897"/>
  <c r="T13" i="2897"/>
  <c r="T14" i="2897"/>
  <c r="T15" i="2897"/>
  <c r="T16" i="2897"/>
  <c r="T17" i="2897"/>
  <c r="T18" i="2897"/>
  <c r="T19" i="2897"/>
  <c r="T20" i="2897"/>
  <c r="T21" i="2897"/>
  <c r="T22" i="2897"/>
  <c r="T23" i="2897"/>
  <c r="T24" i="2897"/>
  <c r="T25" i="2897"/>
  <c r="T26" i="2897"/>
  <c r="T27" i="2897"/>
  <c r="T28" i="2897"/>
  <c r="T29" i="2897"/>
  <c r="T30" i="2897"/>
  <c r="T31" i="2897"/>
  <c r="T32" i="2897"/>
  <c r="T33" i="2897"/>
  <c r="T34" i="2897"/>
  <c r="T35" i="2897"/>
  <c r="T4" i="2897"/>
  <c r="Q46" i="2897"/>
  <c r="Q47" i="2897"/>
  <c r="Q48" i="2897"/>
  <c r="Q49" i="2897"/>
  <c r="R49" i="2897" s="1"/>
  <c r="S49" i="2897" s="1"/>
  <c r="Q50" i="2897"/>
  <c r="Q51" i="2897"/>
  <c r="Q52" i="2897"/>
  <c r="Q53" i="2897"/>
  <c r="R53" i="2897" s="1"/>
  <c r="S53" i="2897" s="1"/>
  <c r="Q54" i="2897"/>
  <c r="Q55" i="2897"/>
  <c r="Q56" i="2897"/>
  <c r="Q57" i="2897"/>
  <c r="R57" i="2897" s="1"/>
  <c r="S57" i="2897" s="1"/>
  <c r="Q58" i="2897"/>
  <c r="Q59" i="2897"/>
  <c r="Q60" i="2897"/>
  <c r="Q61" i="2897"/>
  <c r="R61" i="2897" s="1"/>
  <c r="S61" i="2897" s="1"/>
  <c r="Q62" i="2897"/>
  <c r="Q63" i="2897"/>
  <c r="Q64" i="2897"/>
  <c r="Q65" i="2897"/>
  <c r="R65" i="2897" s="1"/>
  <c r="S65" i="2897" s="1"/>
  <c r="Q66" i="2897"/>
  <c r="Q67" i="2897"/>
  <c r="Q68" i="2897"/>
  <c r="Q69" i="2897"/>
  <c r="R69" i="2897" s="1"/>
  <c r="S69" i="2897" s="1"/>
  <c r="Q70" i="2897"/>
  <c r="Q71" i="2897"/>
  <c r="Q72" i="2897"/>
  <c r="Q73" i="2897"/>
  <c r="R73" i="2897" s="1"/>
  <c r="S73" i="2897" s="1"/>
  <c r="Q74" i="2897"/>
  <c r="Q45" i="2897"/>
  <c r="Q5" i="2897"/>
  <c r="Q6" i="2897"/>
  <c r="Q7" i="2897"/>
  <c r="Q8" i="2897"/>
  <c r="R8" i="2897" s="1"/>
  <c r="S8" i="2897" s="1"/>
  <c r="Q9" i="2897"/>
  <c r="Q10" i="2897"/>
  <c r="Q11" i="2897"/>
  <c r="Q12" i="2897"/>
  <c r="R12" i="2897" s="1"/>
  <c r="S12" i="2897" s="1"/>
  <c r="Q13" i="2897"/>
  <c r="Q14" i="2897"/>
  <c r="Q15" i="2897"/>
  <c r="Q16" i="2897"/>
  <c r="R16" i="2897" s="1"/>
  <c r="S16" i="2897" s="1"/>
  <c r="Q17" i="2897"/>
  <c r="Q18" i="2897"/>
  <c r="Q19" i="2897"/>
  <c r="Q20" i="2897"/>
  <c r="N20" i="2897" s="1"/>
  <c r="Q21" i="2897"/>
  <c r="Q22" i="2897"/>
  <c r="Q23" i="2897"/>
  <c r="Q24" i="2897"/>
  <c r="N24" i="2897" s="1"/>
  <c r="Q25" i="2897"/>
  <c r="Q26" i="2897"/>
  <c r="Q27" i="2897"/>
  <c r="Q28" i="2897"/>
  <c r="N28" i="2897" s="1"/>
  <c r="Q29" i="2897"/>
  <c r="Q30" i="2897"/>
  <c r="Q31" i="2897"/>
  <c r="Q32" i="2897"/>
  <c r="N32" i="2897" s="1"/>
  <c r="Q33" i="2897"/>
  <c r="Q34" i="2897"/>
  <c r="Q35" i="2897"/>
  <c r="Q4" i="2897"/>
  <c r="V57" i="2896"/>
  <c r="V58" i="2896"/>
  <c r="V59" i="2896"/>
  <c r="V60" i="2896"/>
  <c r="W60" i="2896" s="1"/>
  <c r="V61" i="2896"/>
  <c r="V62" i="2896"/>
  <c r="V63" i="2896"/>
  <c r="V64" i="2896"/>
  <c r="W64" i="2896" s="1"/>
  <c r="V65" i="2896"/>
  <c r="V66" i="2896"/>
  <c r="V67" i="2896"/>
  <c r="V68" i="2896"/>
  <c r="W68" i="2896" s="1"/>
  <c r="V69" i="2896"/>
  <c r="V70" i="2896"/>
  <c r="V71" i="2896"/>
  <c r="V72" i="2896"/>
  <c r="W72" i="2896" s="1"/>
  <c r="V73" i="2896"/>
  <c r="V74" i="2896"/>
  <c r="V75" i="2896"/>
  <c r="V76" i="2896"/>
  <c r="W76" i="2896" s="1"/>
  <c r="V77" i="2896"/>
  <c r="V78" i="2896"/>
  <c r="V79" i="2896"/>
  <c r="V80" i="2896"/>
  <c r="W80" i="2896" s="1"/>
  <c r="V81" i="2896"/>
  <c r="V82" i="2896"/>
  <c r="V83" i="2896"/>
  <c r="V84" i="2896"/>
  <c r="V85" i="2896"/>
  <c r="V56" i="2896"/>
  <c r="V16" i="2896"/>
  <c r="V17" i="2896"/>
  <c r="V18" i="2896"/>
  <c r="V19" i="2896"/>
  <c r="W19" i="2896" s="1"/>
  <c r="V20" i="2896"/>
  <c r="V21" i="2896"/>
  <c r="V22" i="2896"/>
  <c r="V23" i="2896"/>
  <c r="W23" i="2896" s="1"/>
  <c r="V24" i="2896"/>
  <c r="V25" i="2896"/>
  <c r="V26" i="2896"/>
  <c r="V27" i="2896"/>
  <c r="W27" i="2896" s="1"/>
  <c r="V28" i="2896"/>
  <c r="V29" i="2896"/>
  <c r="V30" i="2896"/>
  <c r="V31" i="2896"/>
  <c r="W31" i="2896" s="1"/>
  <c r="V32" i="2896"/>
  <c r="V33" i="2896"/>
  <c r="V34" i="2896"/>
  <c r="V35" i="2896"/>
  <c r="W35" i="2896" s="1"/>
  <c r="V36" i="2896"/>
  <c r="V37" i="2896"/>
  <c r="V38" i="2896"/>
  <c r="V39" i="2896"/>
  <c r="W39" i="2896" s="1"/>
  <c r="V40" i="2896"/>
  <c r="V41" i="2896"/>
  <c r="V42" i="2896"/>
  <c r="V43" i="2896"/>
  <c r="V44" i="2896"/>
  <c r="V45" i="2896"/>
  <c r="V46" i="2896"/>
  <c r="V5" i="2896"/>
  <c r="V6" i="2896"/>
  <c r="V7" i="2896"/>
  <c r="V8" i="2896"/>
  <c r="V9" i="2896"/>
  <c r="V10" i="2896"/>
  <c r="V11" i="2896"/>
  <c r="V12" i="2896"/>
  <c r="V13" i="2896"/>
  <c r="V14" i="2896"/>
  <c r="V15" i="2896"/>
  <c r="V4" i="2896"/>
  <c r="U57" i="2896"/>
  <c r="U58" i="2896"/>
  <c r="U59" i="2896"/>
  <c r="U60" i="2896"/>
  <c r="U61" i="2896"/>
  <c r="U62" i="2896"/>
  <c r="U63" i="2896"/>
  <c r="U64" i="2896"/>
  <c r="U65" i="2896"/>
  <c r="U66" i="2896"/>
  <c r="U67" i="2896"/>
  <c r="U68" i="2896"/>
  <c r="U69" i="2896"/>
  <c r="U70" i="2896"/>
  <c r="U71" i="2896"/>
  <c r="U72" i="2896"/>
  <c r="U73" i="2896"/>
  <c r="U74" i="2896"/>
  <c r="U75" i="2896"/>
  <c r="U76" i="2896"/>
  <c r="U77" i="2896"/>
  <c r="U78" i="2896"/>
  <c r="U79" i="2896"/>
  <c r="U80" i="2896"/>
  <c r="U81" i="2896"/>
  <c r="U82" i="2896"/>
  <c r="U83" i="2896"/>
  <c r="U84" i="2896"/>
  <c r="U85" i="2896"/>
  <c r="U56" i="2896"/>
  <c r="U5" i="2896"/>
  <c r="U6" i="2896"/>
  <c r="U7" i="2896"/>
  <c r="U8" i="2896"/>
  <c r="U9" i="2896"/>
  <c r="U10" i="2896"/>
  <c r="U11" i="2896"/>
  <c r="U12" i="2896"/>
  <c r="U13" i="2896"/>
  <c r="U14" i="2896"/>
  <c r="U15" i="2896"/>
  <c r="U16" i="2896"/>
  <c r="U17" i="2896"/>
  <c r="U18" i="2896"/>
  <c r="U19" i="2896"/>
  <c r="U20" i="2896"/>
  <c r="U21" i="2896"/>
  <c r="U22" i="2896"/>
  <c r="U23" i="2896"/>
  <c r="U24" i="2896"/>
  <c r="U25" i="2896"/>
  <c r="U26" i="2896"/>
  <c r="U27" i="2896"/>
  <c r="U28" i="2896"/>
  <c r="U29" i="2896"/>
  <c r="U30" i="2896"/>
  <c r="U31" i="2896"/>
  <c r="U32" i="2896"/>
  <c r="U33" i="2896"/>
  <c r="U34" i="2896"/>
  <c r="U35" i="2896"/>
  <c r="U36" i="2896"/>
  <c r="U37" i="2896"/>
  <c r="U38" i="2896"/>
  <c r="U39" i="2896"/>
  <c r="U40" i="2896"/>
  <c r="U41" i="2896"/>
  <c r="U42" i="2896"/>
  <c r="U43" i="2896"/>
  <c r="U44" i="2896"/>
  <c r="U45" i="2896"/>
  <c r="U46" i="2896"/>
  <c r="U4" i="2896"/>
  <c r="T57" i="2896"/>
  <c r="T58" i="2896"/>
  <c r="T59" i="2896"/>
  <c r="T60" i="2896"/>
  <c r="T61" i="2896"/>
  <c r="T62" i="2896"/>
  <c r="T63" i="2896"/>
  <c r="T64" i="2896"/>
  <c r="T65" i="2896"/>
  <c r="T66" i="2896"/>
  <c r="T67" i="2896"/>
  <c r="T68" i="2896"/>
  <c r="T69" i="2896"/>
  <c r="T70" i="2896"/>
  <c r="T71" i="2896"/>
  <c r="T72" i="2896"/>
  <c r="T73" i="2896"/>
  <c r="T74" i="2896"/>
  <c r="T75" i="2896"/>
  <c r="T76" i="2896"/>
  <c r="T77" i="2896"/>
  <c r="T78" i="2896"/>
  <c r="T79" i="2896"/>
  <c r="T80" i="2896"/>
  <c r="T81" i="2896"/>
  <c r="T82" i="2896"/>
  <c r="T83" i="2896"/>
  <c r="T84" i="2896"/>
  <c r="T85" i="2896"/>
  <c r="T56" i="2896"/>
  <c r="T5" i="2896"/>
  <c r="T6" i="2896"/>
  <c r="T7" i="2896"/>
  <c r="T8" i="2896"/>
  <c r="T9" i="2896"/>
  <c r="T10" i="2896"/>
  <c r="T11" i="2896"/>
  <c r="T12" i="2896"/>
  <c r="T13" i="2896"/>
  <c r="T14" i="2896"/>
  <c r="T15" i="2896"/>
  <c r="T16" i="2896"/>
  <c r="T17" i="2896"/>
  <c r="T18" i="2896"/>
  <c r="T19" i="2896"/>
  <c r="T20" i="2896"/>
  <c r="T21" i="2896"/>
  <c r="T22" i="2896"/>
  <c r="T23" i="2896"/>
  <c r="T24" i="2896"/>
  <c r="T25" i="2896"/>
  <c r="T26" i="2896"/>
  <c r="T27" i="2896"/>
  <c r="T28" i="2896"/>
  <c r="T29" i="2896"/>
  <c r="T30" i="2896"/>
  <c r="T31" i="2896"/>
  <c r="T32" i="2896"/>
  <c r="T33" i="2896"/>
  <c r="T34" i="2896"/>
  <c r="T35" i="2896"/>
  <c r="T36" i="2896"/>
  <c r="T37" i="2896"/>
  <c r="T38" i="2896"/>
  <c r="T39" i="2896"/>
  <c r="T40" i="2896"/>
  <c r="T41" i="2896"/>
  <c r="T42" i="2896"/>
  <c r="T43" i="2896"/>
  <c r="T44" i="2896"/>
  <c r="T45" i="2896"/>
  <c r="T46" i="2896"/>
  <c r="T4" i="2896"/>
  <c r="Q57" i="2896"/>
  <c r="Q58" i="2896"/>
  <c r="Q59" i="2896"/>
  <c r="Q60" i="2896"/>
  <c r="R60" i="2896" s="1"/>
  <c r="S60" i="2896" s="1"/>
  <c r="Q61" i="2896"/>
  <c r="Q62" i="2896"/>
  <c r="Q63" i="2896"/>
  <c r="Q64" i="2896"/>
  <c r="R64" i="2896" s="1"/>
  <c r="S64" i="2896" s="1"/>
  <c r="Q65" i="2896"/>
  <c r="Q66" i="2896"/>
  <c r="Q67" i="2896"/>
  <c r="Q68" i="2896"/>
  <c r="R68" i="2896" s="1"/>
  <c r="S68" i="2896" s="1"/>
  <c r="Q69" i="2896"/>
  <c r="Q70" i="2896"/>
  <c r="Q71" i="2896"/>
  <c r="Q72" i="2896"/>
  <c r="Q73" i="2896"/>
  <c r="Q74" i="2896"/>
  <c r="Q75" i="2896"/>
  <c r="Q76" i="2896"/>
  <c r="Q77" i="2896"/>
  <c r="Q78" i="2896"/>
  <c r="Q79" i="2896"/>
  <c r="Q80" i="2896"/>
  <c r="Q81" i="2896"/>
  <c r="Q82" i="2896"/>
  <c r="Q83" i="2896"/>
  <c r="Q84" i="2896"/>
  <c r="R84" i="2896" s="1"/>
  <c r="S84" i="2896" s="1"/>
  <c r="Q85" i="2896"/>
  <c r="Q56" i="2896"/>
  <c r="Q5" i="2896"/>
  <c r="Q6" i="2896"/>
  <c r="Q7" i="2896"/>
  <c r="Q8" i="2896"/>
  <c r="Q9" i="2896"/>
  <c r="Q10" i="2896"/>
  <c r="Q11" i="2896"/>
  <c r="Q12" i="2896"/>
  <c r="Q13" i="2896"/>
  <c r="Q14" i="2896"/>
  <c r="Q15" i="2896"/>
  <c r="Q16" i="2896"/>
  <c r="Q17" i="2896"/>
  <c r="Q18" i="2896"/>
  <c r="Q19" i="2896"/>
  <c r="Q20" i="2896"/>
  <c r="Q21" i="2896"/>
  <c r="Q22" i="2896"/>
  <c r="Q23" i="2896"/>
  <c r="Q24" i="2896"/>
  <c r="Q25" i="2896"/>
  <c r="Q26" i="2896"/>
  <c r="Q27" i="2896"/>
  <c r="Q28" i="2896"/>
  <c r="Q29" i="2896"/>
  <c r="Q30" i="2896"/>
  <c r="Q31" i="2896"/>
  <c r="Q32" i="2896"/>
  <c r="Q33" i="2896"/>
  <c r="Q34" i="2896"/>
  <c r="Q35" i="2896"/>
  <c r="Q36" i="2896"/>
  <c r="Q37" i="2896"/>
  <c r="Q38" i="2896"/>
  <c r="Q39" i="2896"/>
  <c r="Q40" i="2896"/>
  <c r="N40" i="2896" s="1"/>
  <c r="Q41" i="2896"/>
  <c r="Q42" i="2896"/>
  <c r="Q43" i="2896"/>
  <c r="Q44" i="2896"/>
  <c r="N44" i="2896" s="1"/>
  <c r="Q45" i="2896"/>
  <c r="Q46" i="2896"/>
  <c r="Q4" i="2896"/>
  <c r="V55" i="2895"/>
  <c r="V56" i="2895"/>
  <c r="V57" i="2895"/>
  <c r="V58" i="2895"/>
  <c r="V59" i="2895"/>
  <c r="V60" i="2895"/>
  <c r="V61" i="2895"/>
  <c r="V62" i="2895"/>
  <c r="W62" i="2895" s="1"/>
  <c r="V63" i="2895"/>
  <c r="V64" i="2895"/>
  <c r="V65" i="2895"/>
  <c r="V66" i="2895"/>
  <c r="W66" i="2895" s="1"/>
  <c r="V67" i="2895"/>
  <c r="V68" i="2895"/>
  <c r="V69" i="2895"/>
  <c r="V70" i="2895"/>
  <c r="W70" i="2895" s="1"/>
  <c r="V71" i="2895"/>
  <c r="V72" i="2895"/>
  <c r="V73" i="2895"/>
  <c r="V74" i="2895"/>
  <c r="V75" i="2895"/>
  <c r="V76" i="2895"/>
  <c r="V77" i="2895"/>
  <c r="V78" i="2895"/>
  <c r="W78" i="2895" s="1"/>
  <c r="V79" i="2895"/>
  <c r="V80" i="2895"/>
  <c r="V81" i="2895"/>
  <c r="V82" i="2895"/>
  <c r="W82" i="2895" s="1"/>
  <c r="V83" i="2895"/>
  <c r="V54" i="2895"/>
  <c r="V14" i="2895"/>
  <c r="V15" i="2895"/>
  <c r="V16" i="2895"/>
  <c r="V17" i="2895"/>
  <c r="W17" i="2895" s="1"/>
  <c r="V18" i="2895"/>
  <c r="V19" i="2895"/>
  <c r="V20" i="2895"/>
  <c r="V21" i="2895"/>
  <c r="W21" i="2895" s="1"/>
  <c r="V22" i="2895"/>
  <c r="V23" i="2895"/>
  <c r="V24" i="2895"/>
  <c r="V25" i="2895"/>
  <c r="W25" i="2895" s="1"/>
  <c r="V26" i="2895"/>
  <c r="V27" i="2895"/>
  <c r="V28" i="2895"/>
  <c r="V29" i="2895"/>
  <c r="V30" i="2895"/>
  <c r="V31" i="2895"/>
  <c r="V32" i="2895"/>
  <c r="V33" i="2895"/>
  <c r="W33" i="2895" s="1"/>
  <c r="V34" i="2895"/>
  <c r="V35" i="2895"/>
  <c r="V36" i="2895"/>
  <c r="V37" i="2895"/>
  <c r="W37" i="2895" s="1"/>
  <c r="V38" i="2895"/>
  <c r="V39" i="2895"/>
  <c r="V40" i="2895"/>
  <c r="V41" i="2895"/>
  <c r="W41" i="2895" s="1"/>
  <c r="V42" i="2895"/>
  <c r="V43" i="2895"/>
  <c r="V44" i="2895"/>
  <c r="V5" i="2895"/>
  <c r="V6" i="2895"/>
  <c r="V7" i="2895"/>
  <c r="V8" i="2895"/>
  <c r="V9" i="2895"/>
  <c r="V10" i="2895"/>
  <c r="V11" i="2895"/>
  <c r="V12" i="2895"/>
  <c r="V13" i="2895"/>
  <c r="V4" i="2895"/>
  <c r="U55" i="2895"/>
  <c r="U56" i="2895"/>
  <c r="U57" i="2895"/>
  <c r="U58" i="2895"/>
  <c r="U59" i="2895"/>
  <c r="U60" i="2895"/>
  <c r="U61" i="2895"/>
  <c r="U62" i="2895"/>
  <c r="U63" i="2895"/>
  <c r="U64" i="2895"/>
  <c r="U65" i="2895"/>
  <c r="U66" i="2895"/>
  <c r="U67" i="2895"/>
  <c r="U68" i="2895"/>
  <c r="U69" i="2895"/>
  <c r="U70" i="2895"/>
  <c r="U71" i="2895"/>
  <c r="U72" i="2895"/>
  <c r="U73" i="2895"/>
  <c r="U74" i="2895"/>
  <c r="U75" i="2895"/>
  <c r="U76" i="2895"/>
  <c r="U77" i="2895"/>
  <c r="U78" i="2895"/>
  <c r="U79" i="2895"/>
  <c r="U80" i="2895"/>
  <c r="U81" i="2895"/>
  <c r="U82" i="2895"/>
  <c r="U83" i="2895"/>
  <c r="U54" i="2895"/>
  <c r="U9" i="2895"/>
  <c r="U10" i="2895"/>
  <c r="U11" i="2895"/>
  <c r="U12" i="2895"/>
  <c r="U13" i="2895"/>
  <c r="U14" i="2895"/>
  <c r="U15" i="2895"/>
  <c r="U16" i="2895"/>
  <c r="U17" i="2895"/>
  <c r="U18" i="2895"/>
  <c r="U19" i="2895"/>
  <c r="U20" i="2895"/>
  <c r="U21" i="2895"/>
  <c r="U22" i="2895"/>
  <c r="U23" i="2895"/>
  <c r="U24" i="2895"/>
  <c r="U25" i="2895"/>
  <c r="U26" i="2895"/>
  <c r="U27" i="2895"/>
  <c r="U28" i="2895"/>
  <c r="U29" i="2895"/>
  <c r="U30" i="2895"/>
  <c r="U31" i="2895"/>
  <c r="U32" i="2895"/>
  <c r="U33" i="2895"/>
  <c r="U34" i="2895"/>
  <c r="U35" i="2895"/>
  <c r="U36" i="2895"/>
  <c r="U37" i="2895"/>
  <c r="U38" i="2895"/>
  <c r="U39" i="2895"/>
  <c r="U40" i="2895"/>
  <c r="U41" i="2895"/>
  <c r="U42" i="2895"/>
  <c r="U43" i="2895"/>
  <c r="U44" i="2895"/>
  <c r="U7" i="2895"/>
  <c r="U8" i="2895"/>
  <c r="U5" i="2895"/>
  <c r="U6" i="2895"/>
  <c r="U4" i="2895"/>
  <c r="T55" i="2895"/>
  <c r="T56" i="2895"/>
  <c r="T57" i="2895"/>
  <c r="T58" i="2895"/>
  <c r="T59" i="2895"/>
  <c r="T60" i="2895"/>
  <c r="T61" i="2895"/>
  <c r="T62" i="2895"/>
  <c r="T63" i="2895"/>
  <c r="T64" i="2895"/>
  <c r="T65" i="2895"/>
  <c r="T66" i="2895"/>
  <c r="T67" i="2895"/>
  <c r="T68" i="2895"/>
  <c r="T69" i="2895"/>
  <c r="T70" i="2895"/>
  <c r="T71" i="2895"/>
  <c r="T72" i="2895"/>
  <c r="T73" i="2895"/>
  <c r="T74" i="2895"/>
  <c r="T75" i="2895"/>
  <c r="T76" i="2895"/>
  <c r="T77" i="2895"/>
  <c r="T78" i="2895"/>
  <c r="T79" i="2895"/>
  <c r="T80" i="2895"/>
  <c r="T81" i="2895"/>
  <c r="T82" i="2895"/>
  <c r="T83" i="2895"/>
  <c r="T54" i="2895"/>
  <c r="T9" i="2895"/>
  <c r="T10" i="2895"/>
  <c r="T11" i="2895"/>
  <c r="T12" i="2895"/>
  <c r="T13" i="2895"/>
  <c r="T14" i="2895"/>
  <c r="T15" i="2895"/>
  <c r="T16" i="2895"/>
  <c r="T17" i="2895"/>
  <c r="T18" i="2895"/>
  <c r="T19" i="2895"/>
  <c r="T20" i="2895"/>
  <c r="T21" i="2895"/>
  <c r="T22" i="2895"/>
  <c r="T23" i="2895"/>
  <c r="T24" i="2895"/>
  <c r="T25" i="2895"/>
  <c r="T26" i="2895"/>
  <c r="T27" i="2895"/>
  <c r="T28" i="2895"/>
  <c r="T29" i="2895"/>
  <c r="T30" i="2895"/>
  <c r="T31" i="2895"/>
  <c r="T32" i="2895"/>
  <c r="T33" i="2895"/>
  <c r="T34" i="2895"/>
  <c r="T35" i="2895"/>
  <c r="T36" i="2895"/>
  <c r="T37" i="2895"/>
  <c r="T38" i="2895"/>
  <c r="T39" i="2895"/>
  <c r="T40" i="2895"/>
  <c r="T41" i="2895"/>
  <c r="T42" i="2895"/>
  <c r="T43" i="2895"/>
  <c r="T44" i="2895"/>
  <c r="T7" i="2895"/>
  <c r="T8" i="2895"/>
  <c r="T5" i="2895"/>
  <c r="T6" i="2895"/>
  <c r="T4" i="2895"/>
  <c r="Q55" i="2895"/>
  <c r="Q56" i="2895"/>
  <c r="Q57" i="2895"/>
  <c r="Q58" i="2895"/>
  <c r="R58" i="2895" s="1"/>
  <c r="S58" i="2895" s="1"/>
  <c r="Q59" i="2895"/>
  <c r="Q60" i="2895"/>
  <c r="Q61" i="2895"/>
  <c r="Q62" i="2895"/>
  <c r="R62" i="2895" s="1"/>
  <c r="S62" i="2895" s="1"/>
  <c r="Q63" i="2895"/>
  <c r="Q64" i="2895"/>
  <c r="Q65" i="2895"/>
  <c r="Q66" i="2895"/>
  <c r="R66" i="2895" s="1"/>
  <c r="S66" i="2895" s="1"/>
  <c r="Q67" i="2895"/>
  <c r="Q68" i="2895"/>
  <c r="Q69" i="2895"/>
  <c r="Q70" i="2895"/>
  <c r="R70" i="2895" s="1"/>
  <c r="S70" i="2895" s="1"/>
  <c r="Q71" i="2895"/>
  <c r="Q72" i="2895"/>
  <c r="Q73" i="2895"/>
  <c r="Q74" i="2895"/>
  <c r="R74" i="2895" s="1"/>
  <c r="S74" i="2895" s="1"/>
  <c r="Q75" i="2895"/>
  <c r="Q76" i="2895"/>
  <c r="Q77" i="2895"/>
  <c r="Q78" i="2895"/>
  <c r="R78" i="2895" s="1"/>
  <c r="S78" i="2895" s="1"/>
  <c r="Q79" i="2895"/>
  <c r="Q80" i="2895"/>
  <c r="Q81" i="2895"/>
  <c r="Q82" i="2895"/>
  <c r="R82" i="2895" s="1"/>
  <c r="S82" i="2895" s="1"/>
  <c r="Q83" i="2895"/>
  <c r="Q54" i="2895"/>
  <c r="Q5" i="2895"/>
  <c r="Q6" i="2895"/>
  <c r="Q7" i="2895"/>
  <c r="Q8" i="2895"/>
  <c r="Q9" i="2895"/>
  <c r="Q10" i="2895"/>
  <c r="Q11" i="2895"/>
  <c r="Q12" i="2895"/>
  <c r="Q13" i="2895"/>
  <c r="Q14" i="2895"/>
  <c r="Q15" i="2895"/>
  <c r="Q16" i="2895"/>
  <c r="N16" i="2895" s="1"/>
  <c r="Q17" i="2895"/>
  <c r="Q18" i="2895"/>
  <c r="Q19" i="2895"/>
  <c r="Q20" i="2895"/>
  <c r="N20" i="2895" s="1"/>
  <c r="Q21" i="2895"/>
  <c r="Q22" i="2895"/>
  <c r="Q23" i="2895"/>
  <c r="Q24" i="2895"/>
  <c r="N24" i="2895" s="1"/>
  <c r="Q25" i="2895"/>
  <c r="Q26" i="2895"/>
  <c r="Q27" i="2895"/>
  <c r="Q28" i="2895"/>
  <c r="N28" i="2895" s="1"/>
  <c r="Q29" i="2895"/>
  <c r="Q30" i="2895"/>
  <c r="Q31" i="2895"/>
  <c r="Q32" i="2895"/>
  <c r="N32" i="2895" s="1"/>
  <c r="Q33" i="2895"/>
  <c r="Q34" i="2895"/>
  <c r="Q35" i="2895"/>
  <c r="Q36" i="2895"/>
  <c r="N36" i="2895" s="1"/>
  <c r="Q37" i="2895"/>
  <c r="Q38" i="2895"/>
  <c r="Q39" i="2895"/>
  <c r="Q40" i="2895"/>
  <c r="N40" i="2895" s="1"/>
  <c r="Q41" i="2895"/>
  <c r="Q42" i="2895"/>
  <c r="Q43" i="2895"/>
  <c r="Q44" i="2895"/>
  <c r="N44" i="2895" s="1"/>
  <c r="Q4" i="2895"/>
  <c r="V53" i="2894"/>
  <c r="V54" i="2894"/>
  <c r="V55" i="2894"/>
  <c r="V56" i="2894"/>
  <c r="W56" i="2894" s="1"/>
  <c r="V57" i="2894"/>
  <c r="V58" i="2894"/>
  <c r="V59" i="2894"/>
  <c r="V60" i="2894"/>
  <c r="W60" i="2894" s="1"/>
  <c r="V61" i="2894"/>
  <c r="V62" i="2894"/>
  <c r="V63" i="2894"/>
  <c r="V64" i="2894"/>
  <c r="W64" i="2894" s="1"/>
  <c r="V65" i="2894"/>
  <c r="V66" i="2894"/>
  <c r="V67" i="2894"/>
  <c r="V68" i="2894"/>
  <c r="V69" i="2894"/>
  <c r="V70" i="2894"/>
  <c r="V71" i="2894"/>
  <c r="V72" i="2894"/>
  <c r="W72" i="2894" s="1"/>
  <c r="V73" i="2894"/>
  <c r="V74" i="2894"/>
  <c r="V75" i="2894"/>
  <c r="V76" i="2894"/>
  <c r="W76" i="2894" s="1"/>
  <c r="V77" i="2894"/>
  <c r="V78" i="2894"/>
  <c r="V79" i="2894"/>
  <c r="V80" i="2894"/>
  <c r="W80" i="2894" s="1"/>
  <c r="V81" i="2894"/>
  <c r="V52" i="2894"/>
  <c r="V12" i="2894"/>
  <c r="V13" i="2894"/>
  <c r="V14" i="2894"/>
  <c r="V15" i="2894"/>
  <c r="W15" i="2894" s="1"/>
  <c r="V16" i="2894"/>
  <c r="V17" i="2894"/>
  <c r="V18" i="2894"/>
  <c r="V19" i="2894"/>
  <c r="W19" i="2894" s="1"/>
  <c r="V20" i="2894"/>
  <c r="V21" i="2894"/>
  <c r="V22" i="2894"/>
  <c r="V23" i="2894"/>
  <c r="W23" i="2894" s="1"/>
  <c r="V24" i="2894"/>
  <c r="V25" i="2894"/>
  <c r="V26" i="2894"/>
  <c r="V27" i="2894"/>
  <c r="W27" i="2894" s="1"/>
  <c r="V28" i="2894"/>
  <c r="V29" i="2894"/>
  <c r="V30" i="2894"/>
  <c r="V31" i="2894"/>
  <c r="W31" i="2894" s="1"/>
  <c r="V32" i="2894"/>
  <c r="V33" i="2894"/>
  <c r="V34" i="2894"/>
  <c r="V35" i="2894"/>
  <c r="W35" i="2894" s="1"/>
  <c r="V36" i="2894"/>
  <c r="V37" i="2894"/>
  <c r="V38" i="2894"/>
  <c r="V39" i="2894"/>
  <c r="W39" i="2894" s="1"/>
  <c r="V40" i="2894"/>
  <c r="V41" i="2894"/>
  <c r="V42" i="2894"/>
  <c r="V5" i="2894"/>
  <c r="V6" i="2894"/>
  <c r="V7" i="2894"/>
  <c r="V8" i="2894"/>
  <c r="V9" i="2894"/>
  <c r="V10" i="2894"/>
  <c r="V11" i="2894"/>
  <c r="V4" i="2894"/>
  <c r="U53" i="2894"/>
  <c r="U54" i="2894"/>
  <c r="U55" i="2894"/>
  <c r="U56" i="2894"/>
  <c r="U57" i="2894"/>
  <c r="U58" i="2894"/>
  <c r="U59" i="2894"/>
  <c r="U60" i="2894"/>
  <c r="U61" i="2894"/>
  <c r="U62" i="2894"/>
  <c r="U63" i="2894"/>
  <c r="U64" i="2894"/>
  <c r="U65" i="2894"/>
  <c r="U66" i="2894"/>
  <c r="U67" i="2894"/>
  <c r="U68" i="2894"/>
  <c r="U69" i="2894"/>
  <c r="U70" i="2894"/>
  <c r="U71" i="2894"/>
  <c r="U72" i="2894"/>
  <c r="U73" i="2894"/>
  <c r="U74" i="2894"/>
  <c r="U75" i="2894"/>
  <c r="U76" i="2894"/>
  <c r="U77" i="2894"/>
  <c r="U78" i="2894"/>
  <c r="U79" i="2894"/>
  <c r="U80" i="2894"/>
  <c r="U81" i="2894"/>
  <c r="U52" i="2894"/>
  <c r="U5" i="2894"/>
  <c r="U6" i="2894"/>
  <c r="U7" i="2894"/>
  <c r="U8" i="2894"/>
  <c r="U9" i="2894"/>
  <c r="U10" i="2894"/>
  <c r="U11" i="2894"/>
  <c r="U12" i="2894"/>
  <c r="U13" i="2894"/>
  <c r="U14" i="2894"/>
  <c r="U15" i="2894"/>
  <c r="U16" i="2894"/>
  <c r="U17" i="2894"/>
  <c r="U18" i="2894"/>
  <c r="U19" i="2894"/>
  <c r="U20" i="2894"/>
  <c r="U21" i="2894"/>
  <c r="U22" i="2894"/>
  <c r="U23" i="2894"/>
  <c r="U24" i="2894"/>
  <c r="U25" i="2894"/>
  <c r="U26" i="2894"/>
  <c r="U27" i="2894"/>
  <c r="U28" i="2894"/>
  <c r="U29" i="2894"/>
  <c r="U30" i="2894"/>
  <c r="U31" i="2894"/>
  <c r="U32" i="2894"/>
  <c r="U33" i="2894"/>
  <c r="U34" i="2894"/>
  <c r="U35" i="2894"/>
  <c r="U36" i="2894"/>
  <c r="U37" i="2894"/>
  <c r="U38" i="2894"/>
  <c r="U39" i="2894"/>
  <c r="U40" i="2894"/>
  <c r="U41" i="2894"/>
  <c r="U42" i="2894"/>
  <c r="U4" i="2894"/>
  <c r="T53" i="2894"/>
  <c r="T54" i="2894"/>
  <c r="T55" i="2894"/>
  <c r="T56" i="2894"/>
  <c r="T57" i="2894"/>
  <c r="T58" i="2894"/>
  <c r="T59" i="2894"/>
  <c r="T60" i="2894"/>
  <c r="T61" i="2894"/>
  <c r="T62" i="2894"/>
  <c r="T63" i="2894"/>
  <c r="T64" i="2894"/>
  <c r="T65" i="2894"/>
  <c r="T66" i="2894"/>
  <c r="T67" i="2894"/>
  <c r="T68" i="2894"/>
  <c r="T69" i="2894"/>
  <c r="T70" i="2894"/>
  <c r="T71" i="2894"/>
  <c r="T72" i="2894"/>
  <c r="T73" i="2894"/>
  <c r="T74" i="2894"/>
  <c r="T75" i="2894"/>
  <c r="T76" i="2894"/>
  <c r="T77" i="2894"/>
  <c r="T78" i="2894"/>
  <c r="T79" i="2894"/>
  <c r="T80" i="2894"/>
  <c r="T81" i="2894"/>
  <c r="T52" i="2894"/>
  <c r="T5" i="2894"/>
  <c r="T6" i="2894"/>
  <c r="T7" i="2894"/>
  <c r="T8" i="2894"/>
  <c r="T9" i="2894"/>
  <c r="T10" i="2894"/>
  <c r="T11" i="2894"/>
  <c r="T12" i="2894"/>
  <c r="T13" i="2894"/>
  <c r="T14" i="2894"/>
  <c r="T15" i="2894"/>
  <c r="T16" i="2894"/>
  <c r="T17" i="2894"/>
  <c r="T18" i="2894"/>
  <c r="T19" i="2894"/>
  <c r="T20" i="2894"/>
  <c r="T21" i="2894"/>
  <c r="T22" i="2894"/>
  <c r="T23" i="2894"/>
  <c r="T24" i="2894"/>
  <c r="T25" i="2894"/>
  <c r="T26" i="2894"/>
  <c r="T27" i="2894"/>
  <c r="T28" i="2894"/>
  <c r="T29" i="2894"/>
  <c r="T30" i="2894"/>
  <c r="T31" i="2894"/>
  <c r="T32" i="2894"/>
  <c r="T33" i="2894"/>
  <c r="T34" i="2894"/>
  <c r="T35" i="2894"/>
  <c r="T36" i="2894"/>
  <c r="T37" i="2894"/>
  <c r="T38" i="2894"/>
  <c r="T39" i="2894"/>
  <c r="T40" i="2894"/>
  <c r="T41" i="2894"/>
  <c r="T42" i="2894"/>
  <c r="T4" i="2894"/>
  <c r="Q53" i="2894"/>
  <c r="Q54" i="2894"/>
  <c r="Q55" i="2894"/>
  <c r="Q56" i="2894"/>
  <c r="R56" i="2894" s="1"/>
  <c r="S56" i="2894" s="1"/>
  <c r="Q57" i="2894"/>
  <c r="Q58" i="2894"/>
  <c r="Q59" i="2894"/>
  <c r="Q60" i="2894"/>
  <c r="R60" i="2894" s="1"/>
  <c r="S60" i="2894" s="1"/>
  <c r="Q61" i="2894"/>
  <c r="Q62" i="2894"/>
  <c r="Q63" i="2894"/>
  <c r="Q64" i="2894"/>
  <c r="R64" i="2894" s="1"/>
  <c r="S64" i="2894" s="1"/>
  <c r="Q65" i="2894"/>
  <c r="Q66" i="2894"/>
  <c r="Q67" i="2894"/>
  <c r="Q68" i="2894"/>
  <c r="R68" i="2894" s="1"/>
  <c r="S68" i="2894" s="1"/>
  <c r="Q69" i="2894"/>
  <c r="Q70" i="2894"/>
  <c r="Q71" i="2894"/>
  <c r="Q72" i="2894"/>
  <c r="R72" i="2894" s="1"/>
  <c r="S72" i="2894" s="1"/>
  <c r="Q73" i="2894"/>
  <c r="Q74" i="2894"/>
  <c r="Q75" i="2894"/>
  <c r="Q76" i="2894"/>
  <c r="R76" i="2894" s="1"/>
  <c r="S76" i="2894" s="1"/>
  <c r="Q77" i="2894"/>
  <c r="Q78" i="2894"/>
  <c r="Q79" i="2894"/>
  <c r="Q80" i="2894"/>
  <c r="R80" i="2894" s="1"/>
  <c r="S80" i="2894" s="1"/>
  <c r="Q81" i="2894"/>
  <c r="Q52" i="2894"/>
  <c r="Q5" i="2894"/>
  <c r="Q6" i="2894"/>
  <c r="Q7" i="2894"/>
  <c r="Q8" i="2894"/>
  <c r="Q9" i="2894"/>
  <c r="Q10" i="2894"/>
  <c r="Q11" i="2894"/>
  <c r="Q12" i="2894"/>
  <c r="Q13" i="2894"/>
  <c r="Q14" i="2894"/>
  <c r="Q15" i="2894"/>
  <c r="Q16" i="2894"/>
  <c r="Q17" i="2894"/>
  <c r="Q18" i="2894"/>
  <c r="Q19" i="2894"/>
  <c r="Q20" i="2894"/>
  <c r="Q21" i="2894"/>
  <c r="Q22" i="2894"/>
  <c r="Q23" i="2894"/>
  <c r="Q24" i="2894"/>
  <c r="Q25" i="2894"/>
  <c r="Q26" i="2894"/>
  <c r="Q27" i="2894"/>
  <c r="Q28" i="2894"/>
  <c r="Q29" i="2894"/>
  <c r="Q30" i="2894"/>
  <c r="Q31" i="2894"/>
  <c r="Q32" i="2894"/>
  <c r="Q33" i="2894"/>
  <c r="Q34" i="2894"/>
  <c r="Q35" i="2894"/>
  <c r="Q36" i="2894"/>
  <c r="Q37" i="2894"/>
  <c r="Q38" i="2894"/>
  <c r="Q39" i="2894"/>
  <c r="Q40" i="2894"/>
  <c r="Q41" i="2894"/>
  <c r="Q42" i="2894"/>
  <c r="Q4" i="2894"/>
  <c r="V52" i="2893"/>
  <c r="V53" i="2893"/>
  <c r="V54" i="2893"/>
  <c r="V55" i="2893"/>
  <c r="W55" i="2893" s="1"/>
  <c r="V56" i="2893"/>
  <c r="V57" i="2893"/>
  <c r="V58" i="2893"/>
  <c r="V59" i="2893"/>
  <c r="V60" i="2893"/>
  <c r="V61" i="2893"/>
  <c r="V62" i="2893"/>
  <c r="V63" i="2893"/>
  <c r="W63" i="2893" s="1"/>
  <c r="V64" i="2893"/>
  <c r="V65" i="2893"/>
  <c r="V66" i="2893"/>
  <c r="V67" i="2893"/>
  <c r="W67" i="2893" s="1"/>
  <c r="V68" i="2893"/>
  <c r="V69" i="2893"/>
  <c r="V70" i="2893"/>
  <c r="V71" i="2893"/>
  <c r="W71" i="2893" s="1"/>
  <c r="V72" i="2893"/>
  <c r="V73" i="2893"/>
  <c r="V74" i="2893"/>
  <c r="V75" i="2893"/>
  <c r="V76" i="2893"/>
  <c r="V77" i="2893"/>
  <c r="V78" i="2893"/>
  <c r="V79" i="2893"/>
  <c r="W79" i="2893" s="1"/>
  <c r="V80" i="2893"/>
  <c r="V51" i="2893"/>
  <c r="V11" i="2893"/>
  <c r="V12" i="2893"/>
  <c r="V13" i="2893"/>
  <c r="V14" i="2893"/>
  <c r="V15" i="2893"/>
  <c r="V16" i="2893"/>
  <c r="V17" i="2893"/>
  <c r="V18" i="2893"/>
  <c r="W18" i="2893" s="1"/>
  <c r="V19" i="2893"/>
  <c r="V20" i="2893"/>
  <c r="V21" i="2893"/>
  <c r="V22" i="2893"/>
  <c r="W22" i="2893" s="1"/>
  <c r="V23" i="2893"/>
  <c r="V24" i="2893"/>
  <c r="V25" i="2893"/>
  <c r="V26" i="2893"/>
  <c r="W26" i="2893" s="1"/>
  <c r="V27" i="2893"/>
  <c r="V28" i="2893"/>
  <c r="V29" i="2893"/>
  <c r="V30" i="2893"/>
  <c r="V31" i="2893"/>
  <c r="V32" i="2893"/>
  <c r="V33" i="2893"/>
  <c r="V34" i="2893"/>
  <c r="W34" i="2893" s="1"/>
  <c r="V35" i="2893"/>
  <c r="V36" i="2893"/>
  <c r="V37" i="2893"/>
  <c r="V38" i="2893"/>
  <c r="W38" i="2893" s="1"/>
  <c r="V39" i="2893"/>
  <c r="V40" i="2893"/>
  <c r="V41" i="2893"/>
  <c r="V5" i="2893"/>
  <c r="V6" i="2893"/>
  <c r="V7" i="2893"/>
  <c r="V8" i="2893"/>
  <c r="V9" i="2893"/>
  <c r="V10" i="2893"/>
  <c r="V4" i="2893"/>
  <c r="U52" i="2893"/>
  <c r="U53" i="2893"/>
  <c r="U54" i="2893"/>
  <c r="U55" i="2893"/>
  <c r="U56" i="2893"/>
  <c r="U57" i="2893"/>
  <c r="U58" i="2893"/>
  <c r="U59" i="2893"/>
  <c r="U60" i="2893"/>
  <c r="U61" i="2893"/>
  <c r="U62" i="2893"/>
  <c r="U63" i="2893"/>
  <c r="U64" i="2893"/>
  <c r="U65" i="2893"/>
  <c r="U66" i="2893"/>
  <c r="U67" i="2893"/>
  <c r="U68" i="2893"/>
  <c r="U69" i="2893"/>
  <c r="U70" i="2893"/>
  <c r="U71" i="2893"/>
  <c r="U72" i="2893"/>
  <c r="U73" i="2893"/>
  <c r="U74" i="2893"/>
  <c r="U75" i="2893"/>
  <c r="U76" i="2893"/>
  <c r="U77" i="2893"/>
  <c r="U78" i="2893"/>
  <c r="U79" i="2893"/>
  <c r="U80" i="2893"/>
  <c r="U51" i="2893"/>
  <c r="U5" i="2893"/>
  <c r="U6" i="2893"/>
  <c r="U7" i="2893"/>
  <c r="U8" i="2893"/>
  <c r="U9" i="2893"/>
  <c r="U10" i="2893"/>
  <c r="U11" i="2893"/>
  <c r="U12" i="2893"/>
  <c r="U13" i="2893"/>
  <c r="U14" i="2893"/>
  <c r="U15" i="2893"/>
  <c r="U16" i="2893"/>
  <c r="U17" i="2893"/>
  <c r="U18" i="2893"/>
  <c r="U19" i="2893"/>
  <c r="U20" i="2893"/>
  <c r="U21" i="2893"/>
  <c r="U22" i="2893"/>
  <c r="U23" i="2893"/>
  <c r="U24" i="2893"/>
  <c r="U25" i="2893"/>
  <c r="U26" i="2893"/>
  <c r="U27" i="2893"/>
  <c r="U28" i="2893"/>
  <c r="U29" i="2893"/>
  <c r="U30" i="2893"/>
  <c r="U31" i="2893"/>
  <c r="U32" i="2893"/>
  <c r="U33" i="2893"/>
  <c r="U34" i="2893"/>
  <c r="U35" i="2893"/>
  <c r="U36" i="2893"/>
  <c r="U37" i="2893"/>
  <c r="U38" i="2893"/>
  <c r="U39" i="2893"/>
  <c r="U40" i="2893"/>
  <c r="U41" i="2893"/>
  <c r="U4" i="2893"/>
  <c r="T52" i="2893"/>
  <c r="T53" i="2893"/>
  <c r="T54" i="2893"/>
  <c r="T55" i="2893"/>
  <c r="T56" i="2893"/>
  <c r="T57" i="2893"/>
  <c r="T58" i="2893"/>
  <c r="T59" i="2893"/>
  <c r="T60" i="2893"/>
  <c r="T61" i="2893"/>
  <c r="T62" i="2893"/>
  <c r="T63" i="2893"/>
  <c r="T64" i="2893"/>
  <c r="T65" i="2893"/>
  <c r="T66" i="2893"/>
  <c r="T67" i="2893"/>
  <c r="T68" i="2893"/>
  <c r="T69" i="2893"/>
  <c r="T70" i="2893"/>
  <c r="T71" i="2893"/>
  <c r="T72" i="2893"/>
  <c r="T73" i="2893"/>
  <c r="T74" i="2893"/>
  <c r="T75" i="2893"/>
  <c r="T76" i="2893"/>
  <c r="T77" i="2893"/>
  <c r="T78" i="2893"/>
  <c r="T79" i="2893"/>
  <c r="T80" i="2893"/>
  <c r="T51" i="2893"/>
  <c r="T5" i="2893"/>
  <c r="T6" i="2893"/>
  <c r="T7" i="2893"/>
  <c r="T8" i="2893"/>
  <c r="T9" i="2893"/>
  <c r="T10" i="2893"/>
  <c r="T11" i="2893"/>
  <c r="T12" i="2893"/>
  <c r="T13" i="2893"/>
  <c r="T14" i="2893"/>
  <c r="T15" i="2893"/>
  <c r="T16" i="2893"/>
  <c r="T17" i="2893"/>
  <c r="T18" i="2893"/>
  <c r="T19" i="2893"/>
  <c r="T20" i="2893"/>
  <c r="T21" i="2893"/>
  <c r="T22" i="2893"/>
  <c r="T23" i="2893"/>
  <c r="T24" i="2893"/>
  <c r="T25" i="2893"/>
  <c r="T26" i="2893"/>
  <c r="T27" i="2893"/>
  <c r="T28" i="2893"/>
  <c r="T29" i="2893"/>
  <c r="T30" i="2893"/>
  <c r="T31" i="2893"/>
  <c r="T32" i="2893"/>
  <c r="T33" i="2893"/>
  <c r="T34" i="2893"/>
  <c r="T35" i="2893"/>
  <c r="T36" i="2893"/>
  <c r="T37" i="2893"/>
  <c r="T38" i="2893"/>
  <c r="T39" i="2893"/>
  <c r="T40" i="2893"/>
  <c r="T41" i="2893"/>
  <c r="T4" i="2893"/>
  <c r="Q52" i="2893"/>
  <c r="Q53" i="2893"/>
  <c r="Q54" i="2893"/>
  <c r="Q55" i="2893"/>
  <c r="R55" i="2893" s="1"/>
  <c r="S55" i="2893" s="1"/>
  <c r="Q56" i="2893"/>
  <c r="Q57" i="2893"/>
  <c r="Q58" i="2893"/>
  <c r="Q59" i="2893"/>
  <c r="R59" i="2893" s="1"/>
  <c r="S59" i="2893" s="1"/>
  <c r="Q60" i="2893"/>
  <c r="Q61" i="2893"/>
  <c r="Q62" i="2893"/>
  <c r="Q63" i="2893"/>
  <c r="R63" i="2893" s="1"/>
  <c r="S63" i="2893" s="1"/>
  <c r="Q64" i="2893"/>
  <c r="Q65" i="2893"/>
  <c r="Q66" i="2893"/>
  <c r="Q67" i="2893"/>
  <c r="R67" i="2893" s="1"/>
  <c r="S67" i="2893" s="1"/>
  <c r="Q68" i="2893"/>
  <c r="Q69" i="2893"/>
  <c r="Q70" i="2893"/>
  <c r="Q71" i="2893"/>
  <c r="R71" i="2893" s="1"/>
  <c r="S71" i="2893" s="1"/>
  <c r="Q72" i="2893"/>
  <c r="Q73" i="2893"/>
  <c r="Q74" i="2893"/>
  <c r="Q75" i="2893"/>
  <c r="R75" i="2893" s="1"/>
  <c r="S75" i="2893" s="1"/>
  <c r="Q76" i="2893"/>
  <c r="Q77" i="2893"/>
  <c r="Q78" i="2893"/>
  <c r="Q79" i="2893"/>
  <c r="N79" i="2893" s="1"/>
  <c r="Q80" i="2893"/>
  <c r="Q51" i="2893"/>
  <c r="Q5" i="2893"/>
  <c r="Q6" i="2893"/>
  <c r="Q7" i="2893"/>
  <c r="Q8" i="2893"/>
  <c r="Q9" i="2893"/>
  <c r="Q10" i="2893"/>
  <c r="Q11" i="2893"/>
  <c r="Q12" i="2893"/>
  <c r="N12" i="2893" s="1"/>
  <c r="Q13" i="2893"/>
  <c r="Q14" i="2893"/>
  <c r="Q15" i="2893"/>
  <c r="Q16" i="2893"/>
  <c r="R16" i="2893" s="1"/>
  <c r="S16" i="2893" s="1"/>
  <c r="Q17" i="2893"/>
  <c r="Q18" i="2893"/>
  <c r="Q19" i="2893"/>
  <c r="Q20" i="2893"/>
  <c r="R20" i="2893" s="1"/>
  <c r="S20" i="2893" s="1"/>
  <c r="Q21" i="2893"/>
  <c r="Q22" i="2893"/>
  <c r="Q23" i="2893"/>
  <c r="Q24" i="2893"/>
  <c r="N24" i="2893" s="1"/>
  <c r="Q25" i="2893"/>
  <c r="Q26" i="2893"/>
  <c r="Q27" i="2893"/>
  <c r="Q28" i="2893"/>
  <c r="N28" i="2893" s="1"/>
  <c r="Q29" i="2893"/>
  <c r="Q30" i="2893"/>
  <c r="Q31" i="2893"/>
  <c r="Q32" i="2893"/>
  <c r="N32" i="2893" s="1"/>
  <c r="Q33" i="2893"/>
  <c r="Q34" i="2893"/>
  <c r="Q35" i="2893"/>
  <c r="Q36" i="2893"/>
  <c r="N36" i="2893" s="1"/>
  <c r="Q37" i="2893"/>
  <c r="Q38" i="2893"/>
  <c r="Q39" i="2893"/>
  <c r="Q40" i="2893"/>
  <c r="N40" i="2893" s="1"/>
  <c r="Q41" i="2893"/>
  <c r="Q4" i="2893"/>
  <c r="V52" i="2892"/>
  <c r="V53" i="2892"/>
  <c r="V54" i="2892"/>
  <c r="V55" i="2892"/>
  <c r="W55" i="2892" s="1"/>
  <c r="V56" i="2892"/>
  <c r="V57" i="2892"/>
  <c r="V58" i="2892"/>
  <c r="V59" i="2892"/>
  <c r="W59" i="2892" s="1"/>
  <c r="V60" i="2892"/>
  <c r="V61" i="2892"/>
  <c r="V62" i="2892"/>
  <c r="V63" i="2892"/>
  <c r="W63" i="2892" s="1"/>
  <c r="V64" i="2892"/>
  <c r="V65" i="2892"/>
  <c r="V66" i="2892"/>
  <c r="V67" i="2892"/>
  <c r="V68" i="2892"/>
  <c r="V69" i="2892"/>
  <c r="V70" i="2892"/>
  <c r="V71" i="2892"/>
  <c r="W71" i="2892" s="1"/>
  <c r="V72" i="2892"/>
  <c r="V73" i="2892"/>
  <c r="V74" i="2892"/>
  <c r="V75" i="2892"/>
  <c r="V76" i="2892"/>
  <c r="V77" i="2892"/>
  <c r="V78" i="2892"/>
  <c r="V79" i="2892"/>
  <c r="W79" i="2892" s="1"/>
  <c r="V80" i="2892"/>
  <c r="V51" i="2892"/>
  <c r="V11" i="2892"/>
  <c r="V12" i="2892"/>
  <c r="V13" i="2892"/>
  <c r="V14" i="2892"/>
  <c r="W14" i="2892" s="1"/>
  <c r="V15" i="2892"/>
  <c r="V16" i="2892"/>
  <c r="V17" i="2892"/>
  <c r="V18" i="2892"/>
  <c r="W18" i="2892" s="1"/>
  <c r="V19" i="2892"/>
  <c r="V20" i="2892"/>
  <c r="V21" i="2892"/>
  <c r="V22" i="2892"/>
  <c r="W22" i="2892" s="1"/>
  <c r="V23" i="2892"/>
  <c r="V24" i="2892"/>
  <c r="V25" i="2892"/>
  <c r="V26" i="2892"/>
  <c r="W26" i="2892" s="1"/>
  <c r="V27" i="2892"/>
  <c r="V28" i="2892"/>
  <c r="V29" i="2892"/>
  <c r="V30" i="2892"/>
  <c r="W30" i="2892" s="1"/>
  <c r="V31" i="2892"/>
  <c r="V32" i="2892"/>
  <c r="V33" i="2892"/>
  <c r="V34" i="2892"/>
  <c r="W34" i="2892" s="1"/>
  <c r="V35" i="2892"/>
  <c r="V36" i="2892"/>
  <c r="V37" i="2892"/>
  <c r="V38" i="2892"/>
  <c r="W38" i="2892" s="1"/>
  <c r="V39" i="2892"/>
  <c r="V40" i="2892"/>
  <c r="V41" i="2892"/>
  <c r="V5" i="2892"/>
  <c r="V6" i="2892"/>
  <c r="V7" i="2892"/>
  <c r="V8" i="2892"/>
  <c r="V9" i="2892"/>
  <c r="V10" i="2892"/>
  <c r="V4" i="2892"/>
  <c r="U52" i="2892"/>
  <c r="U53" i="2892"/>
  <c r="U54" i="2892"/>
  <c r="U55" i="2892"/>
  <c r="U56" i="2892"/>
  <c r="U57" i="2892"/>
  <c r="U58" i="2892"/>
  <c r="U59" i="2892"/>
  <c r="U60" i="2892"/>
  <c r="U61" i="2892"/>
  <c r="U62" i="2892"/>
  <c r="U63" i="2892"/>
  <c r="U64" i="2892"/>
  <c r="U65" i="2892"/>
  <c r="U66" i="2892"/>
  <c r="U67" i="2892"/>
  <c r="U68" i="2892"/>
  <c r="U69" i="2892"/>
  <c r="U70" i="2892"/>
  <c r="U71" i="2892"/>
  <c r="U72" i="2892"/>
  <c r="U73" i="2892"/>
  <c r="U74" i="2892"/>
  <c r="U75" i="2892"/>
  <c r="U76" i="2892"/>
  <c r="U77" i="2892"/>
  <c r="U78" i="2892"/>
  <c r="U79" i="2892"/>
  <c r="U80" i="2892"/>
  <c r="U51" i="2892"/>
  <c r="U5" i="2892"/>
  <c r="U6" i="2892"/>
  <c r="U7" i="2892"/>
  <c r="U8" i="2892"/>
  <c r="U9" i="2892"/>
  <c r="U10" i="2892"/>
  <c r="U11" i="2892"/>
  <c r="U12" i="2892"/>
  <c r="U13" i="2892"/>
  <c r="U14" i="2892"/>
  <c r="U15" i="2892"/>
  <c r="U16" i="2892"/>
  <c r="U17" i="2892"/>
  <c r="U18" i="2892"/>
  <c r="U19" i="2892"/>
  <c r="U20" i="2892"/>
  <c r="U21" i="2892"/>
  <c r="U22" i="2892"/>
  <c r="U23" i="2892"/>
  <c r="U24" i="2892"/>
  <c r="U25" i="2892"/>
  <c r="U26" i="2892"/>
  <c r="U27" i="2892"/>
  <c r="U28" i="2892"/>
  <c r="U29" i="2892"/>
  <c r="U30" i="2892"/>
  <c r="U31" i="2892"/>
  <c r="U32" i="2892"/>
  <c r="U33" i="2892"/>
  <c r="U34" i="2892"/>
  <c r="U35" i="2892"/>
  <c r="U36" i="2892"/>
  <c r="U37" i="2892"/>
  <c r="U38" i="2892"/>
  <c r="U39" i="2892"/>
  <c r="U40" i="2892"/>
  <c r="U41" i="2892"/>
  <c r="U4" i="2892"/>
  <c r="T52" i="2892"/>
  <c r="T53" i="2892"/>
  <c r="T54" i="2892"/>
  <c r="T55" i="2892"/>
  <c r="T56" i="2892"/>
  <c r="T57" i="2892"/>
  <c r="T58" i="2892"/>
  <c r="T59" i="2892"/>
  <c r="T60" i="2892"/>
  <c r="T61" i="2892"/>
  <c r="T62" i="2892"/>
  <c r="T63" i="2892"/>
  <c r="T64" i="2892"/>
  <c r="T65" i="2892"/>
  <c r="T66" i="2892"/>
  <c r="T67" i="2892"/>
  <c r="T68" i="2892"/>
  <c r="T69" i="2892"/>
  <c r="T70" i="2892"/>
  <c r="T71" i="2892"/>
  <c r="T72" i="2892"/>
  <c r="T73" i="2892"/>
  <c r="T74" i="2892"/>
  <c r="T75" i="2892"/>
  <c r="T76" i="2892"/>
  <c r="T77" i="2892"/>
  <c r="T78" i="2892"/>
  <c r="T79" i="2892"/>
  <c r="T80" i="2892"/>
  <c r="T51" i="2892"/>
  <c r="T5" i="2892"/>
  <c r="T6" i="2892"/>
  <c r="T7" i="2892"/>
  <c r="T8" i="2892"/>
  <c r="T9" i="2892"/>
  <c r="T10" i="2892"/>
  <c r="T11" i="2892"/>
  <c r="T12" i="2892"/>
  <c r="T13" i="2892"/>
  <c r="T14" i="2892"/>
  <c r="T15" i="2892"/>
  <c r="T16" i="2892"/>
  <c r="T17" i="2892"/>
  <c r="T18" i="2892"/>
  <c r="T19" i="2892"/>
  <c r="T20" i="2892"/>
  <c r="T21" i="2892"/>
  <c r="T22" i="2892"/>
  <c r="T23" i="2892"/>
  <c r="T24" i="2892"/>
  <c r="T25" i="2892"/>
  <c r="T26" i="2892"/>
  <c r="T27" i="2892"/>
  <c r="T28" i="2892"/>
  <c r="T29" i="2892"/>
  <c r="T30" i="2892"/>
  <c r="T31" i="2892"/>
  <c r="T32" i="2892"/>
  <c r="T33" i="2892"/>
  <c r="T34" i="2892"/>
  <c r="T35" i="2892"/>
  <c r="T36" i="2892"/>
  <c r="T37" i="2892"/>
  <c r="T38" i="2892"/>
  <c r="T39" i="2892"/>
  <c r="T40" i="2892"/>
  <c r="T41" i="2892"/>
  <c r="T4" i="2892"/>
  <c r="Q52" i="2892"/>
  <c r="Q53" i="2892"/>
  <c r="Q54" i="2892"/>
  <c r="Q55" i="2892"/>
  <c r="N55" i="2892" s="1"/>
  <c r="Q56" i="2892"/>
  <c r="Q57" i="2892"/>
  <c r="Q58" i="2892"/>
  <c r="Q59" i="2892"/>
  <c r="N59" i="2892" s="1"/>
  <c r="Q60" i="2892"/>
  <c r="Q61" i="2892"/>
  <c r="Q62" i="2892"/>
  <c r="Q63" i="2892"/>
  <c r="N63" i="2892" s="1"/>
  <c r="Q64" i="2892"/>
  <c r="Q65" i="2892"/>
  <c r="Q66" i="2892"/>
  <c r="Q67" i="2892"/>
  <c r="Q68" i="2892"/>
  <c r="Q69" i="2892"/>
  <c r="Q70" i="2892"/>
  <c r="Q71" i="2892"/>
  <c r="N71" i="2892" s="1"/>
  <c r="Q72" i="2892"/>
  <c r="Q73" i="2892"/>
  <c r="Q74" i="2892"/>
  <c r="Q75" i="2892"/>
  <c r="N75" i="2892" s="1"/>
  <c r="Q76" i="2892"/>
  <c r="Q77" i="2892"/>
  <c r="Q78" i="2892"/>
  <c r="Q79" i="2892"/>
  <c r="N79" i="2892" s="1"/>
  <c r="Q80" i="2892"/>
  <c r="Q51" i="2892"/>
  <c r="Q5" i="2892"/>
  <c r="Q6" i="2892"/>
  <c r="Q7" i="2892"/>
  <c r="Q8" i="2892"/>
  <c r="Q9" i="2892"/>
  <c r="Q10" i="2892"/>
  <c r="Q11" i="2892"/>
  <c r="Q12" i="2892"/>
  <c r="Q13" i="2892"/>
  <c r="Q14" i="2892"/>
  <c r="Q15" i="2892"/>
  <c r="Q16" i="2892"/>
  <c r="Q17" i="2892"/>
  <c r="Q18" i="2892"/>
  <c r="Q19" i="2892"/>
  <c r="Q20" i="2892"/>
  <c r="Q21" i="2892"/>
  <c r="Q22" i="2892"/>
  <c r="Q23" i="2892"/>
  <c r="Q24" i="2892"/>
  <c r="Q25" i="2892"/>
  <c r="Q26" i="2892"/>
  <c r="Q27" i="2892"/>
  <c r="Q28" i="2892"/>
  <c r="Q29" i="2892"/>
  <c r="Q30" i="2892"/>
  <c r="Q31" i="2892"/>
  <c r="Q32" i="2892"/>
  <c r="Q33" i="2892"/>
  <c r="Q34" i="2892"/>
  <c r="Q35" i="2892"/>
  <c r="Q36" i="2892"/>
  <c r="Q37" i="2892"/>
  <c r="Q38" i="2892"/>
  <c r="Q39" i="2892"/>
  <c r="Q40" i="2892"/>
  <c r="Q41" i="2892"/>
  <c r="Q4" i="2892"/>
  <c r="V47" i="2891"/>
  <c r="V48" i="2891"/>
  <c r="V49" i="2891"/>
  <c r="V50" i="2891"/>
  <c r="V51" i="2891"/>
  <c r="V52" i="2891"/>
  <c r="V53" i="2891"/>
  <c r="V54" i="2891"/>
  <c r="W54" i="2891" s="1"/>
  <c r="V55" i="2891"/>
  <c r="V56" i="2891"/>
  <c r="V57" i="2891"/>
  <c r="V58" i="2891"/>
  <c r="W58" i="2891" s="1"/>
  <c r="V59" i="2891"/>
  <c r="V60" i="2891"/>
  <c r="V61" i="2891"/>
  <c r="V62" i="2891"/>
  <c r="V63" i="2891"/>
  <c r="V64" i="2891"/>
  <c r="V65" i="2891"/>
  <c r="V66" i="2891"/>
  <c r="W66" i="2891" s="1"/>
  <c r="V67" i="2891"/>
  <c r="V68" i="2891"/>
  <c r="V69" i="2891"/>
  <c r="V70" i="2891"/>
  <c r="W70" i="2891" s="1"/>
  <c r="V71" i="2891"/>
  <c r="V72" i="2891"/>
  <c r="V73" i="2891"/>
  <c r="V74" i="2891"/>
  <c r="W74" i="2891" s="1"/>
  <c r="V75" i="2891"/>
  <c r="V46" i="2891"/>
  <c r="V6" i="2891"/>
  <c r="V7" i="2891"/>
  <c r="V8" i="2891"/>
  <c r="V9" i="2891"/>
  <c r="W9" i="2891" s="1"/>
  <c r="V10" i="2891"/>
  <c r="V11" i="2891"/>
  <c r="V12" i="2891"/>
  <c r="V13" i="2891"/>
  <c r="W13" i="2891" s="1"/>
  <c r="V14" i="2891"/>
  <c r="V15" i="2891"/>
  <c r="V16" i="2891"/>
  <c r="V17" i="2891"/>
  <c r="W17" i="2891" s="1"/>
  <c r="V18" i="2891"/>
  <c r="V19" i="2891"/>
  <c r="V20" i="2891"/>
  <c r="V21" i="2891"/>
  <c r="W21" i="2891" s="1"/>
  <c r="V22" i="2891"/>
  <c r="V23" i="2891"/>
  <c r="V24" i="2891"/>
  <c r="V25" i="2891"/>
  <c r="W25" i="2891" s="1"/>
  <c r="V26" i="2891"/>
  <c r="V27" i="2891"/>
  <c r="V28" i="2891"/>
  <c r="V29" i="2891"/>
  <c r="W29" i="2891" s="1"/>
  <c r="V30" i="2891"/>
  <c r="V31" i="2891"/>
  <c r="V32" i="2891"/>
  <c r="V33" i="2891"/>
  <c r="W33" i="2891" s="1"/>
  <c r="V34" i="2891"/>
  <c r="V35" i="2891"/>
  <c r="V36" i="2891"/>
  <c r="V5" i="2891"/>
  <c r="V4" i="2891"/>
  <c r="U47" i="2891"/>
  <c r="U48" i="2891"/>
  <c r="U49" i="2891"/>
  <c r="U50" i="2891"/>
  <c r="U51" i="2891"/>
  <c r="U52" i="2891"/>
  <c r="U53" i="2891"/>
  <c r="U54" i="2891"/>
  <c r="U55" i="2891"/>
  <c r="U56" i="2891"/>
  <c r="U57" i="2891"/>
  <c r="U58" i="2891"/>
  <c r="U59" i="2891"/>
  <c r="U60" i="2891"/>
  <c r="U61" i="2891"/>
  <c r="U62" i="2891"/>
  <c r="U63" i="2891"/>
  <c r="U64" i="2891"/>
  <c r="U65" i="2891"/>
  <c r="U66" i="2891"/>
  <c r="U67" i="2891"/>
  <c r="U68" i="2891"/>
  <c r="U69" i="2891"/>
  <c r="U70" i="2891"/>
  <c r="U71" i="2891"/>
  <c r="U72" i="2891"/>
  <c r="U73" i="2891"/>
  <c r="U74" i="2891"/>
  <c r="U75" i="2891"/>
  <c r="U46" i="2891"/>
  <c r="U5" i="2891"/>
  <c r="U6" i="2891"/>
  <c r="U7" i="2891"/>
  <c r="U8" i="2891"/>
  <c r="U9" i="2891"/>
  <c r="U10" i="2891"/>
  <c r="U11" i="2891"/>
  <c r="U12" i="2891"/>
  <c r="U13" i="2891"/>
  <c r="U14" i="2891"/>
  <c r="U15" i="2891"/>
  <c r="U16" i="2891"/>
  <c r="U17" i="2891"/>
  <c r="U18" i="2891"/>
  <c r="U19" i="2891"/>
  <c r="U20" i="2891"/>
  <c r="U21" i="2891"/>
  <c r="U22" i="2891"/>
  <c r="U23" i="2891"/>
  <c r="U24" i="2891"/>
  <c r="U25" i="2891"/>
  <c r="U26" i="2891"/>
  <c r="U27" i="2891"/>
  <c r="U28" i="2891"/>
  <c r="U29" i="2891"/>
  <c r="U30" i="2891"/>
  <c r="U31" i="2891"/>
  <c r="U32" i="2891"/>
  <c r="U33" i="2891"/>
  <c r="U34" i="2891"/>
  <c r="U35" i="2891"/>
  <c r="U36" i="2891"/>
  <c r="U4" i="2891"/>
  <c r="T47" i="2891"/>
  <c r="T48" i="2891"/>
  <c r="T49" i="2891"/>
  <c r="T50" i="2891"/>
  <c r="T51" i="2891"/>
  <c r="T52" i="2891"/>
  <c r="T53" i="2891"/>
  <c r="T54" i="2891"/>
  <c r="T55" i="2891"/>
  <c r="T56" i="2891"/>
  <c r="T57" i="2891"/>
  <c r="T58" i="2891"/>
  <c r="T59" i="2891"/>
  <c r="T60" i="2891"/>
  <c r="T61" i="2891"/>
  <c r="T62" i="2891"/>
  <c r="T63" i="2891"/>
  <c r="T64" i="2891"/>
  <c r="T65" i="2891"/>
  <c r="T66" i="2891"/>
  <c r="T67" i="2891"/>
  <c r="T68" i="2891"/>
  <c r="T69" i="2891"/>
  <c r="T70" i="2891"/>
  <c r="T71" i="2891"/>
  <c r="T72" i="2891"/>
  <c r="T73" i="2891"/>
  <c r="T74" i="2891"/>
  <c r="T75" i="2891"/>
  <c r="T46" i="2891"/>
  <c r="T5" i="2891"/>
  <c r="T6" i="2891"/>
  <c r="T7" i="2891"/>
  <c r="T8" i="2891"/>
  <c r="T9" i="2891"/>
  <c r="T10" i="2891"/>
  <c r="T11" i="2891"/>
  <c r="T12" i="2891"/>
  <c r="T13" i="2891"/>
  <c r="T14" i="2891"/>
  <c r="T15" i="2891"/>
  <c r="T16" i="2891"/>
  <c r="T17" i="2891"/>
  <c r="T18" i="2891"/>
  <c r="T19" i="2891"/>
  <c r="T20" i="2891"/>
  <c r="T21" i="2891"/>
  <c r="T22" i="2891"/>
  <c r="T23" i="2891"/>
  <c r="T24" i="2891"/>
  <c r="T25" i="2891"/>
  <c r="T26" i="2891"/>
  <c r="T27" i="2891"/>
  <c r="T28" i="2891"/>
  <c r="T29" i="2891"/>
  <c r="T30" i="2891"/>
  <c r="T31" i="2891"/>
  <c r="T32" i="2891"/>
  <c r="T33" i="2891"/>
  <c r="T34" i="2891"/>
  <c r="T35" i="2891"/>
  <c r="T36" i="2891"/>
  <c r="T4" i="2891"/>
  <c r="Q47" i="2891"/>
  <c r="Q48" i="2891"/>
  <c r="Q49" i="2891"/>
  <c r="Q50" i="2891"/>
  <c r="R50" i="2891" s="1"/>
  <c r="S50" i="2891" s="1"/>
  <c r="Q51" i="2891"/>
  <c r="Q52" i="2891"/>
  <c r="Q53" i="2891"/>
  <c r="Q54" i="2891"/>
  <c r="Q55" i="2891"/>
  <c r="Q56" i="2891"/>
  <c r="Q57" i="2891"/>
  <c r="Q58" i="2891"/>
  <c r="R58" i="2891" s="1"/>
  <c r="S58" i="2891" s="1"/>
  <c r="Q59" i="2891"/>
  <c r="Q60" i="2891"/>
  <c r="Q61" i="2891"/>
  <c r="Q62" i="2891"/>
  <c r="R62" i="2891" s="1"/>
  <c r="S62" i="2891" s="1"/>
  <c r="Q63" i="2891"/>
  <c r="Q64" i="2891"/>
  <c r="Q65" i="2891"/>
  <c r="Q66" i="2891"/>
  <c r="Q67" i="2891"/>
  <c r="Q68" i="2891"/>
  <c r="Q69" i="2891"/>
  <c r="Q70" i="2891"/>
  <c r="Q71" i="2891"/>
  <c r="Q72" i="2891"/>
  <c r="Q73" i="2891"/>
  <c r="Q74" i="2891"/>
  <c r="R74" i="2891" s="1"/>
  <c r="S74" i="2891" s="1"/>
  <c r="Q75" i="2891"/>
  <c r="Q46" i="2891"/>
  <c r="Q5" i="2891"/>
  <c r="Q6" i="2891"/>
  <c r="Q7" i="2891"/>
  <c r="Q8" i="2891"/>
  <c r="N8" i="2891" s="1"/>
  <c r="Q9" i="2891"/>
  <c r="Q10" i="2891"/>
  <c r="Q11" i="2891"/>
  <c r="Q12" i="2891"/>
  <c r="N12" i="2891" s="1"/>
  <c r="Q13" i="2891"/>
  <c r="Q14" i="2891"/>
  <c r="Q15" i="2891"/>
  <c r="Q16" i="2891"/>
  <c r="Q17" i="2891"/>
  <c r="Q18" i="2891"/>
  <c r="Q19" i="2891"/>
  <c r="Q20" i="2891"/>
  <c r="N20" i="2891" s="1"/>
  <c r="Q21" i="2891"/>
  <c r="Q22" i="2891"/>
  <c r="Q23" i="2891"/>
  <c r="Q24" i="2891"/>
  <c r="N24" i="2891" s="1"/>
  <c r="Q25" i="2891"/>
  <c r="Q26" i="2891"/>
  <c r="Q27" i="2891"/>
  <c r="Q28" i="2891"/>
  <c r="N28" i="2891" s="1"/>
  <c r="Q29" i="2891"/>
  <c r="Q30" i="2891"/>
  <c r="Q31" i="2891"/>
  <c r="Q32" i="2891"/>
  <c r="N32" i="2891" s="1"/>
  <c r="Q33" i="2891"/>
  <c r="Q34" i="2891"/>
  <c r="Q35" i="2891"/>
  <c r="Q36" i="2891"/>
  <c r="N36" i="2891" s="1"/>
  <c r="Q4" i="2891"/>
  <c r="V51" i="2890"/>
  <c r="V52" i="2890"/>
  <c r="V53" i="2890"/>
  <c r="V54" i="2890"/>
  <c r="W54" i="2890" s="1"/>
  <c r="V55" i="2890"/>
  <c r="V56" i="2890"/>
  <c r="V57" i="2890"/>
  <c r="V58" i="2890"/>
  <c r="W58" i="2890" s="1"/>
  <c r="V59" i="2890"/>
  <c r="V60" i="2890"/>
  <c r="V61" i="2890"/>
  <c r="V62" i="2890"/>
  <c r="W62" i="2890" s="1"/>
  <c r="V63" i="2890"/>
  <c r="V64" i="2890"/>
  <c r="V65" i="2890"/>
  <c r="V66" i="2890"/>
  <c r="W66" i="2890" s="1"/>
  <c r="V67" i="2890"/>
  <c r="V68" i="2890"/>
  <c r="V69" i="2890"/>
  <c r="V70" i="2890"/>
  <c r="W70" i="2890" s="1"/>
  <c r="V71" i="2890"/>
  <c r="V72" i="2890"/>
  <c r="V73" i="2890"/>
  <c r="V74" i="2890"/>
  <c r="W74" i="2890" s="1"/>
  <c r="V75" i="2890"/>
  <c r="V76" i="2890"/>
  <c r="V77" i="2890"/>
  <c r="V78" i="2890"/>
  <c r="W78" i="2890" s="1"/>
  <c r="V79" i="2890"/>
  <c r="V50" i="2890"/>
  <c r="V7" i="2890"/>
  <c r="V8" i="2890"/>
  <c r="V9" i="2890"/>
  <c r="V10" i="2890"/>
  <c r="V11" i="2890"/>
  <c r="V12" i="2890"/>
  <c r="V13" i="2890"/>
  <c r="W13" i="2890" s="1"/>
  <c r="V14" i="2890"/>
  <c r="W14" i="2890" s="1"/>
  <c r="V15" i="2890"/>
  <c r="V16" i="2890"/>
  <c r="V17" i="2890"/>
  <c r="V18" i="2890"/>
  <c r="W18" i="2890" s="1"/>
  <c r="V19" i="2890"/>
  <c r="V20" i="2890"/>
  <c r="V21" i="2890"/>
  <c r="W21" i="2890" s="1"/>
  <c r="V22" i="2890"/>
  <c r="W22" i="2890" s="1"/>
  <c r="V23" i="2890"/>
  <c r="V24" i="2890"/>
  <c r="V25" i="2890"/>
  <c r="V26" i="2890"/>
  <c r="W26" i="2890" s="1"/>
  <c r="V27" i="2890"/>
  <c r="V28" i="2890"/>
  <c r="V29" i="2890"/>
  <c r="W29" i="2890" s="1"/>
  <c r="V30" i="2890"/>
  <c r="W30" i="2890" s="1"/>
  <c r="V31" i="2890"/>
  <c r="V32" i="2890"/>
  <c r="V33" i="2890"/>
  <c r="V34" i="2890"/>
  <c r="W34" i="2890" s="1"/>
  <c r="V35" i="2890"/>
  <c r="V36" i="2890"/>
  <c r="V37" i="2890"/>
  <c r="V38" i="2890"/>
  <c r="V39" i="2890"/>
  <c r="V40" i="2890"/>
  <c r="V5" i="2890"/>
  <c r="V6" i="2890"/>
  <c r="V4" i="2890"/>
  <c r="U51" i="2890"/>
  <c r="U52" i="2890"/>
  <c r="U53" i="2890"/>
  <c r="U54" i="2890"/>
  <c r="U55" i="2890"/>
  <c r="U56" i="2890"/>
  <c r="U57" i="2890"/>
  <c r="U58" i="2890"/>
  <c r="U59" i="2890"/>
  <c r="U60" i="2890"/>
  <c r="U61" i="2890"/>
  <c r="U62" i="2890"/>
  <c r="U63" i="2890"/>
  <c r="U64" i="2890"/>
  <c r="U65" i="2890"/>
  <c r="U66" i="2890"/>
  <c r="U67" i="2890"/>
  <c r="U68" i="2890"/>
  <c r="U69" i="2890"/>
  <c r="U70" i="2890"/>
  <c r="U71" i="2890"/>
  <c r="U72" i="2890"/>
  <c r="U73" i="2890"/>
  <c r="U74" i="2890"/>
  <c r="U75" i="2890"/>
  <c r="U76" i="2890"/>
  <c r="U77" i="2890"/>
  <c r="U78" i="2890"/>
  <c r="U79" i="2890"/>
  <c r="U50" i="2890"/>
  <c r="U5" i="2890"/>
  <c r="U6" i="2890"/>
  <c r="U7" i="2890"/>
  <c r="U8" i="2890"/>
  <c r="U9" i="2890"/>
  <c r="U10" i="2890"/>
  <c r="U11" i="2890"/>
  <c r="U12" i="2890"/>
  <c r="U13" i="2890"/>
  <c r="U14" i="2890"/>
  <c r="U15" i="2890"/>
  <c r="U16" i="2890"/>
  <c r="U17" i="2890"/>
  <c r="U18" i="2890"/>
  <c r="U19" i="2890"/>
  <c r="U20" i="2890"/>
  <c r="U21" i="2890"/>
  <c r="U22" i="2890"/>
  <c r="U23" i="2890"/>
  <c r="U24" i="2890"/>
  <c r="U25" i="2890"/>
  <c r="U26" i="2890"/>
  <c r="U27" i="2890"/>
  <c r="U28" i="2890"/>
  <c r="U29" i="2890"/>
  <c r="U30" i="2890"/>
  <c r="U31" i="2890"/>
  <c r="U32" i="2890"/>
  <c r="U33" i="2890"/>
  <c r="U34" i="2890"/>
  <c r="U35" i="2890"/>
  <c r="U36" i="2890"/>
  <c r="U37" i="2890"/>
  <c r="U38" i="2890"/>
  <c r="U39" i="2890"/>
  <c r="U40" i="2890"/>
  <c r="U4" i="2890"/>
  <c r="T51" i="2890"/>
  <c r="T52" i="2890"/>
  <c r="T53" i="2890"/>
  <c r="T54" i="2890"/>
  <c r="T55" i="2890"/>
  <c r="T56" i="2890"/>
  <c r="T57" i="2890"/>
  <c r="T58" i="2890"/>
  <c r="T59" i="2890"/>
  <c r="T60" i="2890"/>
  <c r="T61" i="2890"/>
  <c r="T62" i="2890"/>
  <c r="T63" i="2890"/>
  <c r="T64" i="2890"/>
  <c r="T65" i="2890"/>
  <c r="T66" i="2890"/>
  <c r="T67" i="2890"/>
  <c r="T68" i="2890"/>
  <c r="T69" i="2890"/>
  <c r="T70" i="2890"/>
  <c r="T71" i="2890"/>
  <c r="T72" i="2890"/>
  <c r="T73" i="2890"/>
  <c r="T74" i="2890"/>
  <c r="T75" i="2890"/>
  <c r="T76" i="2890"/>
  <c r="T77" i="2890"/>
  <c r="T78" i="2890"/>
  <c r="T79" i="2890"/>
  <c r="T50" i="2890"/>
  <c r="T5" i="2890"/>
  <c r="T6" i="2890"/>
  <c r="T7" i="2890"/>
  <c r="T8" i="2890"/>
  <c r="T9" i="2890"/>
  <c r="T10" i="2890"/>
  <c r="T11" i="2890"/>
  <c r="T12" i="2890"/>
  <c r="T13" i="2890"/>
  <c r="T14" i="2890"/>
  <c r="T15" i="2890"/>
  <c r="T16" i="2890"/>
  <c r="T17" i="2890"/>
  <c r="T18" i="2890"/>
  <c r="T19" i="2890"/>
  <c r="T20" i="2890"/>
  <c r="T21" i="2890"/>
  <c r="T22" i="2890"/>
  <c r="T23" i="2890"/>
  <c r="T24" i="2890"/>
  <c r="T25" i="2890"/>
  <c r="T26" i="2890"/>
  <c r="T27" i="2890"/>
  <c r="T28" i="2890"/>
  <c r="T29" i="2890"/>
  <c r="T30" i="2890"/>
  <c r="T31" i="2890"/>
  <c r="T32" i="2890"/>
  <c r="T33" i="2890"/>
  <c r="T34" i="2890"/>
  <c r="T35" i="2890"/>
  <c r="T36" i="2890"/>
  <c r="T37" i="2890"/>
  <c r="T38" i="2890"/>
  <c r="T39" i="2890"/>
  <c r="T40" i="2890"/>
  <c r="T4" i="2890"/>
  <c r="Q5" i="2890"/>
  <c r="Q6" i="2890"/>
  <c r="Q7" i="2890"/>
  <c r="Q8" i="2890"/>
  <c r="Q9" i="2890"/>
  <c r="Q10" i="2890"/>
  <c r="Q11" i="2890"/>
  <c r="R11" i="2890" s="1"/>
  <c r="Q12" i="2890"/>
  <c r="R12" i="2890" s="1"/>
  <c r="S12" i="2890" s="1"/>
  <c r="Q13" i="2890"/>
  <c r="Q14" i="2890"/>
  <c r="Q15" i="2890"/>
  <c r="Q16" i="2890"/>
  <c r="R16" i="2890" s="1"/>
  <c r="S16" i="2890" s="1"/>
  <c r="Q17" i="2890"/>
  <c r="Q18" i="2890"/>
  <c r="Q19" i="2890"/>
  <c r="R19" i="2890" s="1"/>
  <c r="S19" i="2890" s="1"/>
  <c r="Q20" i="2890"/>
  <c r="R20" i="2890" s="1"/>
  <c r="S20" i="2890" s="1"/>
  <c r="Q21" i="2890"/>
  <c r="Q22" i="2890"/>
  <c r="Q23" i="2890"/>
  <c r="R23" i="2890" s="1"/>
  <c r="S23" i="2890" s="1"/>
  <c r="Q24" i="2890"/>
  <c r="N24" i="2890" s="1"/>
  <c r="Q25" i="2890"/>
  <c r="Q26" i="2890"/>
  <c r="Q27" i="2890"/>
  <c r="N27" i="2890" s="1"/>
  <c r="Q28" i="2890"/>
  <c r="N28" i="2890" s="1"/>
  <c r="Q29" i="2890"/>
  <c r="Q30" i="2890"/>
  <c r="Q31" i="2890"/>
  <c r="N31" i="2890" s="1"/>
  <c r="Q32" i="2890"/>
  <c r="N32" i="2890" s="1"/>
  <c r="Q33" i="2890"/>
  <c r="Q34" i="2890"/>
  <c r="Q35" i="2890"/>
  <c r="Q36" i="2890"/>
  <c r="N36" i="2890" s="1"/>
  <c r="Q37" i="2890"/>
  <c r="Q38" i="2890"/>
  <c r="Q39" i="2890"/>
  <c r="N39" i="2890" s="1"/>
  <c r="Q40" i="2890"/>
  <c r="N40" i="2890" s="1"/>
  <c r="Q51" i="2890"/>
  <c r="Q52" i="2890"/>
  <c r="Q53" i="2890"/>
  <c r="R53" i="2890" s="1"/>
  <c r="S53" i="2890" s="1"/>
  <c r="Q54" i="2890"/>
  <c r="R54" i="2890" s="1"/>
  <c r="S54" i="2890" s="1"/>
  <c r="Q55" i="2890"/>
  <c r="Q56" i="2890"/>
  <c r="Q57" i="2890"/>
  <c r="R57" i="2890" s="1"/>
  <c r="S57" i="2890" s="1"/>
  <c r="Q58" i="2890"/>
  <c r="R58" i="2890" s="1"/>
  <c r="S58" i="2890" s="1"/>
  <c r="Q59" i="2890"/>
  <c r="Q60" i="2890"/>
  <c r="Q61" i="2890"/>
  <c r="R61" i="2890" s="1"/>
  <c r="S61" i="2890" s="1"/>
  <c r="Q62" i="2890"/>
  <c r="R62" i="2890" s="1"/>
  <c r="S62" i="2890" s="1"/>
  <c r="Q63" i="2890"/>
  <c r="Q64" i="2890"/>
  <c r="Q65" i="2890"/>
  <c r="R65" i="2890" s="1"/>
  <c r="S65" i="2890" s="1"/>
  <c r="Q66" i="2890"/>
  <c r="R66" i="2890" s="1"/>
  <c r="S66" i="2890" s="1"/>
  <c r="Q67" i="2890"/>
  <c r="Q68" i="2890"/>
  <c r="Q69" i="2890"/>
  <c r="R69" i="2890" s="1"/>
  <c r="S69" i="2890" s="1"/>
  <c r="Q70" i="2890"/>
  <c r="R70" i="2890" s="1"/>
  <c r="S70" i="2890" s="1"/>
  <c r="Q71" i="2890"/>
  <c r="Q72" i="2890"/>
  <c r="Q73" i="2890"/>
  <c r="R73" i="2890" s="1"/>
  <c r="S73" i="2890" s="1"/>
  <c r="Q74" i="2890"/>
  <c r="R74" i="2890" s="1"/>
  <c r="S74" i="2890" s="1"/>
  <c r="Q75" i="2890"/>
  <c r="Q76" i="2890"/>
  <c r="Q77" i="2890"/>
  <c r="Q78" i="2890"/>
  <c r="N78" i="2890" s="1"/>
  <c r="Q79" i="2890"/>
  <c r="Q50" i="2890"/>
  <c r="Q4" i="2890"/>
  <c r="R4" i="2890" s="1"/>
  <c r="S4" i="2890" s="1"/>
  <c r="V49" i="2889"/>
  <c r="V50" i="2889"/>
  <c r="V51" i="2889"/>
  <c r="V52" i="2889"/>
  <c r="W52" i="2889" s="1"/>
  <c r="V53" i="2889"/>
  <c r="V54" i="2889"/>
  <c r="V55" i="2889"/>
  <c r="V56" i="2889"/>
  <c r="W56" i="2889" s="1"/>
  <c r="V57" i="2889"/>
  <c r="V58" i="2889"/>
  <c r="V59" i="2889"/>
  <c r="V60" i="2889"/>
  <c r="W60" i="2889" s="1"/>
  <c r="V61" i="2889"/>
  <c r="V62" i="2889"/>
  <c r="V63" i="2889"/>
  <c r="V64" i="2889"/>
  <c r="V65" i="2889"/>
  <c r="V66" i="2889"/>
  <c r="V67" i="2889"/>
  <c r="V68" i="2889"/>
  <c r="W68" i="2889" s="1"/>
  <c r="V69" i="2889"/>
  <c r="V70" i="2889"/>
  <c r="V71" i="2889"/>
  <c r="V72" i="2889"/>
  <c r="W72" i="2889" s="1"/>
  <c r="V73" i="2889"/>
  <c r="V74" i="2889"/>
  <c r="V75" i="2889"/>
  <c r="V76" i="2889"/>
  <c r="W76" i="2889" s="1"/>
  <c r="V77" i="2889"/>
  <c r="V48" i="2889"/>
  <c r="V5" i="2889"/>
  <c r="V6" i="2889"/>
  <c r="V7" i="2889"/>
  <c r="V8" i="2889"/>
  <c r="V9" i="2889"/>
  <c r="V10" i="2889"/>
  <c r="V11" i="2889"/>
  <c r="V12" i="2889"/>
  <c r="W12" i="2889" s="1"/>
  <c r="V13" i="2889"/>
  <c r="V14" i="2889"/>
  <c r="V15" i="2889"/>
  <c r="V16" i="2889"/>
  <c r="V17" i="2889"/>
  <c r="V18" i="2889"/>
  <c r="V19" i="2889"/>
  <c r="V20" i="2889"/>
  <c r="W20" i="2889" s="1"/>
  <c r="V21" i="2889"/>
  <c r="V22" i="2889"/>
  <c r="V23" i="2889"/>
  <c r="V24" i="2889"/>
  <c r="W24" i="2889" s="1"/>
  <c r="V25" i="2889"/>
  <c r="V26" i="2889"/>
  <c r="V27" i="2889"/>
  <c r="V28" i="2889"/>
  <c r="W28" i="2889" s="1"/>
  <c r="V29" i="2889"/>
  <c r="V30" i="2889"/>
  <c r="V31" i="2889"/>
  <c r="V32" i="2889"/>
  <c r="V33" i="2889"/>
  <c r="V34" i="2889"/>
  <c r="V35" i="2889"/>
  <c r="V36" i="2889"/>
  <c r="W36" i="2889" s="1"/>
  <c r="V37" i="2889"/>
  <c r="V38" i="2889"/>
  <c r="V4" i="2889"/>
  <c r="U49" i="2889"/>
  <c r="U50" i="2889"/>
  <c r="U51" i="2889"/>
  <c r="U52" i="2889"/>
  <c r="U53" i="2889"/>
  <c r="U54" i="2889"/>
  <c r="U55" i="2889"/>
  <c r="U56" i="2889"/>
  <c r="U57" i="2889"/>
  <c r="U58" i="2889"/>
  <c r="U59" i="2889"/>
  <c r="U60" i="2889"/>
  <c r="U61" i="2889"/>
  <c r="U62" i="2889"/>
  <c r="U63" i="2889"/>
  <c r="U64" i="2889"/>
  <c r="U65" i="2889"/>
  <c r="U66" i="2889"/>
  <c r="U67" i="2889"/>
  <c r="U68" i="2889"/>
  <c r="U69" i="2889"/>
  <c r="U70" i="2889"/>
  <c r="U71" i="2889"/>
  <c r="U72" i="2889"/>
  <c r="U73" i="2889"/>
  <c r="U74" i="2889"/>
  <c r="U75" i="2889"/>
  <c r="U76" i="2889"/>
  <c r="U77" i="2889"/>
  <c r="U48" i="2889"/>
  <c r="U5" i="2889"/>
  <c r="U6" i="2889"/>
  <c r="U7" i="2889"/>
  <c r="U8" i="2889"/>
  <c r="U9" i="2889"/>
  <c r="U10" i="2889"/>
  <c r="U11" i="2889"/>
  <c r="U12" i="2889"/>
  <c r="U13" i="2889"/>
  <c r="U14" i="2889"/>
  <c r="U15" i="2889"/>
  <c r="U16" i="2889"/>
  <c r="U17" i="2889"/>
  <c r="U18" i="2889"/>
  <c r="U19" i="2889"/>
  <c r="U20" i="2889"/>
  <c r="U21" i="2889"/>
  <c r="U22" i="2889"/>
  <c r="U23" i="2889"/>
  <c r="U24" i="2889"/>
  <c r="U25" i="2889"/>
  <c r="U26" i="2889"/>
  <c r="U27" i="2889"/>
  <c r="U28" i="2889"/>
  <c r="U29" i="2889"/>
  <c r="U30" i="2889"/>
  <c r="U31" i="2889"/>
  <c r="U32" i="2889"/>
  <c r="U33" i="2889"/>
  <c r="U34" i="2889"/>
  <c r="U35" i="2889"/>
  <c r="U36" i="2889"/>
  <c r="U37" i="2889"/>
  <c r="U38" i="2889"/>
  <c r="U4" i="2889"/>
  <c r="T49" i="2889"/>
  <c r="T50" i="2889"/>
  <c r="T51" i="2889"/>
  <c r="T52" i="2889"/>
  <c r="T53" i="2889"/>
  <c r="T54" i="2889"/>
  <c r="T55" i="2889"/>
  <c r="T56" i="2889"/>
  <c r="T57" i="2889"/>
  <c r="T58" i="2889"/>
  <c r="T59" i="2889"/>
  <c r="T60" i="2889"/>
  <c r="T61" i="2889"/>
  <c r="T62" i="2889"/>
  <c r="T63" i="2889"/>
  <c r="T64" i="2889"/>
  <c r="T65" i="2889"/>
  <c r="T66" i="2889"/>
  <c r="T67" i="2889"/>
  <c r="T68" i="2889"/>
  <c r="T69" i="2889"/>
  <c r="T70" i="2889"/>
  <c r="T71" i="2889"/>
  <c r="T72" i="2889"/>
  <c r="T73" i="2889"/>
  <c r="T74" i="2889"/>
  <c r="T75" i="2889"/>
  <c r="T76" i="2889"/>
  <c r="T77" i="2889"/>
  <c r="T48" i="2889"/>
  <c r="T5" i="2889"/>
  <c r="T6" i="2889"/>
  <c r="T7" i="2889"/>
  <c r="T8" i="2889"/>
  <c r="T9" i="2889"/>
  <c r="T10" i="2889"/>
  <c r="T11" i="2889"/>
  <c r="T12" i="2889"/>
  <c r="T13" i="2889"/>
  <c r="T14" i="2889"/>
  <c r="T15" i="2889"/>
  <c r="T16" i="2889"/>
  <c r="T17" i="2889"/>
  <c r="T18" i="2889"/>
  <c r="T19" i="2889"/>
  <c r="T20" i="2889"/>
  <c r="T21" i="2889"/>
  <c r="T22" i="2889"/>
  <c r="T23" i="2889"/>
  <c r="T24" i="2889"/>
  <c r="T25" i="2889"/>
  <c r="T26" i="2889"/>
  <c r="T27" i="2889"/>
  <c r="T28" i="2889"/>
  <c r="T29" i="2889"/>
  <c r="T30" i="2889"/>
  <c r="T31" i="2889"/>
  <c r="T32" i="2889"/>
  <c r="T33" i="2889"/>
  <c r="T34" i="2889"/>
  <c r="T35" i="2889"/>
  <c r="T36" i="2889"/>
  <c r="T37" i="2889"/>
  <c r="T38" i="2889"/>
  <c r="T4" i="2889"/>
  <c r="Q49" i="2889"/>
  <c r="Q50" i="2889"/>
  <c r="Q51" i="2889"/>
  <c r="Q52" i="2889"/>
  <c r="R52" i="2889" s="1"/>
  <c r="S52" i="2889" s="1"/>
  <c r="Q53" i="2889"/>
  <c r="Q54" i="2889"/>
  <c r="Q55" i="2889"/>
  <c r="Q56" i="2889"/>
  <c r="R56" i="2889" s="1"/>
  <c r="S56" i="2889" s="1"/>
  <c r="Q57" i="2889"/>
  <c r="Q58" i="2889"/>
  <c r="Q59" i="2889"/>
  <c r="Q60" i="2889"/>
  <c r="R60" i="2889" s="1"/>
  <c r="S60" i="2889" s="1"/>
  <c r="Q61" i="2889"/>
  <c r="Q62" i="2889"/>
  <c r="Q63" i="2889"/>
  <c r="Q64" i="2889"/>
  <c r="R64" i="2889" s="1"/>
  <c r="S64" i="2889" s="1"/>
  <c r="Q65" i="2889"/>
  <c r="Q66" i="2889"/>
  <c r="Q67" i="2889"/>
  <c r="Q68" i="2889"/>
  <c r="R68" i="2889" s="1"/>
  <c r="S68" i="2889" s="1"/>
  <c r="Q69" i="2889"/>
  <c r="Q70" i="2889"/>
  <c r="Q71" i="2889"/>
  <c r="Q72" i="2889"/>
  <c r="R72" i="2889" s="1"/>
  <c r="S72" i="2889" s="1"/>
  <c r="Q73" i="2889"/>
  <c r="Q74" i="2889"/>
  <c r="Q75" i="2889"/>
  <c r="Q76" i="2889"/>
  <c r="N76" i="2889" s="1"/>
  <c r="Q77" i="2889"/>
  <c r="Q48" i="2889"/>
  <c r="Q5" i="2889"/>
  <c r="Q6" i="2889"/>
  <c r="Q7" i="2889"/>
  <c r="Q8" i="2889"/>
  <c r="Q9" i="2889"/>
  <c r="Q10" i="2889"/>
  <c r="Q11" i="2889"/>
  <c r="N11" i="2889" s="1"/>
  <c r="Q12" i="2889"/>
  <c r="Q13" i="2889"/>
  <c r="Q14" i="2889"/>
  <c r="Q15" i="2889"/>
  <c r="N15" i="2889" s="1"/>
  <c r="Q16" i="2889"/>
  <c r="N16" i="2889" s="1"/>
  <c r="Q17" i="2889"/>
  <c r="Q18" i="2889"/>
  <c r="Q19" i="2889"/>
  <c r="N19" i="2889" s="1"/>
  <c r="Q20" i="2889"/>
  <c r="Q21" i="2889"/>
  <c r="Q22" i="2889"/>
  <c r="Q23" i="2889"/>
  <c r="N23" i="2889" s="1"/>
  <c r="Q24" i="2889"/>
  <c r="Q25" i="2889"/>
  <c r="Q26" i="2889"/>
  <c r="Q27" i="2889"/>
  <c r="N27" i="2889" s="1"/>
  <c r="Q28" i="2889"/>
  <c r="Q29" i="2889"/>
  <c r="Q30" i="2889"/>
  <c r="Q31" i="2889"/>
  <c r="N31" i="2889" s="1"/>
  <c r="Q32" i="2889"/>
  <c r="Q33" i="2889"/>
  <c r="Q34" i="2889"/>
  <c r="Q35" i="2889"/>
  <c r="N35" i="2889" s="1"/>
  <c r="Q36" i="2889"/>
  <c r="Q37" i="2889"/>
  <c r="Q38" i="2889"/>
  <c r="Q4" i="2889"/>
  <c r="V53" i="2888"/>
  <c r="V54" i="2888"/>
  <c r="V55" i="2888"/>
  <c r="V56" i="2888"/>
  <c r="W56" i="2888" s="1"/>
  <c r="V57" i="2888"/>
  <c r="V58" i="2888"/>
  <c r="V59" i="2888"/>
  <c r="V60" i="2888"/>
  <c r="W60" i="2888" s="1"/>
  <c r="V61" i="2888"/>
  <c r="V62" i="2888"/>
  <c r="V63" i="2888"/>
  <c r="V64" i="2888"/>
  <c r="V65" i="2888"/>
  <c r="V66" i="2888"/>
  <c r="V67" i="2888"/>
  <c r="V68" i="2888"/>
  <c r="W68" i="2888" s="1"/>
  <c r="V69" i="2888"/>
  <c r="V70" i="2888"/>
  <c r="V71" i="2888"/>
  <c r="V72" i="2888"/>
  <c r="W72" i="2888" s="1"/>
  <c r="V73" i="2888"/>
  <c r="V74" i="2888"/>
  <c r="V75" i="2888"/>
  <c r="V76" i="2888"/>
  <c r="W76" i="2888" s="1"/>
  <c r="V77" i="2888"/>
  <c r="V78" i="2888"/>
  <c r="V79" i="2888"/>
  <c r="V80" i="2888"/>
  <c r="V81" i="2888"/>
  <c r="V52" i="2888"/>
  <c r="V11" i="2888"/>
  <c r="V12" i="2888"/>
  <c r="V13" i="2888"/>
  <c r="V14" i="2888"/>
  <c r="W14" i="2888" s="1"/>
  <c r="V15" i="2888"/>
  <c r="V16" i="2888"/>
  <c r="V17" i="2888"/>
  <c r="V18" i="2888"/>
  <c r="V19" i="2888"/>
  <c r="V20" i="2888"/>
  <c r="V21" i="2888"/>
  <c r="V22" i="2888"/>
  <c r="W22" i="2888" s="1"/>
  <c r="V23" i="2888"/>
  <c r="V24" i="2888"/>
  <c r="V25" i="2888"/>
  <c r="V26" i="2888"/>
  <c r="W26" i="2888" s="1"/>
  <c r="V27" i="2888"/>
  <c r="V28" i="2888"/>
  <c r="V29" i="2888"/>
  <c r="V30" i="2888"/>
  <c r="W30" i="2888" s="1"/>
  <c r="V31" i="2888"/>
  <c r="V32" i="2888"/>
  <c r="V33" i="2888"/>
  <c r="V34" i="2888"/>
  <c r="V35" i="2888"/>
  <c r="V36" i="2888"/>
  <c r="V37" i="2888"/>
  <c r="V38" i="2888"/>
  <c r="W38" i="2888" s="1"/>
  <c r="V39" i="2888"/>
  <c r="V40" i="2888"/>
  <c r="V41" i="2888"/>
  <c r="V42" i="2888"/>
  <c r="W42" i="2888" s="1"/>
  <c r="V9" i="2888"/>
  <c r="V10" i="2888"/>
  <c r="V5" i="2888"/>
  <c r="V6" i="2888"/>
  <c r="V7" i="2888"/>
  <c r="V8" i="2888"/>
  <c r="V4" i="2888"/>
  <c r="U53" i="2888"/>
  <c r="U54" i="2888"/>
  <c r="U55" i="2888"/>
  <c r="U56" i="2888"/>
  <c r="U57" i="2888"/>
  <c r="U58" i="2888"/>
  <c r="U59" i="2888"/>
  <c r="U60" i="2888"/>
  <c r="U61" i="2888"/>
  <c r="U62" i="2888"/>
  <c r="U63" i="2888"/>
  <c r="U64" i="2888"/>
  <c r="U65" i="2888"/>
  <c r="U66" i="2888"/>
  <c r="U67" i="2888"/>
  <c r="U68" i="2888"/>
  <c r="U69" i="2888"/>
  <c r="U70" i="2888"/>
  <c r="U71" i="2888"/>
  <c r="U72" i="2888"/>
  <c r="U73" i="2888"/>
  <c r="U74" i="2888"/>
  <c r="U75" i="2888"/>
  <c r="U76" i="2888"/>
  <c r="U77" i="2888"/>
  <c r="U78" i="2888"/>
  <c r="U79" i="2888"/>
  <c r="U80" i="2888"/>
  <c r="U81" i="2888"/>
  <c r="U52" i="2888"/>
  <c r="U5" i="2888"/>
  <c r="U6" i="2888"/>
  <c r="U7" i="2888"/>
  <c r="U8" i="2888"/>
  <c r="U9" i="2888"/>
  <c r="U10" i="2888"/>
  <c r="U11" i="2888"/>
  <c r="U12" i="2888"/>
  <c r="U13" i="2888"/>
  <c r="U14" i="2888"/>
  <c r="U15" i="2888"/>
  <c r="U16" i="2888"/>
  <c r="U17" i="2888"/>
  <c r="U18" i="2888"/>
  <c r="U19" i="2888"/>
  <c r="U20" i="2888"/>
  <c r="U21" i="2888"/>
  <c r="U22" i="2888"/>
  <c r="U23" i="2888"/>
  <c r="U24" i="2888"/>
  <c r="U25" i="2888"/>
  <c r="U26" i="2888"/>
  <c r="U27" i="2888"/>
  <c r="U28" i="2888"/>
  <c r="U29" i="2888"/>
  <c r="U30" i="2888"/>
  <c r="U31" i="2888"/>
  <c r="U32" i="2888"/>
  <c r="U33" i="2888"/>
  <c r="U34" i="2888"/>
  <c r="U35" i="2888"/>
  <c r="U36" i="2888"/>
  <c r="U37" i="2888"/>
  <c r="U38" i="2888"/>
  <c r="U39" i="2888"/>
  <c r="U40" i="2888"/>
  <c r="U41" i="2888"/>
  <c r="U42" i="2888"/>
  <c r="U4" i="2888"/>
  <c r="T53" i="2888"/>
  <c r="T54" i="2888"/>
  <c r="T55" i="2888"/>
  <c r="T56" i="2888"/>
  <c r="T57" i="2888"/>
  <c r="T58" i="2888"/>
  <c r="T59" i="2888"/>
  <c r="T60" i="2888"/>
  <c r="T61" i="2888"/>
  <c r="T62" i="2888"/>
  <c r="T63" i="2888"/>
  <c r="T64" i="2888"/>
  <c r="T65" i="2888"/>
  <c r="T66" i="2888"/>
  <c r="T67" i="2888"/>
  <c r="T68" i="2888"/>
  <c r="T69" i="2888"/>
  <c r="T70" i="2888"/>
  <c r="T71" i="2888"/>
  <c r="T72" i="2888"/>
  <c r="T73" i="2888"/>
  <c r="T74" i="2888"/>
  <c r="T75" i="2888"/>
  <c r="T76" i="2888"/>
  <c r="T77" i="2888"/>
  <c r="T78" i="2888"/>
  <c r="T79" i="2888"/>
  <c r="T80" i="2888"/>
  <c r="T81" i="2888"/>
  <c r="T52" i="2888"/>
  <c r="T5" i="2888"/>
  <c r="T6" i="2888"/>
  <c r="T7" i="2888"/>
  <c r="T8" i="2888"/>
  <c r="T9" i="2888"/>
  <c r="T10" i="2888"/>
  <c r="T11" i="2888"/>
  <c r="T12" i="2888"/>
  <c r="T13" i="2888"/>
  <c r="T14" i="2888"/>
  <c r="T15" i="2888"/>
  <c r="T16" i="2888"/>
  <c r="T17" i="2888"/>
  <c r="T18" i="2888"/>
  <c r="T19" i="2888"/>
  <c r="T20" i="2888"/>
  <c r="T21" i="2888"/>
  <c r="T22" i="2888"/>
  <c r="T23" i="2888"/>
  <c r="T24" i="2888"/>
  <c r="T25" i="2888"/>
  <c r="T26" i="2888"/>
  <c r="T27" i="2888"/>
  <c r="T28" i="2888"/>
  <c r="T29" i="2888"/>
  <c r="T30" i="2888"/>
  <c r="T31" i="2888"/>
  <c r="T32" i="2888"/>
  <c r="T33" i="2888"/>
  <c r="T34" i="2888"/>
  <c r="T35" i="2888"/>
  <c r="T36" i="2888"/>
  <c r="T37" i="2888"/>
  <c r="T38" i="2888"/>
  <c r="T39" i="2888"/>
  <c r="T40" i="2888"/>
  <c r="T41" i="2888"/>
  <c r="T42" i="2888"/>
  <c r="T4" i="2888"/>
  <c r="Q53" i="2888"/>
  <c r="Q54" i="2888"/>
  <c r="Q55" i="2888"/>
  <c r="Q56" i="2888"/>
  <c r="R56" i="2888" s="1"/>
  <c r="S56" i="2888" s="1"/>
  <c r="Q57" i="2888"/>
  <c r="Q58" i="2888"/>
  <c r="Q59" i="2888"/>
  <c r="Q60" i="2888"/>
  <c r="R60" i="2888" s="1"/>
  <c r="S60" i="2888" s="1"/>
  <c r="Q61" i="2888"/>
  <c r="Q62" i="2888"/>
  <c r="Q63" i="2888"/>
  <c r="Q64" i="2888"/>
  <c r="R64" i="2888" s="1"/>
  <c r="S64" i="2888" s="1"/>
  <c r="Q65" i="2888"/>
  <c r="Q66" i="2888"/>
  <c r="Q67" i="2888"/>
  <c r="Q68" i="2888"/>
  <c r="R68" i="2888" s="1"/>
  <c r="S68" i="2888" s="1"/>
  <c r="Q69" i="2888"/>
  <c r="Q70" i="2888"/>
  <c r="Q71" i="2888"/>
  <c r="Q72" i="2888"/>
  <c r="R72" i="2888" s="1"/>
  <c r="S72" i="2888" s="1"/>
  <c r="Q73" i="2888"/>
  <c r="Q74" i="2888"/>
  <c r="Q75" i="2888"/>
  <c r="Q76" i="2888"/>
  <c r="R76" i="2888" s="1"/>
  <c r="S76" i="2888" s="1"/>
  <c r="Q77" i="2888"/>
  <c r="Q78" i="2888"/>
  <c r="Q79" i="2888"/>
  <c r="Q80" i="2888"/>
  <c r="R80" i="2888" s="1"/>
  <c r="S80" i="2888" s="1"/>
  <c r="Q81" i="2888"/>
  <c r="Q52" i="2888"/>
  <c r="Q5" i="2888"/>
  <c r="Q6" i="2888"/>
  <c r="Q7" i="2888"/>
  <c r="Q8" i="2888"/>
  <c r="Q9" i="2888"/>
  <c r="Q10" i="2888"/>
  <c r="Q11" i="2888"/>
  <c r="Q12" i="2888"/>
  <c r="Q13" i="2888"/>
  <c r="Q14" i="2888"/>
  <c r="Q15" i="2888"/>
  <c r="Q16" i="2888"/>
  <c r="R16" i="2888" s="1"/>
  <c r="S16" i="2888" s="1"/>
  <c r="Q17" i="2888"/>
  <c r="Q18" i="2888"/>
  <c r="Q19" i="2888"/>
  <c r="Q20" i="2888"/>
  <c r="R20" i="2888" s="1"/>
  <c r="S20" i="2888" s="1"/>
  <c r="Q21" i="2888"/>
  <c r="Q22" i="2888"/>
  <c r="Q23" i="2888"/>
  <c r="Q24" i="2888"/>
  <c r="R24" i="2888" s="1"/>
  <c r="S24" i="2888" s="1"/>
  <c r="Q25" i="2888"/>
  <c r="Q26" i="2888"/>
  <c r="Q27" i="2888"/>
  <c r="Q28" i="2888"/>
  <c r="N28" i="2888" s="1"/>
  <c r="Q29" i="2888"/>
  <c r="Q30" i="2888"/>
  <c r="Q31" i="2888"/>
  <c r="Q32" i="2888"/>
  <c r="N32" i="2888" s="1"/>
  <c r="Q33" i="2888"/>
  <c r="Q34" i="2888"/>
  <c r="Q35" i="2888"/>
  <c r="Q36" i="2888"/>
  <c r="N36" i="2888" s="1"/>
  <c r="Q37" i="2888"/>
  <c r="Q38" i="2888"/>
  <c r="Q39" i="2888"/>
  <c r="Q40" i="2888"/>
  <c r="N40" i="2888" s="1"/>
  <c r="Q41" i="2888"/>
  <c r="Q42" i="2888"/>
  <c r="Q4" i="2888"/>
  <c r="V55" i="2887"/>
  <c r="V56" i="2887"/>
  <c r="V57" i="2887"/>
  <c r="V58" i="2887"/>
  <c r="W58" i="2887" s="1"/>
  <c r="V59" i="2887"/>
  <c r="V60" i="2887"/>
  <c r="V61" i="2887"/>
  <c r="V62" i="2887"/>
  <c r="V63" i="2887"/>
  <c r="V64" i="2887"/>
  <c r="V65" i="2887"/>
  <c r="V66" i="2887"/>
  <c r="W66" i="2887" s="1"/>
  <c r="V67" i="2887"/>
  <c r="V68" i="2887"/>
  <c r="V69" i="2887"/>
  <c r="V70" i="2887"/>
  <c r="W70" i="2887" s="1"/>
  <c r="V71" i="2887"/>
  <c r="V72" i="2887"/>
  <c r="V73" i="2887"/>
  <c r="V74" i="2887"/>
  <c r="W74" i="2887" s="1"/>
  <c r="V75" i="2887"/>
  <c r="V76" i="2887"/>
  <c r="V77" i="2887"/>
  <c r="V78" i="2887"/>
  <c r="V79" i="2887"/>
  <c r="V80" i="2887"/>
  <c r="V81" i="2887"/>
  <c r="V82" i="2887"/>
  <c r="W82" i="2887" s="1"/>
  <c r="V83" i="2887"/>
  <c r="V54" i="2887"/>
  <c r="V14" i="2887"/>
  <c r="V15" i="2887"/>
  <c r="V16" i="2887"/>
  <c r="V17" i="2887"/>
  <c r="V18" i="2887"/>
  <c r="V19" i="2887"/>
  <c r="V20" i="2887"/>
  <c r="V21" i="2887"/>
  <c r="W21" i="2887" s="1"/>
  <c r="V22" i="2887"/>
  <c r="V23" i="2887"/>
  <c r="V24" i="2887"/>
  <c r="V25" i="2887"/>
  <c r="W25" i="2887" s="1"/>
  <c r="V26" i="2887"/>
  <c r="V27" i="2887"/>
  <c r="V28" i="2887"/>
  <c r="V29" i="2887"/>
  <c r="W29" i="2887" s="1"/>
  <c r="V30" i="2887"/>
  <c r="V31" i="2887"/>
  <c r="V32" i="2887"/>
  <c r="V33" i="2887"/>
  <c r="V34" i="2887"/>
  <c r="V35" i="2887"/>
  <c r="V36" i="2887"/>
  <c r="V37" i="2887"/>
  <c r="W37" i="2887" s="1"/>
  <c r="V38" i="2887"/>
  <c r="V39" i="2887"/>
  <c r="V40" i="2887"/>
  <c r="V41" i="2887"/>
  <c r="W41" i="2887" s="1"/>
  <c r="V42" i="2887"/>
  <c r="V43" i="2887"/>
  <c r="V44" i="2887"/>
  <c r="V13" i="2887"/>
  <c r="V11" i="2887"/>
  <c r="V12" i="2887"/>
  <c r="V9" i="2887"/>
  <c r="V10" i="2887"/>
  <c r="V5" i="2887"/>
  <c r="V6" i="2887"/>
  <c r="V7" i="2887"/>
  <c r="V8" i="2887"/>
  <c r="V4" i="2887"/>
  <c r="U55" i="2887"/>
  <c r="U56" i="2887"/>
  <c r="U57" i="2887"/>
  <c r="U58" i="2887"/>
  <c r="U59" i="2887"/>
  <c r="U60" i="2887"/>
  <c r="U61" i="2887"/>
  <c r="U62" i="2887"/>
  <c r="U63" i="2887"/>
  <c r="U64" i="2887"/>
  <c r="U65" i="2887"/>
  <c r="U66" i="2887"/>
  <c r="U67" i="2887"/>
  <c r="U68" i="2887"/>
  <c r="U69" i="2887"/>
  <c r="U70" i="2887"/>
  <c r="U71" i="2887"/>
  <c r="U72" i="2887"/>
  <c r="U73" i="2887"/>
  <c r="U74" i="2887"/>
  <c r="U75" i="2887"/>
  <c r="U76" i="2887"/>
  <c r="U77" i="2887"/>
  <c r="U78" i="2887"/>
  <c r="U79" i="2887"/>
  <c r="U80" i="2887"/>
  <c r="U81" i="2887"/>
  <c r="U82" i="2887"/>
  <c r="U83" i="2887"/>
  <c r="U54" i="2887"/>
  <c r="U5" i="2887"/>
  <c r="U6" i="2887"/>
  <c r="U7" i="2887"/>
  <c r="U8" i="2887"/>
  <c r="U9" i="2887"/>
  <c r="U10" i="2887"/>
  <c r="U11" i="2887"/>
  <c r="U12" i="2887"/>
  <c r="U13" i="2887"/>
  <c r="U14" i="2887"/>
  <c r="U15" i="2887"/>
  <c r="U16" i="2887"/>
  <c r="U17" i="2887"/>
  <c r="U18" i="2887"/>
  <c r="U19" i="2887"/>
  <c r="U20" i="2887"/>
  <c r="U21" i="2887"/>
  <c r="U22" i="2887"/>
  <c r="U23" i="2887"/>
  <c r="U24" i="2887"/>
  <c r="U25" i="2887"/>
  <c r="U26" i="2887"/>
  <c r="U27" i="2887"/>
  <c r="U28" i="2887"/>
  <c r="U29" i="2887"/>
  <c r="U30" i="2887"/>
  <c r="U31" i="2887"/>
  <c r="U32" i="2887"/>
  <c r="U33" i="2887"/>
  <c r="U34" i="2887"/>
  <c r="U35" i="2887"/>
  <c r="U36" i="2887"/>
  <c r="U37" i="2887"/>
  <c r="U38" i="2887"/>
  <c r="U39" i="2887"/>
  <c r="U40" i="2887"/>
  <c r="U41" i="2887"/>
  <c r="U42" i="2887"/>
  <c r="U43" i="2887"/>
  <c r="U44" i="2887"/>
  <c r="U4" i="2887"/>
  <c r="T55" i="2887"/>
  <c r="T56" i="2887"/>
  <c r="T57" i="2887"/>
  <c r="T58" i="2887"/>
  <c r="T59" i="2887"/>
  <c r="T60" i="2887"/>
  <c r="T61" i="2887"/>
  <c r="T62" i="2887"/>
  <c r="T63" i="2887"/>
  <c r="T64" i="2887"/>
  <c r="T65" i="2887"/>
  <c r="T66" i="2887"/>
  <c r="T67" i="2887"/>
  <c r="T68" i="2887"/>
  <c r="T69" i="2887"/>
  <c r="T70" i="2887"/>
  <c r="T71" i="2887"/>
  <c r="T72" i="2887"/>
  <c r="T73" i="2887"/>
  <c r="T74" i="2887"/>
  <c r="T75" i="2887"/>
  <c r="T76" i="2887"/>
  <c r="T77" i="2887"/>
  <c r="T78" i="2887"/>
  <c r="T79" i="2887"/>
  <c r="T80" i="2887"/>
  <c r="T81" i="2887"/>
  <c r="T82" i="2887"/>
  <c r="T83" i="2887"/>
  <c r="T54" i="2887"/>
  <c r="T5" i="2887"/>
  <c r="T6" i="2887"/>
  <c r="T7" i="2887"/>
  <c r="T8" i="2887"/>
  <c r="T9" i="2887"/>
  <c r="T10" i="2887"/>
  <c r="T11" i="2887"/>
  <c r="T12" i="2887"/>
  <c r="T13" i="2887"/>
  <c r="T14" i="2887"/>
  <c r="T15" i="2887"/>
  <c r="T16" i="2887"/>
  <c r="T17" i="2887"/>
  <c r="T18" i="2887"/>
  <c r="T19" i="2887"/>
  <c r="T20" i="2887"/>
  <c r="T21" i="2887"/>
  <c r="T22" i="2887"/>
  <c r="T23" i="2887"/>
  <c r="T24" i="2887"/>
  <c r="T25" i="2887"/>
  <c r="T26" i="2887"/>
  <c r="T27" i="2887"/>
  <c r="T28" i="2887"/>
  <c r="T29" i="2887"/>
  <c r="T30" i="2887"/>
  <c r="T31" i="2887"/>
  <c r="T32" i="2887"/>
  <c r="T33" i="2887"/>
  <c r="T34" i="2887"/>
  <c r="T35" i="2887"/>
  <c r="T36" i="2887"/>
  <c r="T37" i="2887"/>
  <c r="T38" i="2887"/>
  <c r="T39" i="2887"/>
  <c r="T40" i="2887"/>
  <c r="T41" i="2887"/>
  <c r="T42" i="2887"/>
  <c r="T43" i="2887"/>
  <c r="T44" i="2887"/>
  <c r="T4" i="2887"/>
  <c r="Q55" i="2887"/>
  <c r="Q56" i="2887"/>
  <c r="Q57" i="2887"/>
  <c r="Q58" i="2887"/>
  <c r="R58" i="2887" s="1"/>
  <c r="S58" i="2887" s="1"/>
  <c r="Q59" i="2887"/>
  <c r="Q60" i="2887"/>
  <c r="Q61" i="2887"/>
  <c r="Q62" i="2887"/>
  <c r="R62" i="2887" s="1"/>
  <c r="S62" i="2887" s="1"/>
  <c r="Q63" i="2887"/>
  <c r="Q64" i="2887"/>
  <c r="Q65" i="2887"/>
  <c r="Q66" i="2887"/>
  <c r="R66" i="2887" s="1"/>
  <c r="S66" i="2887" s="1"/>
  <c r="Q67" i="2887"/>
  <c r="Q68" i="2887"/>
  <c r="Q69" i="2887"/>
  <c r="Q70" i="2887"/>
  <c r="R70" i="2887" s="1"/>
  <c r="S70" i="2887" s="1"/>
  <c r="Q71" i="2887"/>
  <c r="Q72" i="2887"/>
  <c r="Q73" i="2887"/>
  <c r="Q74" i="2887"/>
  <c r="R74" i="2887" s="1"/>
  <c r="S74" i="2887" s="1"/>
  <c r="Q75" i="2887"/>
  <c r="Q76" i="2887"/>
  <c r="Q77" i="2887"/>
  <c r="Q78" i="2887"/>
  <c r="R78" i="2887" s="1"/>
  <c r="S78" i="2887" s="1"/>
  <c r="Q79" i="2887"/>
  <c r="Q80" i="2887"/>
  <c r="Q81" i="2887"/>
  <c r="Q82" i="2887"/>
  <c r="R82" i="2887" s="1"/>
  <c r="S82" i="2887" s="1"/>
  <c r="Q83" i="2887"/>
  <c r="Q54" i="2887"/>
  <c r="Q5" i="2887"/>
  <c r="Q6" i="2887"/>
  <c r="Q7" i="2887"/>
  <c r="Q8" i="2887"/>
  <c r="Q9" i="2887"/>
  <c r="Q10" i="2887"/>
  <c r="Q11" i="2887"/>
  <c r="Q12" i="2887"/>
  <c r="Q13" i="2887"/>
  <c r="Q14" i="2887"/>
  <c r="Q15" i="2887"/>
  <c r="Q16" i="2887"/>
  <c r="N16" i="2887" s="1"/>
  <c r="Q17" i="2887"/>
  <c r="Q18" i="2887"/>
  <c r="Q19" i="2887"/>
  <c r="Q20" i="2887"/>
  <c r="N20" i="2887" s="1"/>
  <c r="Q21" i="2887"/>
  <c r="Q22" i="2887"/>
  <c r="Q23" i="2887"/>
  <c r="Q24" i="2887"/>
  <c r="N24" i="2887" s="1"/>
  <c r="Q25" i="2887"/>
  <c r="Q26" i="2887"/>
  <c r="Q27" i="2887"/>
  <c r="Q28" i="2887"/>
  <c r="N28" i="2887" s="1"/>
  <c r="Q29" i="2887"/>
  <c r="Q30" i="2887"/>
  <c r="Q31" i="2887"/>
  <c r="Q32" i="2887"/>
  <c r="N32" i="2887" s="1"/>
  <c r="Q33" i="2887"/>
  <c r="Q34" i="2887"/>
  <c r="Q35" i="2887"/>
  <c r="Q36" i="2887"/>
  <c r="N36" i="2887" s="1"/>
  <c r="Q37" i="2887"/>
  <c r="Q38" i="2887"/>
  <c r="Q39" i="2887"/>
  <c r="Q40" i="2887"/>
  <c r="N40" i="2887" s="1"/>
  <c r="Q41" i="2887"/>
  <c r="Q42" i="2887"/>
  <c r="Q43" i="2887"/>
  <c r="Q44" i="2887"/>
  <c r="N44" i="2887" s="1"/>
  <c r="Q4" i="2887"/>
  <c r="V59" i="2886"/>
  <c r="V60" i="2886"/>
  <c r="V61" i="2886"/>
  <c r="V62" i="2886"/>
  <c r="W62" i="2886" s="1"/>
  <c r="V63" i="2886"/>
  <c r="V64" i="2886"/>
  <c r="V65" i="2886"/>
  <c r="V66" i="2886"/>
  <c r="V67" i="2886"/>
  <c r="V68" i="2886"/>
  <c r="V69" i="2886"/>
  <c r="V70" i="2886"/>
  <c r="W70" i="2886" s="1"/>
  <c r="V71" i="2886"/>
  <c r="V72" i="2886"/>
  <c r="V73" i="2886"/>
  <c r="V74" i="2886"/>
  <c r="W74" i="2886" s="1"/>
  <c r="V75" i="2886"/>
  <c r="V76" i="2886"/>
  <c r="V77" i="2886"/>
  <c r="V78" i="2886"/>
  <c r="W78" i="2886" s="1"/>
  <c r="V79" i="2886"/>
  <c r="V80" i="2886"/>
  <c r="V81" i="2886"/>
  <c r="V82" i="2886"/>
  <c r="V83" i="2886"/>
  <c r="V84" i="2886"/>
  <c r="V85" i="2886"/>
  <c r="V86" i="2886"/>
  <c r="W86" i="2886" s="1"/>
  <c r="V87" i="2886"/>
  <c r="V58" i="2886"/>
  <c r="V18" i="2886"/>
  <c r="V19" i="2886"/>
  <c r="V20" i="2886"/>
  <c r="V21" i="2886"/>
  <c r="W21" i="2886" s="1"/>
  <c r="V22" i="2886"/>
  <c r="V23" i="2886"/>
  <c r="V24" i="2886"/>
  <c r="V25" i="2886"/>
  <c r="W25" i="2886" s="1"/>
  <c r="V26" i="2886"/>
  <c r="V27" i="2886"/>
  <c r="V28" i="2886"/>
  <c r="V29" i="2886"/>
  <c r="W29" i="2886" s="1"/>
  <c r="V30" i="2886"/>
  <c r="V31" i="2886"/>
  <c r="V32" i="2886"/>
  <c r="V33" i="2886"/>
  <c r="W33" i="2886" s="1"/>
  <c r="V34" i="2886"/>
  <c r="V35" i="2886"/>
  <c r="V36" i="2886"/>
  <c r="V37" i="2886"/>
  <c r="W37" i="2886" s="1"/>
  <c r="V38" i="2886"/>
  <c r="V39" i="2886"/>
  <c r="V40" i="2886"/>
  <c r="V41" i="2886"/>
  <c r="W41" i="2886" s="1"/>
  <c r="V42" i="2886"/>
  <c r="V43" i="2886"/>
  <c r="V44" i="2886"/>
  <c r="V45" i="2886"/>
  <c r="W45" i="2886" s="1"/>
  <c r="V46" i="2886"/>
  <c r="V47" i="2886"/>
  <c r="V48" i="2886"/>
  <c r="V17" i="2886"/>
  <c r="V15" i="2886"/>
  <c r="V16" i="2886"/>
  <c r="V9" i="2886"/>
  <c r="V10" i="2886"/>
  <c r="V11" i="2886"/>
  <c r="V12" i="2886"/>
  <c r="V13" i="2886"/>
  <c r="V14" i="2886"/>
  <c r="V5" i="2886"/>
  <c r="V6" i="2886"/>
  <c r="V7" i="2886"/>
  <c r="V8" i="2886"/>
  <c r="V4" i="2886"/>
  <c r="U59" i="2886"/>
  <c r="U60" i="2886"/>
  <c r="U61" i="2886"/>
  <c r="U62" i="2886"/>
  <c r="U63" i="2886"/>
  <c r="U64" i="2886"/>
  <c r="U65" i="2886"/>
  <c r="U66" i="2886"/>
  <c r="U67" i="2886"/>
  <c r="U68" i="2886"/>
  <c r="U69" i="2886"/>
  <c r="U70" i="2886"/>
  <c r="U71" i="2886"/>
  <c r="U72" i="2886"/>
  <c r="U73" i="2886"/>
  <c r="U74" i="2886"/>
  <c r="U75" i="2886"/>
  <c r="U76" i="2886"/>
  <c r="U77" i="2886"/>
  <c r="U78" i="2886"/>
  <c r="U79" i="2886"/>
  <c r="U80" i="2886"/>
  <c r="U81" i="2886"/>
  <c r="U82" i="2886"/>
  <c r="U83" i="2886"/>
  <c r="U84" i="2886"/>
  <c r="U85" i="2886"/>
  <c r="U86" i="2886"/>
  <c r="U87" i="2886"/>
  <c r="U58" i="2886"/>
  <c r="U5" i="2886"/>
  <c r="U6" i="2886"/>
  <c r="U7" i="2886"/>
  <c r="U8" i="2886"/>
  <c r="U9" i="2886"/>
  <c r="U10" i="2886"/>
  <c r="U11" i="2886"/>
  <c r="U12" i="2886"/>
  <c r="U13" i="2886"/>
  <c r="U14" i="2886"/>
  <c r="U15" i="2886"/>
  <c r="U16" i="2886"/>
  <c r="U17" i="2886"/>
  <c r="U18" i="2886"/>
  <c r="U19" i="2886"/>
  <c r="U20" i="2886"/>
  <c r="U21" i="2886"/>
  <c r="U22" i="2886"/>
  <c r="U23" i="2886"/>
  <c r="U24" i="2886"/>
  <c r="U25" i="2886"/>
  <c r="U26" i="2886"/>
  <c r="U27" i="2886"/>
  <c r="U28" i="2886"/>
  <c r="U29" i="2886"/>
  <c r="U30" i="2886"/>
  <c r="U31" i="2886"/>
  <c r="U32" i="2886"/>
  <c r="U33" i="2886"/>
  <c r="U34" i="2886"/>
  <c r="U35" i="2886"/>
  <c r="U36" i="2886"/>
  <c r="U37" i="2886"/>
  <c r="U38" i="2886"/>
  <c r="U39" i="2886"/>
  <c r="U40" i="2886"/>
  <c r="U41" i="2886"/>
  <c r="U42" i="2886"/>
  <c r="U43" i="2886"/>
  <c r="U44" i="2886"/>
  <c r="U45" i="2886"/>
  <c r="U46" i="2886"/>
  <c r="U47" i="2886"/>
  <c r="U48" i="2886"/>
  <c r="U4" i="2886"/>
  <c r="T59" i="2886"/>
  <c r="T60" i="2886"/>
  <c r="T61" i="2886"/>
  <c r="T62" i="2886"/>
  <c r="T63" i="2886"/>
  <c r="T64" i="2886"/>
  <c r="T65" i="2886"/>
  <c r="T66" i="2886"/>
  <c r="T67" i="2886"/>
  <c r="T68" i="2886"/>
  <c r="T69" i="2886"/>
  <c r="T70" i="2886"/>
  <c r="T71" i="2886"/>
  <c r="T72" i="2886"/>
  <c r="T73" i="2886"/>
  <c r="T74" i="2886"/>
  <c r="T75" i="2886"/>
  <c r="T76" i="2886"/>
  <c r="T77" i="2886"/>
  <c r="T78" i="2886"/>
  <c r="T79" i="2886"/>
  <c r="T80" i="2886"/>
  <c r="T81" i="2886"/>
  <c r="T82" i="2886"/>
  <c r="T83" i="2886"/>
  <c r="T84" i="2886"/>
  <c r="T85" i="2886"/>
  <c r="T86" i="2886"/>
  <c r="T87" i="2886"/>
  <c r="T58" i="2886"/>
  <c r="T5" i="2886"/>
  <c r="T6" i="2886"/>
  <c r="T7" i="2886"/>
  <c r="T8" i="2886"/>
  <c r="T9" i="2886"/>
  <c r="T10" i="2886"/>
  <c r="T11" i="2886"/>
  <c r="T12" i="2886"/>
  <c r="T13" i="2886"/>
  <c r="T14" i="2886"/>
  <c r="T15" i="2886"/>
  <c r="T16" i="2886"/>
  <c r="T17" i="2886"/>
  <c r="T18" i="2886"/>
  <c r="T19" i="2886"/>
  <c r="T20" i="2886"/>
  <c r="T21" i="2886"/>
  <c r="T22" i="2886"/>
  <c r="T23" i="2886"/>
  <c r="T24" i="2886"/>
  <c r="T25" i="2886"/>
  <c r="T26" i="2886"/>
  <c r="T27" i="2886"/>
  <c r="T28" i="2886"/>
  <c r="T29" i="2886"/>
  <c r="T30" i="2886"/>
  <c r="T31" i="2886"/>
  <c r="T32" i="2886"/>
  <c r="T33" i="2886"/>
  <c r="T34" i="2886"/>
  <c r="T35" i="2886"/>
  <c r="T36" i="2886"/>
  <c r="T37" i="2886"/>
  <c r="T38" i="2886"/>
  <c r="T39" i="2886"/>
  <c r="T40" i="2886"/>
  <c r="T41" i="2886"/>
  <c r="T42" i="2886"/>
  <c r="T43" i="2886"/>
  <c r="T44" i="2886"/>
  <c r="T45" i="2886"/>
  <c r="T46" i="2886"/>
  <c r="T47" i="2886"/>
  <c r="T48" i="2886"/>
  <c r="T4" i="2886"/>
  <c r="Q59" i="2886"/>
  <c r="Q60" i="2886"/>
  <c r="Q61" i="2886"/>
  <c r="Q62" i="2886"/>
  <c r="Q63" i="2886"/>
  <c r="Q64" i="2886"/>
  <c r="Q65" i="2886"/>
  <c r="Q66" i="2886"/>
  <c r="Q67" i="2886"/>
  <c r="Q68" i="2886"/>
  <c r="Q69" i="2886"/>
  <c r="Q70" i="2886"/>
  <c r="N70" i="2886" s="1"/>
  <c r="Q71" i="2886"/>
  <c r="Q72" i="2886"/>
  <c r="Q73" i="2886"/>
  <c r="Q74" i="2886"/>
  <c r="N74" i="2886" s="1"/>
  <c r="Q75" i="2886"/>
  <c r="Q76" i="2886"/>
  <c r="Q77" i="2886"/>
  <c r="Q78" i="2886"/>
  <c r="N78" i="2886" s="1"/>
  <c r="Q79" i="2886"/>
  <c r="Q80" i="2886"/>
  <c r="Q81" i="2886"/>
  <c r="Q82" i="2886"/>
  <c r="N82" i="2886" s="1"/>
  <c r="Q83" i="2886"/>
  <c r="Q84" i="2886"/>
  <c r="Q85" i="2886"/>
  <c r="Q86" i="2886"/>
  <c r="N86" i="2886" s="1"/>
  <c r="Q87" i="2886"/>
  <c r="Q58" i="2886"/>
  <c r="Q5" i="2886"/>
  <c r="Q6" i="2886"/>
  <c r="Q7" i="2886"/>
  <c r="Q8" i="2886"/>
  <c r="Q9" i="2886"/>
  <c r="Q10" i="2886"/>
  <c r="Q11" i="2886"/>
  <c r="Q12" i="2886"/>
  <c r="Q13" i="2886"/>
  <c r="Q14" i="2886"/>
  <c r="Q15" i="2886"/>
  <c r="Q16" i="2886"/>
  <c r="Q17" i="2886"/>
  <c r="Q18" i="2886"/>
  <c r="Q19" i="2886"/>
  <c r="Q20" i="2886"/>
  <c r="Q21" i="2886"/>
  <c r="Q22" i="2886"/>
  <c r="Q23" i="2886"/>
  <c r="Q24" i="2886"/>
  <c r="Q25" i="2886"/>
  <c r="Q26" i="2886"/>
  <c r="Q27" i="2886"/>
  <c r="Q28" i="2886"/>
  <c r="Q29" i="2886"/>
  <c r="Q30" i="2886"/>
  <c r="Q31" i="2886"/>
  <c r="Q32" i="2886"/>
  <c r="Q33" i="2886"/>
  <c r="Q34" i="2886"/>
  <c r="Q35" i="2886"/>
  <c r="Q36" i="2886"/>
  <c r="Q37" i="2886"/>
  <c r="Q38" i="2886"/>
  <c r="Q39" i="2886"/>
  <c r="Q40" i="2886"/>
  <c r="Q41" i="2886"/>
  <c r="Q42" i="2886"/>
  <c r="Q43" i="2886"/>
  <c r="Q44" i="2886"/>
  <c r="Q45" i="2886"/>
  <c r="Q46" i="2886"/>
  <c r="Q47" i="2886"/>
  <c r="Q48" i="2886"/>
  <c r="Q4" i="2886"/>
  <c r="V53" i="2885"/>
  <c r="V54" i="2885"/>
  <c r="V55" i="2885"/>
  <c r="V56" i="2885"/>
  <c r="W56" i="2885" s="1"/>
  <c r="V57" i="2885"/>
  <c r="V58" i="2885"/>
  <c r="V59" i="2885"/>
  <c r="V60" i="2885"/>
  <c r="W60" i="2885" s="1"/>
  <c r="V61" i="2885"/>
  <c r="V62" i="2885"/>
  <c r="V63" i="2885"/>
  <c r="V64" i="2885"/>
  <c r="W64" i="2885" s="1"/>
  <c r="V65" i="2885"/>
  <c r="V66" i="2885"/>
  <c r="V67" i="2885"/>
  <c r="V68" i="2885"/>
  <c r="V69" i="2885"/>
  <c r="V70" i="2885"/>
  <c r="V71" i="2885"/>
  <c r="V72" i="2885"/>
  <c r="W72" i="2885" s="1"/>
  <c r="V73" i="2885"/>
  <c r="V74" i="2885"/>
  <c r="V75" i="2885"/>
  <c r="V76" i="2885"/>
  <c r="W76" i="2885" s="1"/>
  <c r="V77" i="2885"/>
  <c r="V78" i="2885"/>
  <c r="V79" i="2885"/>
  <c r="V80" i="2885"/>
  <c r="W80" i="2885" s="1"/>
  <c r="V81" i="2885"/>
  <c r="V52" i="2885"/>
  <c r="V5" i="2885"/>
  <c r="V6" i="2885"/>
  <c r="V7" i="2885"/>
  <c r="V8" i="2885"/>
  <c r="V9" i="2885"/>
  <c r="V10" i="2885"/>
  <c r="V11" i="2885"/>
  <c r="V12" i="2885"/>
  <c r="V13" i="2885"/>
  <c r="V14" i="2885"/>
  <c r="V15" i="2885"/>
  <c r="V16" i="2885"/>
  <c r="W16" i="2885" s="1"/>
  <c r="V17" i="2885"/>
  <c r="V18" i="2885"/>
  <c r="V19" i="2885"/>
  <c r="V20" i="2885"/>
  <c r="W20" i="2885" s="1"/>
  <c r="V21" i="2885"/>
  <c r="V22" i="2885"/>
  <c r="V23" i="2885"/>
  <c r="V24" i="2885"/>
  <c r="W24" i="2885" s="1"/>
  <c r="V25" i="2885"/>
  <c r="V26" i="2885"/>
  <c r="V27" i="2885"/>
  <c r="V28" i="2885"/>
  <c r="W28" i="2885" s="1"/>
  <c r="V29" i="2885"/>
  <c r="V30" i="2885"/>
  <c r="V31" i="2885"/>
  <c r="V32" i="2885"/>
  <c r="W32" i="2885" s="1"/>
  <c r="V33" i="2885"/>
  <c r="V34" i="2885"/>
  <c r="V35" i="2885"/>
  <c r="V36" i="2885"/>
  <c r="W36" i="2885" s="1"/>
  <c r="V37" i="2885"/>
  <c r="V38" i="2885"/>
  <c r="V39" i="2885"/>
  <c r="V40" i="2885"/>
  <c r="W40" i="2885" s="1"/>
  <c r="V41" i="2885"/>
  <c r="V42" i="2885"/>
  <c r="V4" i="2885"/>
  <c r="U53" i="2885"/>
  <c r="U54" i="2885"/>
  <c r="U55" i="2885"/>
  <c r="U56" i="2885"/>
  <c r="U57" i="2885"/>
  <c r="U58" i="2885"/>
  <c r="U59" i="2885"/>
  <c r="U60" i="2885"/>
  <c r="U61" i="2885"/>
  <c r="U62" i="2885"/>
  <c r="U63" i="2885"/>
  <c r="U64" i="2885"/>
  <c r="U65" i="2885"/>
  <c r="U66" i="2885"/>
  <c r="U67" i="2885"/>
  <c r="U68" i="2885"/>
  <c r="U69" i="2885"/>
  <c r="U70" i="2885"/>
  <c r="U71" i="2885"/>
  <c r="U72" i="2885"/>
  <c r="U73" i="2885"/>
  <c r="U74" i="2885"/>
  <c r="U75" i="2885"/>
  <c r="U76" i="2885"/>
  <c r="U77" i="2885"/>
  <c r="U78" i="2885"/>
  <c r="U79" i="2885"/>
  <c r="U80" i="2885"/>
  <c r="U81" i="2885"/>
  <c r="U52" i="2885"/>
  <c r="U5" i="2885"/>
  <c r="U6" i="2885"/>
  <c r="U7" i="2885"/>
  <c r="U8" i="2885"/>
  <c r="U9" i="2885"/>
  <c r="U10" i="2885"/>
  <c r="U11" i="2885"/>
  <c r="U12" i="2885"/>
  <c r="U13" i="2885"/>
  <c r="U14" i="2885"/>
  <c r="U15" i="2885"/>
  <c r="U16" i="2885"/>
  <c r="U17" i="2885"/>
  <c r="U18" i="2885"/>
  <c r="U19" i="2885"/>
  <c r="U20" i="2885"/>
  <c r="U21" i="2885"/>
  <c r="U22" i="2885"/>
  <c r="U23" i="2885"/>
  <c r="U24" i="2885"/>
  <c r="U25" i="2885"/>
  <c r="U26" i="2885"/>
  <c r="U27" i="2885"/>
  <c r="U28" i="2885"/>
  <c r="U29" i="2885"/>
  <c r="U30" i="2885"/>
  <c r="U31" i="2885"/>
  <c r="U32" i="2885"/>
  <c r="U33" i="2885"/>
  <c r="U34" i="2885"/>
  <c r="U35" i="2885"/>
  <c r="U36" i="2885"/>
  <c r="U37" i="2885"/>
  <c r="U38" i="2885"/>
  <c r="U39" i="2885"/>
  <c r="U40" i="2885"/>
  <c r="U41" i="2885"/>
  <c r="U42" i="2885"/>
  <c r="U4" i="2885"/>
  <c r="T53" i="2885"/>
  <c r="T54" i="2885"/>
  <c r="T55" i="2885"/>
  <c r="T56" i="2885"/>
  <c r="T57" i="2885"/>
  <c r="T58" i="2885"/>
  <c r="T59" i="2885"/>
  <c r="T60" i="2885"/>
  <c r="T61" i="2885"/>
  <c r="T62" i="2885"/>
  <c r="T63" i="2885"/>
  <c r="T64" i="2885"/>
  <c r="T65" i="2885"/>
  <c r="T66" i="2885"/>
  <c r="T67" i="2885"/>
  <c r="T68" i="2885"/>
  <c r="T69" i="2885"/>
  <c r="T70" i="2885"/>
  <c r="T71" i="2885"/>
  <c r="T72" i="2885"/>
  <c r="T73" i="2885"/>
  <c r="T74" i="2885"/>
  <c r="T75" i="2885"/>
  <c r="T76" i="2885"/>
  <c r="T77" i="2885"/>
  <c r="T78" i="2885"/>
  <c r="T79" i="2885"/>
  <c r="T80" i="2885"/>
  <c r="T81" i="2885"/>
  <c r="T52" i="2885"/>
  <c r="T5" i="2885"/>
  <c r="T6" i="2885"/>
  <c r="T7" i="2885"/>
  <c r="T8" i="2885"/>
  <c r="T9" i="2885"/>
  <c r="T10" i="2885"/>
  <c r="T11" i="2885"/>
  <c r="T12" i="2885"/>
  <c r="T13" i="2885"/>
  <c r="T14" i="2885"/>
  <c r="T15" i="2885"/>
  <c r="T16" i="2885"/>
  <c r="T17" i="2885"/>
  <c r="T18" i="2885"/>
  <c r="T19" i="2885"/>
  <c r="T20" i="2885"/>
  <c r="T21" i="2885"/>
  <c r="T22" i="2885"/>
  <c r="T23" i="2885"/>
  <c r="T24" i="2885"/>
  <c r="T25" i="2885"/>
  <c r="T26" i="2885"/>
  <c r="T27" i="2885"/>
  <c r="T28" i="2885"/>
  <c r="T29" i="2885"/>
  <c r="T30" i="2885"/>
  <c r="T31" i="2885"/>
  <c r="T32" i="2885"/>
  <c r="T33" i="2885"/>
  <c r="T34" i="2885"/>
  <c r="T35" i="2885"/>
  <c r="T36" i="2885"/>
  <c r="T37" i="2885"/>
  <c r="T38" i="2885"/>
  <c r="T39" i="2885"/>
  <c r="T40" i="2885"/>
  <c r="T41" i="2885"/>
  <c r="T42" i="2885"/>
  <c r="T4" i="2885"/>
  <c r="Q53" i="2885"/>
  <c r="Q54" i="2885"/>
  <c r="Q55" i="2885"/>
  <c r="Q56" i="2885"/>
  <c r="N56" i="2885" s="1"/>
  <c r="Q57" i="2885"/>
  <c r="Q58" i="2885"/>
  <c r="Q59" i="2885"/>
  <c r="Q60" i="2885"/>
  <c r="N60" i="2885" s="1"/>
  <c r="Q61" i="2885"/>
  <c r="Q62" i="2885"/>
  <c r="Q63" i="2885"/>
  <c r="Q64" i="2885"/>
  <c r="N64" i="2885" s="1"/>
  <c r="Q65" i="2885"/>
  <c r="Q66" i="2885"/>
  <c r="Q67" i="2885"/>
  <c r="Q68" i="2885"/>
  <c r="N68" i="2885" s="1"/>
  <c r="Q69" i="2885"/>
  <c r="Q70" i="2885"/>
  <c r="Q71" i="2885"/>
  <c r="Q72" i="2885"/>
  <c r="N72" i="2885" s="1"/>
  <c r="Q73" i="2885"/>
  <c r="Q74" i="2885"/>
  <c r="Q75" i="2885"/>
  <c r="Q76" i="2885"/>
  <c r="N76" i="2885" s="1"/>
  <c r="Q77" i="2885"/>
  <c r="Q78" i="2885"/>
  <c r="Q79" i="2885"/>
  <c r="Q80" i="2885"/>
  <c r="N80" i="2885" s="1"/>
  <c r="Q81" i="2885"/>
  <c r="Q52" i="2885"/>
  <c r="Q5" i="2885"/>
  <c r="Q6" i="2885"/>
  <c r="Q7" i="2885"/>
  <c r="Q8" i="2885"/>
  <c r="Q9" i="2885"/>
  <c r="Q10" i="2885"/>
  <c r="Q11" i="2885"/>
  <c r="Q12" i="2885"/>
  <c r="Q13" i="2885"/>
  <c r="Q14" i="2885"/>
  <c r="Q15" i="2885"/>
  <c r="Q16" i="2885"/>
  <c r="Q17" i="2885"/>
  <c r="Q18" i="2885"/>
  <c r="Q19" i="2885"/>
  <c r="Q20" i="2885"/>
  <c r="Q21" i="2885"/>
  <c r="Q22" i="2885"/>
  <c r="Q23" i="2885"/>
  <c r="Q24" i="2885"/>
  <c r="Q25" i="2885"/>
  <c r="Q26" i="2885"/>
  <c r="Q27" i="2885"/>
  <c r="Q28" i="2885"/>
  <c r="Q29" i="2885"/>
  <c r="Q30" i="2885"/>
  <c r="Q31" i="2885"/>
  <c r="Q32" i="2885"/>
  <c r="Q33" i="2885"/>
  <c r="Q34" i="2885"/>
  <c r="Q35" i="2885"/>
  <c r="Q36" i="2885"/>
  <c r="Q37" i="2885"/>
  <c r="Q38" i="2885"/>
  <c r="Q39" i="2885"/>
  <c r="Q40" i="2885"/>
  <c r="Q41" i="2885"/>
  <c r="Q42" i="2885"/>
  <c r="Q4" i="2885"/>
  <c r="V52" i="2884"/>
  <c r="V53" i="2884"/>
  <c r="V54" i="2884"/>
  <c r="V55" i="2884"/>
  <c r="W55" i="2884" s="1"/>
  <c r="V56" i="2884"/>
  <c r="V57" i="2884"/>
  <c r="V58" i="2884"/>
  <c r="V59" i="2884"/>
  <c r="V60" i="2884"/>
  <c r="V61" i="2884"/>
  <c r="V62" i="2884"/>
  <c r="V63" i="2884"/>
  <c r="W63" i="2884" s="1"/>
  <c r="V64" i="2884"/>
  <c r="V65" i="2884"/>
  <c r="V66" i="2884"/>
  <c r="V67" i="2884"/>
  <c r="W67" i="2884" s="1"/>
  <c r="V68" i="2884"/>
  <c r="V69" i="2884"/>
  <c r="V70" i="2884"/>
  <c r="V71" i="2884"/>
  <c r="W71" i="2884" s="1"/>
  <c r="V72" i="2884"/>
  <c r="V73" i="2884"/>
  <c r="V74" i="2884"/>
  <c r="V75" i="2884"/>
  <c r="V76" i="2884"/>
  <c r="V77" i="2884"/>
  <c r="V78" i="2884"/>
  <c r="V79" i="2884"/>
  <c r="W79" i="2884" s="1"/>
  <c r="V80" i="2884"/>
  <c r="V51" i="2884"/>
  <c r="V5" i="2884"/>
  <c r="V6" i="2884"/>
  <c r="V7" i="2884"/>
  <c r="V8" i="2884"/>
  <c r="V9" i="2884"/>
  <c r="V10" i="2884"/>
  <c r="V11" i="2884"/>
  <c r="V12" i="2884"/>
  <c r="V13" i="2884"/>
  <c r="V14" i="2884"/>
  <c r="V15" i="2884"/>
  <c r="V16" i="2884"/>
  <c r="W16" i="2884" s="1"/>
  <c r="V17" i="2884"/>
  <c r="V18" i="2884"/>
  <c r="V19" i="2884"/>
  <c r="V20" i="2884"/>
  <c r="W20" i="2884" s="1"/>
  <c r="V21" i="2884"/>
  <c r="V22" i="2884"/>
  <c r="V23" i="2884"/>
  <c r="V24" i="2884"/>
  <c r="W24" i="2884" s="1"/>
  <c r="V25" i="2884"/>
  <c r="V26" i="2884"/>
  <c r="V27" i="2884"/>
  <c r="V28" i="2884"/>
  <c r="V29" i="2884"/>
  <c r="V30" i="2884"/>
  <c r="V31" i="2884"/>
  <c r="V32" i="2884"/>
  <c r="W32" i="2884" s="1"/>
  <c r="V33" i="2884"/>
  <c r="V34" i="2884"/>
  <c r="V35" i="2884"/>
  <c r="V36" i="2884"/>
  <c r="W36" i="2884" s="1"/>
  <c r="V37" i="2884"/>
  <c r="V38" i="2884"/>
  <c r="V39" i="2884"/>
  <c r="V40" i="2884"/>
  <c r="W40" i="2884" s="1"/>
  <c r="V41" i="2884"/>
  <c r="V4" i="2884"/>
  <c r="U52" i="2884"/>
  <c r="U53" i="2884"/>
  <c r="U54" i="2884"/>
  <c r="U55" i="2884"/>
  <c r="U56" i="2884"/>
  <c r="U57" i="2884"/>
  <c r="U58" i="2884"/>
  <c r="U59" i="2884"/>
  <c r="U60" i="2884"/>
  <c r="U61" i="2884"/>
  <c r="U62" i="2884"/>
  <c r="U63" i="2884"/>
  <c r="U64" i="2884"/>
  <c r="U65" i="2884"/>
  <c r="U66" i="2884"/>
  <c r="U67" i="2884"/>
  <c r="U68" i="2884"/>
  <c r="U69" i="2884"/>
  <c r="U70" i="2884"/>
  <c r="U71" i="2884"/>
  <c r="U72" i="2884"/>
  <c r="U73" i="2884"/>
  <c r="U74" i="2884"/>
  <c r="U75" i="2884"/>
  <c r="U76" i="2884"/>
  <c r="U77" i="2884"/>
  <c r="U78" i="2884"/>
  <c r="U79" i="2884"/>
  <c r="U80" i="2884"/>
  <c r="U51" i="2884"/>
  <c r="U5" i="2884"/>
  <c r="U6" i="2884"/>
  <c r="U7" i="2884"/>
  <c r="U8" i="2884"/>
  <c r="U9" i="2884"/>
  <c r="U10" i="2884"/>
  <c r="U11" i="2884"/>
  <c r="U12" i="2884"/>
  <c r="U13" i="2884"/>
  <c r="U14" i="2884"/>
  <c r="U15" i="2884"/>
  <c r="U16" i="2884"/>
  <c r="U17" i="2884"/>
  <c r="U18" i="2884"/>
  <c r="U19" i="2884"/>
  <c r="U20" i="2884"/>
  <c r="U21" i="2884"/>
  <c r="U22" i="2884"/>
  <c r="U23" i="2884"/>
  <c r="U24" i="2884"/>
  <c r="U25" i="2884"/>
  <c r="U26" i="2884"/>
  <c r="U27" i="2884"/>
  <c r="U28" i="2884"/>
  <c r="U29" i="2884"/>
  <c r="U30" i="2884"/>
  <c r="U31" i="2884"/>
  <c r="U32" i="2884"/>
  <c r="U33" i="2884"/>
  <c r="U34" i="2884"/>
  <c r="U35" i="2884"/>
  <c r="U36" i="2884"/>
  <c r="U37" i="2884"/>
  <c r="U38" i="2884"/>
  <c r="U39" i="2884"/>
  <c r="U40" i="2884"/>
  <c r="U41" i="2884"/>
  <c r="U4" i="2884"/>
  <c r="T52" i="2884"/>
  <c r="T53" i="2884"/>
  <c r="T54" i="2884"/>
  <c r="T55" i="2884"/>
  <c r="T56" i="2884"/>
  <c r="T57" i="2884"/>
  <c r="T58" i="2884"/>
  <c r="T59" i="2884"/>
  <c r="T60" i="2884"/>
  <c r="T61" i="2884"/>
  <c r="T62" i="2884"/>
  <c r="T63" i="2884"/>
  <c r="T64" i="2884"/>
  <c r="T65" i="2884"/>
  <c r="T66" i="2884"/>
  <c r="T67" i="2884"/>
  <c r="T68" i="2884"/>
  <c r="T69" i="2884"/>
  <c r="T70" i="2884"/>
  <c r="T71" i="2884"/>
  <c r="T72" i="2884"/>
  <c r="T73" i="2884"/>
  <c r="T74" i="2884"/>
  <c r="T75" i="2884"/>
  <c r="T76" i="2884"/>
  <c r="T77" i="2884"/>
  <c r="T78" i="2884"/>
  <c r="T79" i="2884"/>
  <c r="T80" i="2884"/>
  <c r="T51" i="2884"/>
  <c r="T5" i="2884"/>
  <c r="T6" i="2884"/>
  <c r="T7" i="2884"/>
  <c r="T8" i="2884"/>
  <c r="T9" i="2884"/>
  <c r="T10" i="2884"/>
  <c r="T11" i="2884"/>
  <c r="T12" i="2884"/>
  <c r="T13" i="2884"/>
  <c r="T14" i="2884"/>
  <c r="T15" i="2884"/>
  <c r="T16" i="2884"/>
  <c r="T17" i="2884"/>
  <c r="T18" i="2884"/>
  <c r="T19" i="2884"/>
  <c r="T20" i="2884"/>
  <c r="T21" i="2884"/>
  <c r="T22" i="2884"/>
  <c r="T23" i="2884"/>
  <c r="T24" i="2884"/>
  <c r="T25" i="2884"/>
  <c r="T26" i="2884"/>
  <c r="T27" i="2884"/>
  <c r="T28" i="2884"/>
  <c r="T29" i="2884"/>
  <c r="T30" i="2884"/>
  <c r="T31" i="2884"/>
  <c r="T32" i="2884"/>
  <c r="T33" i="2884"/>
  <c r="T34" i="2884"/>
  <c r="T35" i="2884"/>
  <c r="T36" i="2884"/>
  <c r="T37" i="2884"/>
  <c r="T38" i="2884"/>
  <c r="T39" i="2884"/>
  <c r="T40" i="2884"/>
  <c r="T41" i="2884"/>
  <c r="T4" i="2884"/>
  <c r="Q52" i="2884"/>
  <c r="Q53" i="2884"/>
  <c r="Q54" i="2884"/>
  <c r="Q55" i="2884"/>
  <c r="N55" i="2884" s="1"/>
  <c r="Q56" i="2884"/>
  <c r="Q57" i="2884"/>
  <c r="Q58" i="2884"/>
  <c r="Q59" i="2884"/>
  <c r="N59" i="2884" s="1"/>
  <c r="Q60" i="2884"/>
  <c r="Q61" i="2884"/>
  <c r="Q62" i="2884"/>
  <c r="Q63" i="2884"/>
  <c r="N63" i="2884" s="1"/>
  <c r="Q64" i="2884"/>
  <c r="Q65" i="2884"/>
  <c r="Q66" i="2884"/>
  <c r="Q67" i="2884"/>
  <c r="N67" i="2884" s="1"/>
  <c r="Q68" i="2884"/>
  <c r="Q69" i="2884"/>
  <c r="Q70" i="2884"/>
  <c r="Q71" i="2884"/>
  <c r="N71" i="2884" s="1"/>
  <c r="Q72" i="2884"/>
  <c r="Q73" i="2884"/>
  <c r="Q74" i="2884"/>
  <c r="Q75" i="2884"/>
  <c r="N75" i="2884" s="1"/>
  <c r="Q76" i="2884"/>
  <c r="Q77" i="2884"/>
  <c r="Q78" i="2884"/>
  <c r="Q79" i="2884"/>
  <c r="Q80" i="2884"/>
  <c r="Q51" i="2884"/>
  <c r="Q5" i="2884"/>
  <c r="Q6" i="2884"/>
  <c r="Q7" i="2884"/>
  <c r="Q8" i="2884"/>
  <c r="Q9" i="2884"/>
  <c r="Q10" i="2884"/>
  <c r="Q11" i="2884"/>
  <c r="Q12" i="2884"/>
  <c r="N12" i="2884" s="1"/>
  <c r="Q13" i="2884"/>
  <c r="Q14" i="2884"/>
  <c r="Q15" i="2884"/>
  <c r="Q16" i="2884"/>
  <c r="N16" i="2884" s="1"/>
  <c r="Q17" i="2884"/>
  <c r="Q18" i="2884"/>
  <c r="Q19" i="2884"/>
  <c r="Q20" i="2884"/>
  <c r="N20" i="2884" s="1"/>
  <c r="Q21" i="2884"/>
  <c r="Q22" i="2884"/>
  <c r="Q23" i="2884"/>
  <c r="Q24" i="2884"/>
  <c r="N24" i="2884" s="1"/>
  <c r="Q25" i="2884"/>
  <c r="Q26" i="2884"/>
  <c r="Q27" i="2884"/>
  <c r="Q28" i="2884"/>
  <c r="N28" i="2884" s="1"/>
  <c r="Q29" i="2884"/>
  <c r="Q30" i="2884"/>
  <c r="Q31" i="2884"/>
  <c r="Q32" i="2884"/>
  <c r="N32" i="2884" s="1"/>
  <c r="Q33" i="2884"/>
  <c r="Q34" i="2884"/>
  <c r="Q35" i="2884"/>
  <c r="Q36" i="2884"/>
  <c r="N36" i="2884" s="1"/>
  <c r="Q37" i="2884"/>
  <c r="Q38" i="2884"/>
  <c r="Q39" i="2884"/>
  <c r="Q40" i="2884"/>
  <c r="N40" i="2884" s="1"/>
  <c r="Q41" i="2884"/>
  <c r="Q4" i="2884"/>
  <c r="V50" i="2879"/>
  <c r="V51" i="2879"/>
  <c r="V52" i="2879"/>
  <c r="V53" i="2879"/>
  <c r="W53" i="2879" s="1"/>
  <c r="V54" i="2879"/>
  <c r="V55" i="2879"/>
  <c r="V56" i="2879"/>
  <c r="V57" i="2879"/>
  <c r="W57" i="2879" s="1"/>
  <c r="V58" i="2879"/>
  <c r="V59" i="2879"/>
  <c r="V60" i="2879"/>
  <c r="V61" i="2879"/>
  <c r="W61" i="2879" s="1"/>
  <c r="V62" i="2879"/>
  <c r="V63" i="2879"/>
  <c r="V64" i="2879"/>
  <c r="V65" i="2879"/>
  <c r="W65" i="2879" s="1"/>
  <c r="V66" i="2879"/>
  <c r="V67" i="2879"/>
  <c r="V68" i="2879"/>
  <c r="V69" i="2879"/>
  <c r="W69" i="2879" s="1"/>
  <c r="V70" i="2879"/>
  <c r="V71" i="2879"/>
  <c r="V72" i="2879"/>
  <c r="V73" i="2879"/>
  <c r="W73" i="2879" s="1"/>
  <c r="V74" i="2879"/>
  <c r="V75" i="2879"/>
  <c r="V76" i="2879"/>
  <c r="V77" i="2879"/>
  <c r="W77" i="2879" s="1"/>
  <c r="V78" i="2879"/>
  <c r="V49" i="2879"/>
  <c r="V5" i="2879"/>
  <c r="V6" i="2879"/>
  <c r="V7" i="2879"/>
  <c r="V8" i="2879"/>
  <c r="V9" i="2879"/>
  <c r="V10" i="2879"/>
  <c r="V11" i="2879"/>
  <c r="V12" i="2879"/>
  <c r="W12" i="2879" s="1"/>
  <c r="V13" i="2879"/>
  <c r="V14" i="2879"/>
  <c r="V15" i="2879"/>
  <c r="V16" i="2879"/>
  <c r="W16" i="2879" s="1"/>
  <c r="V17" i="2879"/>
  <c r="V18" i="2879"/>
  <c r="V19" i="2879"/>
  <c r="V20" i="2879"/>
  <c r="W20" i="2879" s="1"/>
  <c r="V21" i="2879"/>
  <c r="V22" i="2879"/>
  <c r="V23" i="2879"/>
  <c r="V24" i="2879"/>
  <c r="W24" i="2879" s="1"/>
  <c r="V25" i="2879"/>
  <c r="V26" i="2879"/>
  <c r="V27" i="2879"/>
  <c r="V28" i="2879"/>
  <c r="W28" i="2879" s="1"/>
  <c r="V29" i="2879"/>
  <c r="V30" i="2879"/>
  <c r="V31" i="2879"/>
  <c r="V32" i="2879"/>
  <c r="W32" i="2879" s="1"/>
  <c r="V33" i="2879"/>
  <c r="V34" i="2879"/>
  <c r="V35" i="2879"/>
  <c r="V36" i="2879"/>
  <c r="W36" i="2879" s="1"/>
  <c r="V37" i="2879"/>
  <c r="V38" i="2879"/>
  <c r="V39" i="2879"/>
  <c r="U50" i="2879"/>
  <c r="U51" i="2879"/>
  <c r="U52" i="2879"/>
  <c r="U53" i="2879"/>
  <c r="U54" i="2879"/>
  <c r="U55" i="2879"/>
  <c r="U56" i="2879"/>
  <c r="U57" i="2879"/>
  <c r="U58" i="2879"/>
  <c r="U59" i="2879"/>
  <c r="U60" i="2879"/>
  <c r="U61" i="2879"/>
  <c r="U62" i="2879"/>
  <c r="U63" i="2879"/>
  <c r="U64" i="2879"/>
  <c r="U65" i="2879"/>
  <c r="U66" i="2879"/>
  <c r="U67" i="2879"/>
  <c r="U68" i="2879"/>
  <c r="U69" i="2879"/>
  <c r="U70" i="2879"/>
  <c r="U71" i="2879"/>
  <c r="U72" i="2879"/>
  <c r="U73" i="2879"/>
  <c r="U74" i="2879"/>
  <c r="U75" i="2879"/>
  <c r="U76" i="2879"/>
  <c r="U77" i="2879"/>
  <c r="U78" i="2879"/>
  <c r="U49" i="2879"/>
  <c r="U5" i="2879"/>
  <c r="U6" i="2879"/>
  <c r="U7" i="2879"/>
  <c r="U8" i="2879"/>
  <c r="U9" i="2879"/>
  <c r="U10" i="2879"/>
  <c r="U11" i="2879"/>
  <c r="U12" i="2879"/>
  <c r="U13" i="2879"/>
  <c r="U14" i="2879"/>
  <c r="U15" i="2879"/>
  <c r="U16" i="2879"/>
  <c r="U17" i="2879"/>
  <c r="U18" i="2879"/>
  <c r="U19" i="2879"/>
  <c r="U20" i="2879"/>
  <c r="U21" i="2879"/>
  <c r="U22" i="2879"/>
  <c r="U23" i="2879"/>
  <c r="U24" i="2879"/>
  <c r="U25" i="2879"/>
  <c r="U26" i="2879"/>
  <c r="U27" i="2879"/>
  <c r="U28" i="2879"/>
  <c r="U29" i="2879"/>
  <c r="U30" i="2879"/>
  <c r="U31" i="2879"/>
  <c r="U32" i="2879"/>
  <c r="U33" i="2879"/>
  <c r="U34" i="2879"/>
  <c r="U35" i="2879"/>
  <c r="U36" i="2879"/>
  <c r="U37" i="2879"/>
  <c r="U38" i="2879"/>
  <c r="U39" i="2879"/>
  <c r="T50" i="2879"/>
  <c r="T51" i="2879"/>
  <c r="T52" i="2879"/>
  <c r="T53" i="2879"/>
  <c r="T54" i="2879"/>
  <c r="T55" i="2879"/>
  <c r="T56" i="2879"/>
  <c r="T57" i="2879"/>
  <c r="T58" i="2879"/>
  <c r="T59" i="2879"/>
  <c r="T60" i="2879"/>
  <c r="T61" i="2879"/>
  <c r="T62" i="2879"/>
  <c r="T63" i="2879"/>
  <c r="T64" i="2879"/>
  <c r="T65" i="2879"/>
  <c r="T66" i="2879"/>
  <c r="T67" i="2879"/>
  <c r="T68" i="2879"/>
  <c r="T69" i="2879"/>
  <c r="T70" i="2879"/>
  <c r="T71" i="2879"/>
  <c r="T72" i="2879"/>
  <c r="T73" i="2879"/>
  <c r="T74" i="2879"/>
  <c r="T75" i="2879"/>
  <c r="T76" i="2879"/>
  <c r="T77" i="2879"/>
  <c r="T78" i="2879"/>
  <c r="T49" i="2879"/>
  <c r="T5" i="2879"/>
  <c r="T6" i="2879"/>
  <c r="T7" i="2879"/>
  <c r="T8" i="2879"/>
  <c r="T9" i="2879"/>
  <c r="T10" i="2879"/>
  <c r="T11" i="2879"/>
  <c r="T12" i="2879"/>
  <c r="T13" i="2879"/>
  <c r="T14" i="2879"/>
  <c r="T15" i="2879"/>
  <c r="T16" i="2879"/>
  <c r="T17" i="2879"/>
  <c r="T18" i="2879"/>
  <c r="T19" i="2879"/>
  <c r="T20" i="2879"/>
  <c r="T21" i="2879"/>
  <c r="T22" i="2879"/>
  <c r="T23" i="2879"/>
  <c r="T24" i="2879"/>
  <c r="T25" i="2879"/>
  <c r="T26" i="2879"/>
  <c r="T27" i="2879"/>
  <c r="T28" i="2879"/>
  <c r="T29" i="2879"/>
  <c r="T30" i="2879"/>
  <c r="T31" i="2879"/>
  <c r="T32" i="2879"/>
  <c r="T33" i="2879"/>
  <c r="T34" i="2879"/>
  <c r="T35" i="2879"/>
  <c r="T36" i="2879"/>
  <c r="T37" i="2879"/>
  <c r="T38" i="2879"/>
  <c r="T39" i="2879"/>
  <c r="Q50" i="2879"/>
  <c r="Q51" i="2879"/>
  <c r="Q52" i="2879"/>
  <c r="Q53" i="2879"/>
  <c r="R53" i="2879" s="1"/>
  <c r="S53" i="2879" s="1"/>
  <c r="Q54" i="2879"/>
  <c r="Q55" i="2879"/>
  <c r="Q56" i="2879"/>
  <c r="Q57" i="2879"/>
  <c r="Q58" i="2879"/>
  <c r="Q59" i="2879"/>
  <c r="Q60" i="2879"/>
  <c r="Q61" i="2879"/>
  <c r="Q62" i="2879"/>
  <c r="Q63" i="2879"/>
  <c r="Q64" i="2879"/>
  <c r="Q65" i="2879"/>
  <c r="Q66" i="2879"/>
  <c r="Q67" i="2879"/>
  <c r="Q68" i="2879"/>
  <c r="Q69" i="2879"/>
  <c r="N69" i="2879" s="1"/>
  <c r="Q70" i="2879"/>
  <c r="Q71" i="2879"/>
  <c r="Q72" i="2879"/>
  <c r="Q73" i="2879"/>
  <c r="N73" i="2879" s="1"/>
  <c r="Q74" i="2879"/>
  <c r="Q75" i="2879"/>
  <c r="Q76" i="2879"/>
  <c r="Q77" i="2879"/>
  <c r="R77" i="2879" s="1"/>
  <c r="S77" i="2879" s="1"/>
  <c r="Q78" i="2879"/>
  <c r="Q49" i="2879"/>
  <c r="Q5" i="2879"/>
  <c r="Q6" i="2879"/>
  <c r="Q7" i="2879"/>
  <c r="Q8" i="2879"/>
  <c r="Q9" i="2879"/>
  <c r="Q10" i="2879"/>
  <c r="Q11" i="2879"/>
  <c r="Q12" i="2879"/>
  <c r="N12" i="2879" s="1"/>
  <c r="Q13" i="2879"/>
  <c r="Q14" i="2879"/>
  <c r="Q15" i="2879"/>
  <c r="Q16" i="2879"/>
  <c r="N16" i="2879" s="1"/>
  <c r="Q17" i="2879"/>
  <c r="Q18" i="2879"/>
  <c r="Q19" i="2879"/>
  <c r="Q20" i="2879"/>
  <c r="N20" i="2879" s="1"/>
  <c r="Q21" i="2879"/>
  <c r="Q22" i="2879"/>
  <c r="Q23" i="2879"/>
  <c r="Q24" i="2879"/>
  <c r="N24" i="2879" s="1"/>
  <c r="Q25" i="2879"/>
  <c r="Q26" i="2879"/>
  <c r="Q27" i="2879"/>
  <c r="Q28" i="2879"/>
  <c r="N28" i="2879" s="1"/>
  <c r="Q29" i="2879"/>
  <c r="Q30" i="2879"/>
  <c r="Q31" i="2879"/>
  <c r="Q32" i="2879"/>
  <c r="Q33" i="2879"/>
  <c r="Q34" i="2879"/>
  <c r="Q35" i="2879"/>
  <c r="Q36" i="2879"/>
  <c r="R36" i="2879" s="1"/>
  <c r="S36" i="2879" s="1"/>
  <c r="Q37" i="2879"/>
  <c r="Q38" i="2879"/>
  <c r="Q39" i="2879"/>
  <c r="U49" i="2864"/>
  <c r="U50" i="2864"/>
  <c r="U51" i="2864"/>
  <c r="U52" i="2864"/>
  <c r="U53" i="2864"/>
  <c r="U54" i="2864"/>
  <c r="U55" i="2864"/>
  <c r="U56" i="2864"/>
  <c r="U57" i="2864"/>
  <c r="U58" i="2864"/>
  <c r="U59" i="2864"/>
  <c r="U60" i="2864"/>
  <c r="U61" i="2864"/>
  <c r="U62" i="2864"/>
  <c r="U63" i="2864"/>
  <c r="U64" i="2864"/>
  <c r="U65" i="2864"/>
  <c r="U66" i="2864"/>
  <c r="U67" i="2864"/>
  <c r="U68" i="2864"/>
  <c r="U69" i="2864"/>
  <c r="U70" i="2864"/>
  <c r="U71" i="2864"/>
  <c r="U72" i="2864"/>
  <c r="U73" i="2864"/>
  <c r="U74" i="2864"/>
  <c r="U75" i="2864"/>
  <c r="U76" i="2864"/>
  <c r="U77" i="2864"/>
  <c r="U48" i="2864"/>
  <c r="U5" i="2864"/>
  <c r="U6" i="2864"/>
  <c r="U7" i="2864"/>
  <c r="U8" i="2864"/>
  <c r="U9" i="2864"/>
  <c r="U10" i="2864"/>
  <c r="U11" i="2864"/>
  <c r="U12" i="2864"/>
  <c r="U13" i="2864"/>
  <c r="U14" i="2864"/>
  <c r="U15" i="2864"/>
  <c r="U16" i="2864"/>
  <c r="U17" i="2864"/>
  <c r="U18" i="2864"/>
  <c r="U19" i="2864"/>
  <c r="U20" i="2864"/>
  <c r="U21" i="2864"/>
  <c r="U22" i="2864"/>
  <c r="U23" i="2864"/>
  <c r="U24" i="2864"/>
  <c r="U25" i="2864"/>
  <c r="U26" i="2864"/>
  <c r="U27" i="2864"/>
  <c r="U28" i="2864"/>
  <c r="U29" i="2864"/>
  <c r="U30" i="2864"/>
  <c r="U31" i="2864"/>
  <c r="U32" i="2864"/>
  <c r="U33" i="2864"/>
  <c r="U34" i="2864"/>
  <c r="U35" i="2864"/>
  <c r="U36" i="2864"/>
  <c r="U37" i="2864"/>
  <c r="U38" i="2864"/>
  <c r="T49" i="2864"/>
  <c r="T50" i="2864"/>
  <c r="T51" i="2864"/>
  <c r="T52" i="2864"/>
  <c r="T53" i="2864"/>
  <c r="T54" i="2864"/>
  <c r="T55" i="2864"/>
  <c r="T56" i="2864"/>
  <c r="T57" i="2864"/>
  <c r="T58" i="2864"/>
  <c r="T59" i="2864"/>
  <c r="T60" i="2864"/>
  <c r="T61" i="2864"/>
  <c r="T62" i="2864"/>
  <c r="T63" i="2864"/>
  <c r="T64" i="2864"/>
  <c r="T65" i="2864"/>
  <c r="T66" i="2864"/>
  <c r="T67" i="2864"/>
  <c r="T68" i="2864"/>
  <c r="T69" i="2864"/>
  <c r="T70" i="2864"/>
  <c r="T71" i="2864"/>
  <c r="T72" i="2864"/>
  <c r="T73" i="2864"/>
  <c r="T74" i="2864"/>
  <c r="T75" i="2864"/>
  <c r="T76" i="2864"/>
  <c r="T77" i="2864"/>
  <c r="T48" i="2864"/>
  <c r="T5" i="2864"/>
  <c r="T6" i="2864"/>
  <c r="T7" i="2864"/>
  <c r="T8" i="2864"/>
  <c r="T9" i="2864"/>
  <c r="T10" i="2864"/>
  <c r="T11" i="2864"/>
  <c r="T12" i="2864"/>
  <c r="T13" i="2864"/>
  <c r="T14" i="2864"/>
  <c r="T15" i="2864"/>
  <c r="T16" i="2864"/>
  <c r="T17" i="2864"/>
  <c r="T18" i="2864"/>
  <c r="T19" i="2864"/>
  <c r="T20" i="2864"/>
  <c r="T21" i="2864"/>
  <c r="T22" i="2864"/>
  <c r="T23" i="2864"/>
  <c r="T24" i="2864"/>
  <c r="T25" i="2864"/>
  <c r="T26" i="2864"/>
  <c r="T27" i="2864"/>
  <c r="T28" i="2864"/>
  <c r="T29" i="2864"/>
  <c r="T30" i="2864"/>
  <c r="T31" i="2864"/>
  <c r="T32" i="2864"/>
  <c r="T33" i="2864"/>
  <c r="T34" i="2864"/>
  <c r="T35" i="2864"/>
  <c r="T36" i="2864"/>
  <c r="T37" i="2864"/>
  <c r="T38" i="2864"/>
  <c r="Q49" i="2864"/>
  <c r="Q50" i="2864"/>
  <c r="Q51" i="2864"/>
  <c r="Q52" i="2864"/>
  <c r="Q53" i="2864"/>
  <c r="Q54" i="2864"/>
  <c r="Q55" i="2864"/>
  <c r="Q56" i="2864"/>
  <c r="Q57" i="2864"/>
  <c r="Q58" i="2864"/>
  <c r="Q59" i="2864"/>
  <c r="Q60" i="2864"/>
  <c r="N60" i="2864" s="1"/>
  <c r="Q61" i="2864"/>
  <c r="Q62" i="2864"/>
  <c r="Q63" i="2864"/>
  <c r="Q64" i="2864"/>
  <c r="R64" i="2864" s="1"/>
  <c r="S64" i="2864" s="1"/>
  <c r="Q65" i="2864"/>
  <c r="Q66" i="2864"/>
  <c r="Q67" i="2864"/>
  <c r="Q68" i="2864"/>
  <c r="R68" i="2864" s="1"/>
  <c r="S68" i="2864" s="1"/>
  <c r="Q69" i="2864"/>
  <c r="Q70" i="2864"/>
  <c r="Q71" i="2864"/>
  <c r="Q72" i="2864"/>
  <c r="R72" i="2864" s="1"/>
  <c r="S72" i="2864" s="1"/>
  <c r="Q73" i="2864"/>
  <c r="Q74" i="2864"/>
  <c r="Q75" i="2864"/>
  <c r="Q76" i="2864"/>
  <c r="R76" i="2864" s="1"/>
  <c r="S76" i="2864" s="1"/>
  <c r="Q77" i="2864"/>
  <c r="Q48" i="2864"/>
  <c r="Q5" i="2864"/>
  <c r="Q6" i="2864"/>
  <c r="Q7" i="2864"/>
  <c r="Q8" i="2864"/>
  <c r="Q9" i="2864"/>
  <c r="Q10" i="2864"/>
  <c r="Q11" i="2864"/>
  <c r="Q12" i="2864"/>
  <c r="R12" i="2864" s="1"/>
  <c r="S12" i="2864" s="1"/>
  <c r="Q13" i="2864"/>
  <c r="Q14" i="2864"/>
  <c r="Q15" i="2864"/>
  <c r="Q16" i="2864"/>
  <c r="N16" i="2864" s="1"/>
  <c r="Q17" i="2864"/>
  <c r="Q18" i="2864"/>
  <c r="Q19" i="2864"/>
  <c r="Q20" i="2864"/>
  <c r="N20" i="2864" s="1"/>
  <c r="Q21" i="2864"/>
  <c r="Q22" i="2864"/>
  <c r="Q23" i="2864"/>
  <c r="Q24" i="2864"/>
  <c r="N24" i="2864" s="1"/>
  <c r="Q25" i="2864"/>
  <c r="Q26" i="2864"/>
  <c r="Q27" i="2864"/>
  <c r="Q28" i="2864"/>
  <c r="N28" i="2864" s="1"/>
  <c r="Q29" i="2864"/>
  <c r="Q30" i="2864"/>
  <c r="Q31" i="2864"/>
  <c r="Q32" i="2864"/>
  <c r="N32" i="2864" s="1"/>
  <c r="Q33" i="2864"/>
  <c r="Q34" i="2864"/>
  <c r="Q35" i="2864"/>
  <c r="Q36" i="2864"/>
  <c r="N36" i="2864" s="1"/>
  <c r="Q37" i="2864"/>
  <c r="Q38" i="2864"/>
  <c r="V49" i="2858"/>
  <c r="V50" i="2858"/>
  <c r="V51" i="2858"/>
  <c r="V52" i="2858"/>
  <c r="W52" i="2858" s="1"/>
  <c r="V53" i="2858"/>
  <c r="V54" i="2858"/>
  <c r="V55" i="2858"/>
  <c r="V56" i="2858"/>
  <c r="W56" i="2858" s="1"/>
  <c r="V57" i="2858"/>
  <c r="V58" i="2858"/>
  <c r="V59" i="2858"/>
  <c r="V60" i="2858"/>
  <c r="W60" i="2858" s="1"/>
  <c r="V61" i="2858"/>
  <c r="V62" i="2858"/>
  <c r="V63" i="2858"/>
  <c r="V64" i="2858"/>
  <c r="V65" i="2858"/>
  <c r="V66" i="2858"/>
  <c r="V67" i="2858"/>
  <c r="V68" i="2858"/>
  <c r="W68" i="2858" s="1"/>
  <c r="V69" i="2858"/>
  <c r="V70" i="2858"/>
  <c r="V71" i="2858"/>
  <c r="V72" i="2858"/>
  <c r="W72" i="2858" s="1"/>
  <c r="V73" i="2858"/>
  <c r="V74" i="2858"/>
  <c r="V75" i="2858"/>
  <c r="V76" i="2858"/>
  <c r="W76" i="2858" s="1"/>
  <c r="V77" i="2858"/>
  <c r="V48" i="2858"/>
  <c r="V5" i="2858"/>
  <c r="V6" i="2858"/>
  <c r="V7" i="2858"/>
  <c r="V8" i="2858"/>
  <c r="V9" i="2858"/>
  <c r="V10" i="2858"/>
  <c r="V11" i="2858"/>
  <c r="V12" i="2858"/>
  <c r="W12" i="2858" s="1"/>
  <c r="V13" i="2858"/>
  <c r="V14" i="2858"/>
  <c r="V15" i="2858"/>
  <c r="V16" i="2858"/>
  <c r="V17" i="2858"/>
  <c r="V18" i="2858"/>
  <c r="V19" i="2858"/>
  <c r="V20" i="2858"/>
  <c r="V21" i="2858"/>
  <c r="V22" i="2858"/>
  <c r="V23" i="2858"/>
  <c r="V24" i="2858"/>
  <c r="V25" i="2858"/>
  <c r="V26" i="2858"/>
  <c r="V27" i="2858"/>
  <c r="V28" i="2858"/>
  <c r="V29" i="2858"/>
  <c r="V30" i="2858"/>
  <c r="V31" i="2858"/>
  <c r="V32" i="2858"/>
  <c r="V33" i="2858"/>
  <c r="V34" i="2858"/>
  <c r="V35" i="2858"/>
  <c r="V36" i="2858"/>
  <c r="V37" i="2858"/>
  <c r="V38" i="2858"/>
  <c r="U49" i="2858"/>
  <c r="U50" i="2858"/>
  <c r="U51" i="2858"/>
  <c r="U52" i="2858"/>
  <c r="U53" i="2858"/>
  <c r="U54" i="2858"/>
  <c r="U55" i="2858"/>
  <c r="U56" i="2858"/>
  <c r="U57" i="2858"/>
  <c r="U58" i="2858"/>
  <c r="U59" i="2858"/>
  <c r="U60" i="2858"/>
  <c r="U61" i="2858"/>
  <c r="U62" i="2858"/>
  <c r="U63" i="2858"/>
  <c r="U64" i="2858"/>
  <c r="U65" i="2858"/>
  <c r="U66" i="2858"/>
  <c r="U67" i="2858"/>
  <c r="U68" i="2858"/>
  <c r="U69" i="2858"/>
  <c r="U70" i="2858"/>
  <c r="U71" i="2858"/>
  <c r="U72" i="2858"/>
  <c r="U73" i="2858"/>
  <c r="U74" i="2858"/>
  <c r="U75" i="2858"/>
  <c r="U76" i="2858"/>
  <c r="U77" i="2858"/>
  <c r="U48" i="2858"/>
  <c r="U5" i="2858"/>
  <c r="U6" i="2858"/>
  <c r="U7" i="2858"/>
  <c r="U8" i="2858"/>
  <c r="U9" i="2858"/>
  <c r="U10" i="2858"/>
  <c r="U11" i="2858"/>
  <c r="U12" i="2858"/>
  <c r="U13" i="2858"/>
  <c r="U14" i="2858"/>
  <c r="U15" i="2858"/>
  <c r="U16" i="2858"/>
  <c r="U17" i="2858"/>
  <c r="U18" i="2858"/>
  <c r="U19" i="2858"/>
  <c r="U20" i="2858"/>
  <c r="U21" i="2858"/>
  <c r="U22" i="2858"/>
  <c r="U23" i="2858"/>
  <c r="U24" i="2858"/>
  <c r="U25" i="2858"/>
  <c r="U26" i="2858"/>
  <c r="U27" i="2858"/>
  <c r="U28" i="2858"/>
  <c r="U29" i="2858"/>
  <c r="U30" i="2858"/>
  <c r="U31" i="2858"/>
  <c r="U32" i="2858"/>
  <c r="U33" i="2858"/>
  <c r="U34" i="2858"/>
  <c r="U35" i="2858"/>
  <c r="U36" i="2858"/>
  <c r="U37" i="2858"/>
  <c r="U38" i="2858"/>
  <c r="T49" i="2858"/>
  <c r="T50" i="2858"/>
  <c r="T51" i="2858"/>
  <c r="T52" i="2858"/>
  <c r="T53" i="2858"/>
  <c r="T54" i="2858"/>
  <c r="T55" i="2858"/>
  <c r="T56" i="2858"/>
  <c r="T57" i="2858"/>
  <c r="T58" i="2858"/>
  <c r="T59" i="2858"/>
  <c r="T60" i="2858"/>
  <c r="T61" i="2858"/>
  <c r="T62" i="2858"/>
  <c r="T63" i="2858"/>
  <c r="T64" i="2858"/>
  <c r="T65" i="2858"/>
  <c r="T66" i="2858"/>
  <c r="T67" i="2858"/>
  <c r="T68" i="2858"/>
  <c r="T69" i="2858"/>
  <c r="T70" i="2858"/>
  <c r="T71" i="2858"/>
  <c r="T72" i="2858"/>
  <c r="T73" i="2858"/>
  <c r="T74" i="2858"/>
  <c r="T75" i="2858"/>
  <c r="T76" i="2858"/>
  <c r="T77" i="2858"/>
  <c r="T48" i="2858"/>
  <c r="T5" i="2858"/>
  <c r="T6" i="2858"/>
  <c r="T7" i="2858"/>
  <c r="T8" i="2858"/>
  <c r="T9" i="2858"/>
  <c r="T10" i="2858"/>
  <c r="T11" i="2858"/>
  <c r="T12" i="2858"/>
  <c r="T13" i="2858"/>
  <c r="T14" i="2858"/>
  <c r="T15" i="2858"/>
  <c r="T16" i="2858"/>
  <c r="T17" i="2858"/>
  <c r="T18" i="2858"/>
  <c r="T19" i="2858"/>
  <c r="T20" i="2858"/>
  <c r="T21" i="2858"/>
  <c r="T22" i="2858"/>
  <c r="T23" i="2858"/>
  <c r="T24" i="2858"/>
  <c r="T25" i="2858"/>
  <c r="T26" i="2858"/>
  <c r="T27" i="2858"/>
  <c r="T28" i="2858"/>
  <c r="T29" i="2858"/>
  <c r="T30" i="2858"/>
  <c r="T31" i="2858"/>
  <c r="T32" i="2858"/>
  <c r="T33" i="2858"/>
  <c r="T34" i="2858"/>
  <c r="T35" i="2858"/>
  <c r="T36" i="2858"/>
  <c r="T37" i="2858"/>
  <c r="T38" i="2858"/>
  <c r="Q49" i="2858"/>
  <c r="Q50" i="2858"/>
  <c r="Q51" i="2858"/>
  <c r="Q52" i="2858"/>
  <c r="Q53" i="2858"/>
  <c r="Q54" i="2858"/>
  <c r="Q55" i="2858"/>
  <c r="Q56" i="2858"/>
  <c r="N56" i="2858" s="1"/>
  <c r="Q57" i="2858"/>
  <c r="Q58" i="2858"/>
  <c r="Q59" i="2858"/>
  <c r="Q60" i="2858"/>
  <c r="Q61" i="2858"/>
  <c r="Q62" i="2858"/>
  <c r="Q63" i="2858"/>
  <c r="Q64" i="2858"/>
  <c r="R64" i="2858" s="1"/>
  <c r="S64" i="2858" s="1"/>
  <c r="Q65" i="2858"/>
  <c r="Q66" i="2858"/>
  <c r="Q67" i="2858"/>
  <c r="Q68" i="2858"/>
  <c r="R68" i="2858" s="1"/>
  <c r="S68" i="2858" s="1"/>
  <c r="Q69" i="2858"/>
  <c r="Q70" i="2858"/>
  <c r="Q71" i="2858"/>
  <c r="Q72" i="2858"/>
  <c r="Q73" i="2858"/>
  <c r="Q74" i="2858"/>
  <c r="Q75" i="2858"/>
  <c r="Q76" i="2858"/>
  <c r="Q77" i="2858"/>
  <c r="Q5" i="2858"/>
  <c r="Q6" i="2858"/>
  <c r="Q7" i="2858"/>
  <c r="Q8" i="2858"/>
  <c r="Q9" i="2858"/>
  <c r="Q10" i="2858"/>
  <c r="Q11" i="2858"/>
  <c r="Q12" i="2858"/>
  <c r="R12" i="2858" s="1"/>
  <c r="S12" i="2858" s="1"/>
  <c r="Q13" i="2858"/>
  <c r="Q14" i="2858"/>
  <c r="Q15" i="2858"/>
  <c r="Q16" i="2858"/>
  <c r="Q17" i="2858"/>
  <c r="Q18" i="2858"/>
  <c r="Q19" i="2858"/>
  <c r="Q20" i="2858"/>
  <c r="R20" i="2858" s="1"/>
  <c r="Q21" i="2858"/>
  <c r="Q22" i="2858"/>
  <c r="Q23" i="2858"/>
  <c r="Q24" i="2858"/>
  <c r="R24" i="2858" s="1"/>
  <c r="S24" i="2858" s="1"/>
  <c r="Q25" i="2858"/>
  <c r="Q26" i="2858"/>
  <c r="Q27" i="2858"/>
  <c r="Q28" i="2858"/>
  <c r="R28" i="2858" s="1"/>
  <c r="S28" i="2858" s="1"/>
  <c r="Q29" i="2858"/>
  <c r="Q30" i="2858"/>
  <c r="Q31" i="2858"/>
  <c r="Q32" i="2858"/>
  <c r="Q33" i="2858"/>
  <c r="Q34" i="2858"/>
  <c r="Q35" i="2858"/>
  <c r="Q36" i="2858"/>
  <c r="R36" i="2858" s="1"/>
  <c r="S36" i="2858" s="1"/>
  <c r="Q37" i="2858"/>
  <c r="Q38" i="2858"/>
  <c r="Q4" i="2858"/>
  <c r="V49" i="2864"/>
  <c r="V50" i="2864"/>
  <c r="V51" i="2864"/>
  <c r="V52" i="2864"/>
  <c r="W52" i="2864" s="1"/>
  <c r="V53" i="2864"/>
  <c r="V54" i="2864"/>
  <c r="V55" i="2864"/>
  <c r="V56" i="2864"/>
  <c r="W56" i="2864" s="1"/>
  <c r="V57" i="2864"/>
  <c r="V58" i="2864"/>
  <c r="V59" i="2864"/>
  <c r="V60" i="2864"/>
  <c r="W60" i="2864" s="1"/>
  <c r="V61" i="2864"/>
  <c r="V62" i="2864"/>
  <c r="V63" i="2864"/>
  <c r="V64" i="2864"/>
  <c r="W64" i="2864" s="1"/>
  <c r="V65" i="2864"/>
  <c r="V66" i="2864"/>
  <c r="V67" i="2864"/>
  <c r="V68" i="2864"/>
  <c r="W68" i="2864" s="1"/>
  <c r="V69" i="2864"/>
  <c r="V70" i="2864"/>
  <c r="V71" i="2864"/>
  <c r="V72" i="2864"/>
  <c r="W72" i="2864" s="1"/>
  <c r="V73" i="2864"/>
  <c r="V74" i="2864"/>
  <c r="V75" i="2864"/>
  <c r="V76" i="2864"/>
  <c r="W76" i="2864" s="1"/>
  <c r="V77" i="2864"/>
  <c r="V48" i="2864"/>
  <c r="V5" i="2864"/>
  <c r="V6" i="2864"/>
  <c r="V7" i="2864"/>
  <c r="V8" i="2864"/>
  <c r="V9" i="2864"/>
  <c r="V10" i="2864"/>
  <c r="V11" i="2864"/>
  <c r="V12" i="2864"/>
  <c r="W12" i="2864" s="1"/>
  <c r="V13" i="2864"/>
  <c r="V14" i="2864"/>
  <c r="V15" i="2864"/>
  <c r="V16" i="2864"/>
  <c r="W16" i="2864" s="1"/>
  <c r="V17" i="2864"/>
  <c r="V18" i="2864"/>
  <c r="V19" i="2864"/>
  <c r="V20" i="2864"/>
  <c r="W20" i="2864" s="1"/>
  <c r="V21" i="2864"/>
  <c r="V22" i="2864"/>
  <c r="V23" i="2864"/>
  <c r="V24" i="2864"/>
  <c r="W24" i="2864" s="1"/>
  <c r="V25" i="2864"/>
  <c r="V26" i="2864"/>
  <c r="V27" i="2864"/>
  <c r="V28" i="2864"/>
  <c r="W28" i="2864" s="1"/>
  <c r="V29" i="2864"/>
  <c r="V30" i="2864"/>
  <c r="V31" i="2864"/>
  <c r="V32" i="2864"/>
  <c r="W32" i="2864" s="1"/>
  <c r="V33" i="2864"/>
  <c r="V34" i="2864"/>
  <c r="V35" i="2864"/>
  <c r="V36" i="2864"/>
  <c r="W36" i="2864" s="1"/>
  <c r="V37" i="2864"/>
  <c r="V38" i="2864"/>
  <c r="V4" i="2864"/>
  <c r="U4" i="2864"/>
  <c r="T4" i="2864"/>
  <c r="R52" i="2864"/>
  <c r="S52" i="2864" s="1"/>
  <c r="N77" i="2864"/>
  <c r="Q4" i="2864"/>
  <c r="W64" i="2858"/>
  <c r="V4" i="2858"/>
  <c r="U4" i="2858"/>
  <c r="T4" i="2858"/>
  <c r="R52" i="2858"/>
  <c r="S52" i="2858" s="1"/>
  <c r="N72" i="2858"/>
  <c r="Q48" i="2858"/>
  <c r="R32" i="2858"/>
  <c r="S32" i="2858" s="1"/>
  <c r="S70" i="2716"/>
  <c r="S71" i="2716"/>
  <c r="S72" i="2716"/>
  <c r="S73" i="2716"/>
  <c r="T73" i="2716" s="1"/>
  <c r="S74" i="2716"/>
  <c r="T74" i="2716" s="1"/>
  <c r="S75" i="2716"/>
  <c r="T75" i="2716" s="1"/>
  <c r="S76" i="2716"/>
  <c r="T76" i="2716" s="1"/>
  <c r="S77" i="2716"/>
  <c r="T77" i="2716" s="1"/>
  <c r="S78" i="2716"/>
  <c r="T78" i="2716" s="1"/>
  <c r="S79" i="2716"/>
  <c r="T79" i="2716" s="1"/>
  <c r="S80" i="2716"/>
  <c r="T80" i="2716" s="1"/>
  <c r="S81" i="2716"/>
  <c r="T81" i="2716" s="1"/>
  <c r="S82" i="2716"/>
  <c r="T82" i="2716" s="1"/>
  <c r="S83" i="2716"/>
  <c r="T83" i="2716" s="1"/>
  <c r="S84" i="2716"/>
  <c r="S85" i="2716"/>
  <c r="T85" i="2716" s="1"/>
  <c r="S86" i="2716"/>
  <c r="T86" i="2716" s="1"/>
  <c r="S87" i="2716"/>
  <c r="T87" i="2716" s="1"/>
  <c r="S88" i="2716"/>
  <c r="S89" i="2716"/>
  <c r="T89" i="2716" s="1"/>
  <c r="S90" i="2716"/>
  <c r="T90" i="2716" s="1"/>
  <c r="S91" i="2716"/>
  <c r="T91" i="2716" s="1"/>
  <c r="S92" i="2716"/>
  <c r="T92" i="2716" s="1"/>
  <c r="S93" i="2716"/>
  <c r="T93" i="2716" s="1"/>
  <c r="S94" i="2716"/>
  <c r="T94" i="2716" s="1"/>
  <c r="S95" i="2716"/>
  <c r="T95" i="2716" s="1"/>
  <c r="S96" i="2716"/>
  <c r="T96" i="2716" s="1"/>
  <c r="S97" i="2716"/>
  <c r="T97" i="2716" s="1"/>
  <c r="S98" i="2716"/>
  <c r="T98" i="2716" s="1"/>
  <c r="S99" i="2716"/>
  <c r="T99" i="2716" s="1"/>
  <c r="S69" i="2716"/>
  <c r="T69" i="2716" s="1"/>
  <c r="S16" i="2716"/>
  <c r="S17" i="2716"/>
  <c r="J85" i="2826" s="1"/>
  <c r="S18" i="2716"/>
  <c r="T18" i="2716" s="1"/>
  <c r="S19" i="2716"/>
  <c r="S20" i="2716"/>
  <c r="T20" i="2716" s="1"/>
  <c r="S21" i="2716"/>
  <c r="S22" i="2716"/>
  <c r="T22" i="2716" s="1"/>
  <c r="S23" i="2716"/>
  <c r="J89" i="2831" s="1"/>
  <c r="S24" i="2716"/>
  <c r="T24" i="2716" s="1"/>
  <c r="S25" i="2716"/>
  <c r="J87" i="2832" s="1"/>
  <c r="S26" i="2716"/>
  <c r="J88" i="2832" s="1"/>
  <c r="S27" i="2716"/>
  <c r="T27" i="2716" s="1"/>
  <c r="S28" i="2716"/>
  <c r="T28" i="2716" s="1"/>
  <c r="S29" i="2716"/>
  <c r="S30" i="2716"/>
  <c r="T30" i="2716" s="1"/>
  <c r="S31" i="2716"/>
  <c r="T31" i="2716" s="1"/>
  <c r="S32" i="2716"/>
  <c r="T32" i="2716" s="1"/>
  <c r="S33" i="2716"/>
  <c r="T33" i="2716" s="1"/>
  <c r="S34" i="2716"/>
  <c r="J92" i="2837" s="1"/>
  <c r="S35" i="2716"/>
  <c r="J88" i="2838" s="1"/>
  <c r="S36" i="2716"/>
  <c r="J89" i="2838" s="1"/>
  <c r="S37" i="2716"/>
  <c r="S38" i="2716"/>
  <c r="J88" i="2839" s="1"/>
  <c r="S39" i="2716"/>
  <c r="T39" i="2716" s="1"/>
  <c r="S40" i="2716"/>
  <c r="S41" i="2716"/>
  <c r="S42" i="2716"/>
  <c r="T42" i="2716" s="1"/>
  <c r="S43" i="2716"/>
  <c r="T43" i="2716" s="1"/>
  <c r="S44" i="2716"/>
  <c r="T44" i="2716" s="1"/>
  <c r="S45" i="2716"/>
  <c r="J89" i="2844" s="1"/>
  <c r="S46" i="2716"/>
  <c r="T46" i="2716" s="1"/>
  <c r="S47" i="2716"/>
  <c r="T47" i="2716" s="1"/>
  <c r="S48" i="2716"/>
  <c r="J87" i="2846" s="1"/>
  <c r="S49" i="2716"/>
  <c r="T49" i="2716" s="1"/>
  <c r="S50" i="2716"/>
  <c r="J89" i="2846" s="1"/>
  <c r="S51" i="2716"/>
  <c r="J86" i="2847" s="1"/>
  <c r="S52" i="2716"/>
  <c r="T52" i="2716" s="1"/>
  <c r="S53" i="2716"/>
  <c r="T53" i="2716" s="1"/>
  <c r="S54" i="2716"/>
  <c r="J85" i="2848" s="1"/>
  <c r="S55" i="2716"/>
  <c r="T55" i="2716" s="1"/>
  <c r="S56" i="2716"/>
  <c r="T56" i="2716" s="1"/>
  <c r="S57" i="2716"/>
  <c r="S58" i="2716"/>
  <c r="T58" i="2716" s="1"/>
  <c r="S59" i="2716"/>
  <c r="T59" i="2716" s="1"/>
  <c r="S4" i="2716"/>
  <c r="R70" i="2716"/>
  <c r="R71" i="2716"/>
  <c r="R72" i="2716"/>
  <c r="R73" i="2716"/>
  <c r="R74" i="2716"/>
  <c r="R75" i="2716"/>
  <c r="R76" i="2716"/>
  <c r="R77" i="2716"/>
  <c r="R78" i="2716"/>
  <c r="R79" i="2716"/>
  <c r="R80" i="2716"/>
  <c r="R81" i="2716"/>
  <c r="R82" i="2716"/>
  <c r="R83" i="2716"/>
  <c r="R84" i="2716"/>
  <c r="R85" i="2716"/>
  <c r="R86" i="2716"/>
  <c r="R87" i="2716"/>
  <c r="R88" i="2716"/>
  <c r="R89" i="2716"/>
  <c r="R90" i="2716"/>
  <c r="R91" i="2716"/>
  <c r="R92" i="2716"/>
  <c r="R93" i="2716"/>
  <c r="R94" i="2716"/>
  <c r="R95" i="2716"/>
  <c r="R96" i="2716"/>
  <c r="R97" i="2716"/>
  <c r="R98" i="2716"/>
  <c r="R99" i="2716"/>
  <c r="R69" i="2716"/>
  <c r="R5" i="2716"/>
  <c r="R6" i="2716"/>
  <c r="R7" i="2716"/>
  <c r="R8" i="2716"/>
  <c r="R9" i="2716"/>
  <c r="R10" i="2716"/>
  <c r="R11" i="2716"/>
  <c r="R12" i="2716"/>
  <c r="R13" i="2716"/>
  <c r="R14" i="2716"/>
  <c r="R15" i="2716"/>
  <c r="R16" i="2716"/>
  <c r="R17" i="2716"/>
  <c r="I85" i="2826" s="1"/>
  <c r="R18" i="2716"/>
  <c r="I86" i="2826" s="1"/>
  <c r="R19" i="2716"/>
  <c r="I88" i="2827" s="1"/>
  <c r="R20" i="2716"/>
  <c r="R21" i="2716"/>
  <c r="I86" i="2829" s="1"/>
  <c r="R22" i="2716"/>
  <c r="R23" i="2716"/>
  <c r="I89" i="2831" s="1"/>
  <c r="R24" i="2716"/>
  <c r="I90" i="2831" s="1"/>
  <c r="R25" i="2716"/>
  <c r="I87" i="2832" s="1"/>
  <c r="R26" i="2716"/>
  <c r="I88" i="2832" s="1"/>
  <c r="R27" i="2716"/>
  <c r="I89" i="2833" s="1"/>
  <c r="R28" i="2716"/>
  <c r="I88" i="2834" s="1"/>
  <c r="R29" i="2716"/>
  <c r="I89" i="2834" s="1"/>
  <c r="R30" i="2716"/>
  <c r="R31" i="2716"/>
  <c r="R32" i="2716"/>
  <c r="R33" i="2716"/>
  <c r="I90" i="2836" s="1"/>
  <c r="R34" i="2716"/>
  <c r="R35" i="2716"/>
  <c r="I88" i="2838" s="1"/>
  <c r="R36" i="2716"/>
  <c r="R37" i="2716"/>
  <c r="R38" i="2716"/>
  <c r="I88" i="2839" s="1"/>
  <c r="R39" i="2716"/>
  <c r="I89" i="2839" s="1"/>
  <c r="R40" i="2716"/>
  <c r="R41" i="2716"/>
  <c r="I88" i="2840" s="1"/>
  <c r="R42" i="2716"/>
  <c r="R43" i="2716"/>
  <c r="R44" i="2716"/>
  <c r="I87" i="2843" s="1"/>
  <c r="R45" i="2716"/>
  <c r="I89" i="2844" s="1"/>
  <c r="R46" i="2716"/>
  <c r="I88" i="2845" s="1"/>
  <c r="R47" i="2716"/>
  <c r="I89" i="2845" s="1"/>
  <c r="R48" i="2716"/>
  <c r="I87" i="2846" s="1"/>
  <c r="R49" i="2716"/>
  <c r="R50" i="2716"/>
  <c r="I89" i="2846" s="1"/>
  <c r="R51" i="2716"/>
  <c r="I86" i="2847" s="1"/>
  <c r="R52" i="2716"/>
  <c r="R53" i="2716"/>
  <c r="R54" i="2716"/>
  <c r="R55" i="2716"/>
  <c r="I87" i="2849" s="1"/>
  <c r="R56" i="2716"/>
  <c r="I87" i="2850" s="1"/>
  <c r="R57" i="2716"/>
  <c r="I88" i="2851" s="1"/>
  <c r="R58" i="2716"/>
  <c r="I89" i="2851" s="1"/>
  <c r="R59" i="2716"/>
  <c r="R4" i="2716"/>
  <c r="O70" i="2716"/>
  <c r="O71" i="2716"/>
  <c r="O72" i="2716"/>
  <c r="M72" i="2716" s="1"/>
  <c r="Q72" i="2716" s="1"/>
  <c r="O73" i="2716"/>
  <c r="O74" i="2716"/>
  <c r="O75" i="2716"/>
  <c r="M75" i="2716" s="1"/>
  <c r="Q75" i="2716" s="1"/>
  <c r="O76" i="2716"/>
  <c r="M76" i="2716" s="1"/>
  <c r="Q76" i="2716" s="1"/>
  <c r="O77" i="2716"/>
  <c r="O78" i="2716"/>
  <c r="O79" i="2716"/>
  <c r="M79" i="2716" s="1"/>
  <c r="Q79" i="2716" s="1"/>
  <c r="O80" i="2716"/>
  <c r="M80" i="2716" s="1"/>
  <c r="Q80" i="2716" s="1"/>
  <c r="O81" i="2716"/>
  <c r="O82" i="2716"/>
  <c r="O83" i="2716"/>
  <c r="O84" i="2716"/>
  <c r="M84" i="2716" s="1"/>
  <c r="Q84" i="2716" s="1"/>
  <c r="O85" i="2716"/>
  <c r="M85" i="2716" s="1"/>
  <c r="Q85" i="2716" s="1"/>
  <c r="O86" i="2716"/>
  <c r="O87" i="2716"/>
  <c r="M87" i="2716" s="1"/>
  <c r="Q87" i="2716" s="1"/>
  <c r="O88" i="2716"/>
  <c r="M88" i="2716" s="1"/>
  <c r="Q88" i="2716" s="1"/>
  <c r="O89" i="2716"/>
  <c r="M89" i="2716" s="1"/>
  <c r="Q89" i="2716" s="1"/>
  <c r="O90" i="2716"/>
  <c r="O91" i="2716"/>
  <c r="O92" i="2716"/>
  <c r="M92" i="2716" s="1"/>
  <c r="Q92" i="2716" s="1"/>
  <c r="O93" i="2716"/>
  <c r="M93" i="2716" s="1"/>
  <c r="Q93" i="2716" s="1"/>
  <c r="O94" i="2716"/>
  <c r="O95" i="2716"/>
  <c r="O96" i="2716"/>
  <c r="M96" i="2716" s="1"/>
  <c r="Q96" i="2716" s="1"/>
  <c r="O97" i="2716"/>
  <c r="M97" i="2716" s="1"/>
  <c r="Q97" i="2716" s="1"/>
  <c r="O98" i="2716"/>
  <c r="O99" i="2716"/>
  <c r="M99" i="2716" s="1"/>
  <c r="Q99" i="2716" s="1"/>
  <c r="O69" i="2716"/>
  <c r="M69" i="2716" s="1"/>
  <c r="Q69" i="2716" s="1"/>
  <c r="O5" i="2716"/>
  <c r="O6" i="2716"/>
  <c r="O7" i="2716"/>
  <c r="O8" i="2716"/>
  <c r="O9" i="2716"/>
  <c r="O10" i="2716"/>
  <c r="O11" i="2716"/>
  <c r="O12" i="2716"/>
  <c r="O13" i="2716"/>
  <c r="O14" i="2716"/>
  <c r="O15" i="2716"/>
  <c r="O16" i="2716"/>
  <c r="O17" i="2716"/>
  <c r="O18" i="2716"/>
  <c r="O19" i="2716"/>
  <c r="O20" i="2716"/>
  <c r="M20" i="2716" s="1"/>
  <c r="O21" i="2716"/>
  <c r="O22" i="2716"/>
  <c r="O23" i="2716"/>
  <c r="O24" i="2716"/>
  <c r="M24" i="2716" s="1"/>
  <c r="O25" i="2716"/>
  <c r="O26" i="2716"/>
  <c r="O27" i="2716"/>
  <c r="O28" i="2716"/>
  <c r="M28" i="2716" s="1"/>
  <c r="O29" i="2716"/>
  <c r="O30" i="2716"/>
  <c r="O31" i="2716"/>
  <c r="O32" i="2716"/>
  <c r="M32" i="2716" s="1"/>
  <c r="O33" i="2716"/>
  <c r="O34" i="2716"/>
  <c r="O35" i="2716"/>
  <c r="O36" i="2716"/>
  <c r="M36" i="2716" s="1"/>
  <c r="O37" i="2716"/>
  <c r="O38" i="2716"/>
  <c r="O39" i="2716"/>
  <c r="O40" i="2716"/>
  <c r="M40" i="2716" s="1"/>
  <c r="O41" i="2716"/>
  <c r="O42" i="2716"/>
  <c r="O43" i="2716"/>
  <c r="M43" i="2716" s="1"/>
  <c r="O44" i="2716"/>
  <c r="M44" i="2716" s="1"/>
  <c r="O45" i="2716"/>
  <c r="O46" i="2716"/>
  <c r="O47" i="2716"/>
  <c r="O48" i="2716"/>
  <c r="M48" i="2716" s="1"/>
  <c r="O49" i="2716"/>
  <c r="O50" i="2716"/>
  <c r="O51" i="2716"/>
  <c r="O52" i="2716"/>
  <c r="M52" i="2716" s="1"/>
  <c r="O53" i="2716"/>
  <c r="O54" i="2716"/>
  <c r="O55" i="2716"/>
  <c r="O56" i="2716"/>
  <c r="M56" i="2716" s="1"/>
  <c r="O57" i="2716"/>
  <c r="O58" i="2716"/>
  <c r="O59" i="2716"/>
  <c r="M59" i="2716" s="1"/>
  <c r="O4" i="2716"/>
  <c r="S70" i="2874"/>
  <c r="S71" i="2874"/>
  <c r="S72" i="2874"/>
  <c r="S73" i="2874"/>
  <c r="T73" i="2874" s="1"/>
  <c r="S74" i="2874"/>
  <c r="S75" i="2874"/>
  <c r="S76" i="2874"/>
  <c r="S77" i="2874"/>
  <c r="T77" i="2874" s="1"/>
  <c r="S78" i="2874"/>
  <c r="S79" i="2874"/>
  <c r="S80" i="2874"/>
  <c r="S81" i="2874"/>
  <c r="T81" i="2874" s="1"/>
  <c r="S82" i="2874"/>
  <c r="S83" i="2874"/>
  <c r="S84" i="2874"/>
  <c r="S85" i="2874"/>
  <c r="T85" i="2874" s="1"/>
  <c r="S86" i="2874"/>
  <c r="S87" i="2874"/>
  <c r="S88" i="2874"/>
  <c r="S89" i="2874"/>
  <c r="T89" i="2874" s="1"/>
  <c r="S90" i="2874"/>
  <c r="S91" i="2874"/>
  <c r="S92" i="2874"/>
  <c r="S93" i="2874"/>
  <c r="T93" i="2874" s="1"/>
  <c r="S94" i="2874"/>
  <c r="S95" i="2874"/>
  <c r="S96" i="2874"/>
  <c r="S97" i="2874"/>
  <c r="T97" i="2874" s="1"/>
  <c r="S98" i="2874"/>
  <c r="S99" i="2874"/>
  <c r="S69" i="2874"/>
  <c r="S13" i="2874"/>
  <c r="T13" i="2874" s="1"/>
  <c r="S14" i="2874"/>
  <c r="S15" i="2874"/>
  <c r="S16" i="2874"/>
  <c r="S17" i="2874"/>
  <c r="T17" i="2874" s="1"/>
  <c r="S18" i="2874"/>
  <c r="S19" i="2874"/>
  <c r="S20" i="2874"/>
  <c r="S21" i="2874"/>
  <c r="T21" i="2874" s="1"/>
  <c r="S22" i="2874"/>
  <c r="S23" i="2874"/>
  <c r="S24" i="2874"/>
  <c r="S25" i="2874"/>
  <c r="T25" i="2874" s="1"/>
  <c r="S26" i="2874"/>
  <c r="S27" i="2874"/>
  <c r="S28" i="2874"/>
  <c r="S29" i="2874"/>
  <c r="T29" i="2874" s="1"/>
  <c r="S30" i="2874"/>
  <c r="S31" i="2874"/>
  <c r="S32" i="2874"/>
  <c r="S33" i="2874"/>
  <c r="T33" i="2874" s="1"/>
  <c r="S34" i="2874"/>
  <c r="S35" i="2874"/>
  <c r="S36" i="2874"/>
  <c r="S37" i="2874"/>
  <c r="T37" i="2874" s="1"/>
  <c r="S38" i="2874"/>
  <c r="S39" i="2874"/>
  <c r="S40" i="2874"/>
  <c r="S41" i="2874"/>
  <c r="T41" i="2874" s="1"/>
  <c r="S42" i="2874"/>
  <c r="S43" i="2874"/>
  <c r="S44" i="2874"/>
  <c r="S45" i="2874"/>
  <c r="T45" i="2874" s="1"/>
  <c r="S46" i="2874"/>
  <c r="S47" i="2874"/>
  <c r="S48" i="2874"/>
  <c r="S49" i="2874"/>
  <c r="T49" i="2874" s="1"/>
  <c r="S50" i="2874"/>
  <c r="S51" i="2874"/>
  <c r="S52" i="2874"/>
  <c r="S53" i="2874"/>
  <c r="T53" i="2874" s="1"/>
  <c r="S54" i="2874"/>
  <c r="S55" i="2874"/>
  <c r="S56" i="2874"/>
  <c r="S57" i="2874"/>
  <c r="T57" i="2874" s="1"/>
  <c r="S58" i="2874"/>
  <c r="S59" i="2874"/>
  <c r="R70" i="2874"/>
  <c r="R71" i="2874"/>
  <c r="R72" i="2874"/>
  <c r="R73" i="2874"/>
  <c r="R74" i="2874"/>
  <c r="R75" i="2874"/>
  <c r="R76" i="2874"/>
  <c r="R77" i="2874"/>
  <c r="R78" i="2874"/>
  <c r="R79" i="2874"/>
  <c r="R80" i="2874"/>
  <c r="R81" i="2874"/>
  <c r="R82" i="2874"/>
  <c r="R83" i="2874"/>
  <c r="R84" i="2874"/>
  <c r="R85" i="2874"/>
  <c r="R86" i="2874"/>
  <c r="R87" i="2874"/>
  <c r="R88" i="2874"/>
  <c r="R89" i="2874"/>
  <c r="R90" i="2874"/>
  <c r="R91" i="2874"/>
  <c r="R92" i="2874"/>
  <c r="R93" i="2874"/>
  <c r="R94" i="2874"/>
  <c r="R95" i="2874"/>
  <c r="R96" i="2874"/>
  <c r="R97" i="2874"/>
  <c r="R98" i="2874"/>
  <c r="R99" i="2874"/>
  <c r="R69" i="2874"/>
  <c r="R5" i="2874"/>
  <c r="R6" i="2874"/>
  <c r="R7" i="2874"/>
  <c r="U7" i="2874" s="1"/>
  <c r="V7" i="2874" s="1"/>
  <c r="R8" i="2874"/>
  <c r="R9" i="2874"/>
  <c r="R10" i="2874"/>
  <c r="R11" i="2874"/>
  <c r="R12" i="2874"/>
  <c r="R13" i="2874"/>
  <c r="R14" i="2874"/>
  <c r="R15" i="2874"/>
  <c r="R16" i="2874"/>
  <c r="R17" i="2874"/>
  <c r="R18" i="2874"/>
  <c r="R19" i="2874"/>
  <c r="R20" i="2874"/>
  <c r="R21" i="2874"/>
  <c r="R22" i="2874"/>
  <c r="R23" i="2874"/>
  <c r="R24" i="2874"/>
  <c r="R25" i="2874"/>
  <c r="R26" i="2874"/>
  <c r="R27" i="2874"/>
  <c r="R28" i="2874"/>
  <c r="R29" i="2874"/>
  <c r="R30" i="2874"/>
  <c r="R31" i="2874"/>
  <c r="R32" i="2874"/>
  <c r="R33" i="2874"/>
  <c r="R34" i="2874"/>
  <c r="R35" i="2874"/>
  <c r="R36" i="2874"/>
  <c r="R37" i="2874"/>
  <c r="R38" i="2874"/>
  <c r="R39" i="2874"/>
  <c r="R40" i="2874"/>
  <c r="R41" i="2874"/>
  <c r="R42" i="2874"/>
  <c r="R43" i="2874"/>
  <c r="R44" i="2874"/>
  <c r="R45" i="2874"/>
  <c r="R46" i="2874"/>
  <c r="R47" i="2874"/>
  <c r="R48" i="2874"/>
  <c r="R49" i="2874"/>
  <c r="R50" i="2874"/>
  <c r="R51" i="2874"/>
  <c r="R52" i="2874"/>
  <c r="R53" i="2874"/>
  <c r="R54" i="2874"/>
  <c r="R55" i="2874"/>
  <c r="R56" i="2874"/>
  <c r="R57" i="2874"/>
  <c r="R58" i="2874"/>
  <c r="R59" i="2874"/>
  <c r="R4" i="2874"/>
  <c r="O70" i="2874"/>
  <c r="O71" i="2874"/>
  <c r="O72" i="2874"/>
  <c r="M72" i="2874" s="1"/>
  <c r="Q72" i="2874" s="1"/>
  <c r="O73" i="2874"/>
  <c r="M73" i="2874" s="1"/>
  <c r="Q73" i="2874" s="1"/>
  <c r="O74" i="2874"/>
  <c r="O75" i="2874"/>
  <c r="O76" i="2874"/>
  <c r="M76" i="2874" s="1"/>
  <c r="Q76" i="2874" s="1"/>
  <c r="O77" i="2874"/>
  <c r="M77" i="2874" s="1"/>
  <c r="Q77" i="2874" s="1"/>
  <c r="O78" i="2874"/>
  <c r="O79" i="2874"/>
  <c r="O80" i="2874"/>
  <c r="O81" i="2874"/>
  <c r="M81" i="2874" s="1"/>
  <c r="Q81" i="2874" s="1"/>
  <c r="O82" i="2874"/>
  <c r="O83" i="2874"/>
  <c r="O84" i="2874"/>
  <c r="M84" i="2874" s="1"/>
  <c r="Q84" i="2874" s="1"/>
  <c r="O85" i="2874"/>
  <c r="M85" i="2874" s="1"/>
  <c r="Q85" i="2874" s="1"/>
  <c r="O86" i="2874"/>
  <c r="O87" i="2874"/>
  <c r="O88" i="2874"/>
  <c r="M88" i="2874" s="1"/>
  <c r="Q88" i="2874" s="1"/>
  <c r="O89" i="2874"/>
  <c r="M89" i="2874" s="1"/>
  <c r="Q89" i="2874" s="1"/>
  <c r="O90" i="2874"/>
  <c r="O91" i="2874"/>
  <c r="O92" i="2874"/>
  <c r="M92" i="2874" s="1"/>
  <c r="Q92" i="2874" s="1"/>
  <c r="O93" i="2874"/>
  <c r="M93" i="2874" s="1"/>
  <c r="Q93" i="2874" s="1"/>
  <c r="O94" i="2874"/>
  <c r="O95" i="2874"/>
  <c r="O96" i="2874"/>
  <c r="M96" i="2874" s="1"/>
  <c r="Q96" i="2874" s="1"/>
  <c r="O97" i="2874"/>
  <c r="M97" i="2874" s="1"/>
  <c r="Q97" i="2874" s="1"/>
  <c r="O98" i="2874"/>
  <c r="O99" i="2874"/>
  <c r="M99" i="2874" s="1"/>
  <c r="Q99" i="2874" s="1"/>
  <c r="O69" i="2874"/>
  <c r="M69" i="2874" s="1"/>
  <c r="Q69" i="2874" s="1"/>
  <c r="O5" i="2874"/>
  <c r="O6" i="2874"/>
  <c r="O7" i="2874"/>
  <c r="O8" i="2874"/>
  <c r="O9" i="2874"/>
  <c r="O10" i="2874"/>
  <c r="O11" i="2874"/>
  <c r="O12" i="2874"/>
  <c r="O13" i="2874"/>
  <c r="O14" i="2874"/>
  <c r="O15" i="2874"/>
  <c r="O16" i="2874"/>
  <c r="O17" i="2874"/>
  <c r="O18" i="2874"/>
  <c r="O19" i="2874"/>
  <c r="O20" i="2874"/>
  <c r="M20" i="2874" s="1"/>
  <c r="O21" i="2874"/>
  <c r="O22" i="2874"/>
  <c r="O23" i="2874"/>
  <c r="O24" i="2874"/>
  <c r="M24" i="2874" s="1"/>
  <c r="O25" i="2874"/>
  <c r="O26" i="2874"/>
  <c r="O27" i="2874"/>
  <c r="O28" i="2874"/>
  <c r="M28" i="2874" s="1"/>
  <c r="O29" i="2874"/>
  <c r="O30" i="2874"/>
  <c r="O31" i="2874"/>
  <c r="O32" i="2874"/>
  <c r="M32" i="2874" s="1"/>
  <c r="O33" i="2874"/>
  <c r="O34" i="2874"/>
  <c r="O35" i="2874"/>
  <c r="O36" i="2874"/>
  <c r="M36" i="2874" s="1"/>
  <c r="O37" i="2874"/>
  <c r="O38" i="2874"/>
  <c r="O39" i="2874"/>
  <c r="O40" i="2874"/>
  <c r="M40" i="2874" s="1"/>
  <c r="O41" i="2874"/>
  <c r="O42" i="2874"/>
  <c r="O43" i="2874"/>
  <c r="O44" i="2874"/>
  <c r="O45" i="2874"/>
  <c r="O46" i="2874"/>
  <c r="O47" i="2874"/>
  <c r="O48" i="2874"/>
  <c r="M48" i="2874" s="1"/>
  <c r="O49" i="2874"/>
  <c r="O50" i="2874"/>
  <c r="O51" i="2874"/>
  <c r="O52" i="2874"/>
  <c r="M52" i="2874" s="1"/>
  <c r="O53" i="2874"/>
  <c r="O54" i="2874"/>
  <c r="O55" i="2874"/>
  <c r="O56" i="2874"/>
  <c r="M56" i="2874" s="1"/>
  <c r="O57" i="2874"/>
  <c r="O58" i="2874"/>
  <c r="O59" i="2874"/>
  <c r="O4" i="2874"/>
  <c r="S79" i="2875"/>
  <c r="S80" i="2875"/>
  <c r="S81" i="2875"/>
  <c r="S82" i="2875"/>
  <c r="T82" i="2875" s="1"/>
  <c r="S83" i="2875"/>
  <c r="S84" i="2875"/>
  <c r="S85" i="2875"/>
  <c r="S86" i="2875"/>
  <c r="T86" i="2875" s="1"/>
  <c r="S87" i="2875"/>
  <c r="S88" i="2875"/>
  <c r="S89" i="2875"/>
  <c r="S90" i="2875"/>
  <c r="T90" i="2875" s="1"/>
  <c r="S91" i="2875"/>
  <c r="S92" i="2875"/>
  <c r="S93" i="2875"/>
  <c r="S94" i="2875"/>
  <c r="T94" i="2875" s="1"/>
  <c r="S95" i="2875"/>
  <c r="S96" i="2875"/>
  <c r="S97" i="2875"/>
  <c r="S98" i="2875"/>
  <c r="T98" i="2875" s="1"/>
  <c r="S99" i="2875"/>
  <c r="S100" i="2875"/>
  <c r="S101" i="2875"/>
  <c r="S102" i="2875"/>
  <c r="T102" i="2875" s="1"/>
  <c r="S103" i="2875"/>
  <c r="S104" i="2875"/>
  <c r="S105" i="2875"/>
  <c r="S106" i="2875"/>
  <c r="T106" i="2875" s="1"/>
  <c r="S107" i="2875"/>
  <c r="S108" i="2875"/>
  <c r="S78" i="2875"/>
  <c r="S25" i="2875"/>
  <c r="S26" i="2875"/>
  <c r="S27" i="2875"/>
  <c r="S28" i="2875"/>
  <c r="S29" i="2875"/>
  <c r="T29" i="2875" s="1"/>
  <c r="S30" i="2875"/>
  <c r="S31" i="2875"/>
  <c r="S32" i="2875"/>
  <c r="S33" i="2875"/>
  <c r="T33" i="2875" s="1"/>
  <c r="S34" i="2875"/>
  <c r="S35" i="2875"/>
  <c r="S36" i="2875"/>
  <c r="S37" i="2875"/>
  <c r="T37" i="2875" s="1"/>
  <c r="S38" i="2875"/>
  <c r="S39" i="2875"/>
  <c r="S40" i="2875"/>
  <c r="S41" i="2875"/>
  <c r="T41" i="2875" s="1"/>
  <c r="S42" i="2875"/>
  <c r="S43" i="2875"/>
  <c r="S44" i="2875"/>
  <c r="S45" i="2875"/>
  <c r="T45" i="2875" s="1"/>
  <c r="S46" i="2875"/>
  <c r="S47" i="2875"/>
  <c r="S48" i="2875"/>
  <c r="S49" i="2875"/>
  <c r="T49" i="2875" s="1"/>
  <c r="S50" i="2875"/>
  <c r="S51" i="2875"/>
  <c r="S52" i="2875"/>
  <c r="S53" i="2875"/>
  <c r="T53" i="2875" s="1"/>
  <c r="S54" i="2875"/>
  <c r="S55" i="2875"/>
  <c r="S56" i="2875"/>
  <c r="S57" i="2875"/>
  <c r="T57" i="2875" s="1"/>
  <c r="S58" i="2875"/>
  <c r="S59" i="2875"/>
  <c r="S60" i="2875"/>
  <c r="S61" i="2875"/>
  <c r="T61" i="2875" s="1"/>
  <c r="S62" i="2875"/>
  <c r="S63" i="2875"/>
  <c r="S64" i="2875"/>
  <c r="S65" i="2875"/>
  <c r="T65" i="2875" s="1"/>
  <c r="S66" i="2875"/>
  <c r="S67" i="2875"/>
  <c r="S68" i="2875"/>
  <c r="R79" i="2875"/>
  <c r="R80" i="2875"/>
  <c r="R81" i="2875"/>
  <c r="R82" i="2875"/>
  <c r="R83" i="2875"/>
  <c r="R84" i="2875"/>
  <c r="R85" i="2875"/>
  <c r="R86" i="2875"/>
  <c r="R87" i="2875"/>
  <c r="R88" i="2875"/>
  <c r="R89" i="2875"/>
  <c r="R90" i="2875"/>
  <c r="R91" i="2875"/>
  <c r="R92" i="2875"/>
  <c r="R93" i="2875"/>
  <c r="R94" i="2875"/>
  <c r="R95" i="2875"/>
  <c r="R96" i="2875"/>
  <c r="R97" i="2875"/>
  <c r="R98" i="2875"/>
  <c r="R99" i="2875"/>
  <c r="R100" i="2875"/>
  <c r="R101" i="2875"/>
  <c r="R102" i="2875"/>
  <c r="R103" i="2875"/>
  <c r="R104" i="2875"/>
  <c r="R105" i="2875"/>
  <c r="R106" i="2875"/>
  <c r="R107" i="2875"/>
  <c r="R108" i="2875"/>
  <c r="R78" i="2875"/>
  <c r="R5" i="2875"/>
  <c r="R6" i="2875"/>
  <c r="R7" i="2875"/>
  <c r="R8" i="2875"/>
  <c r="R9" i="2875"/>
  <c r="R10" i="2875"/>
  <c r="R11" i="2875"/>
  <c r="R12" i="2875"/>
  <c r="R13" i="2875"/>
  <c r="R14" i="2875"/>
  <c r="R15" i="2875"/>
  <c r="R16" i="2875"/>
  <c r="R17" i="2875"/>
  <c r="R18" i="2875"/>
  <c r="R19" i="2875"/>
  <c r="R20" i="2875"/>
  <c r="R21" i="2875"/>
  <c r="R22" i="2875"/>
  <c r="R23" i="2875"/>
  <c r="R24" i="2875"/>
  <c r="R25" i="2875"/>
  <c r="R26" i="2875"/>
  <c r="R27" i="2875"/>
  <c r="R28" i="2875"/>
  <c r="R29" i="2875"/>
  <c r="R30" i="2875"/>
  <c r="R31" i="2875"/>
  <c r="R32" i="2875"/>
  <c r="R33" i="2875"/>
  <c r="R34" i="2875"/>
  <c r="R35" i="2875"/>
  <c r="R36" i="2875"/>
  <c r="R37" i="2875"/>
  <c r="R38" i="2875"/>
  <c r="R39" i="2875"/>
  <c r="R40" i="2875"/>
  <c r="R41" i="2875"/>
  <c r="R42" i="2875"/>
  <c r="R43" i="2875"/>
  <c r="R44" i="2875"/>
  <c r="R45" i="2875"/>
  <c r="R46" i="2875"/>
  <c r="R47" i="2875"/>
  <c r="R48" i="2875"/>
  <c r="R49" i="2875"/>
  <c r="R50" i="2875"/>
  <c r="R51" i="2875"/>
  <c r="R52" i="2875"/>
  <c r="R53" i="2875"/>
  <c r="R54" i="2875"/>
  <c r="R55" i="2875"/>
  <c r="R56" i="2875"/>
  <c r="R57" i="2875"/>
  <c r="R58" i="2875"/>
  <c r="R59" i="2875"/>
  <c r="R60" i="2875"/>
  <c r="R61" i="2875"/>
  <c r="R62" i="2875"/>
  <c r="R63" i="2875"/>
  <c r="R64" i="2875"/>
  <c r="R65" i="2875"/>
  <c r="R66" i="2875"/>
  <c r="R67" i="2875"/>
  <c r="R68" i="2875"/>
  <c r="R4" i="2875"/>
  <c r="O79" i="2875"/>
  <c r="M79" i="2875" s="1"/>
  <c r="Q79" i="2875" s="1"/>
  <c r="O80" i="2875"/>
  <c r="O81" i="2875"/>
  <c r="O82" i="2875"/>
  <c r="O83" i="2875"/>
  <c r="M83" i="2875" s="1"/>
  <c r="Q83" i="2875" s="1"/>
  <c r="O84" i="2875"/>
  <c r="O85" i="2875"/>
  <c r="O86" i="2875"/>
  <c r="O87" i="2875"/>
  <c r="M87" i="2875" s="1"/>
  <c r="Q87" i="2875" s="1"/>
  <c r="O88" i="2875"/>
  <c r="O89" i="2875"/>
  <c r="O90" i="2875"/>
  <c r="O91" i="2875"/>
  <c r="M91" i="2875" s="1"/>
  <c r="Q91" i="2875" s="1"/>
  <c r="O92" i="2875"/>
  <c r="O93" i="2875"/>
  <c r="O94" i="2875"/>
  <c r="O95" i="2875"/>
  <c r="M95" i="2875" s="1"/>
  <c r="Q95" i="2875" s="1"/>
  <c r="O96" i="2875"/>
  <c r="O97" i="2875"/>
  <c r="O98" i="2875"/>
  <c r="O99" i="2875"/>
  <c r="M99" i="2875" s="1"/>
  <c r="Q99" i="2875" s="1"/>
  <c r="O100" i="2875"/>
  <c r="O101" i="2875"/>
  <c r="O102" i="2875"/>
  <c r="O103" i="2875"/>
  <c r="M103" i="2875" s="1"/>
  <c r="Q103" i="2875" s="1"/>
  <c r="O104" i="2875"/>
  <c r="O105" i="2875"/>
  <c r="O106" i="2875"/>
  <c r="O107" i="2875"/>
  <c r="M107" i="2875" s="1"/>
  <c r="Q107" i="2875" s="1"/>
  <c r="O108" i="2875"/>
  <c r="O78" i="2875"/>
  <c r="O5" i="2875"/>
  <c r="O6" i="2875"/>
  <c r="O7" i="2875"/>
  <c r="O8" i="2875"/>
  <c r="O9" i="2875"/>
  <c r="O10" i="2875"/>
  <c r="O11" i="2875"/>
  <c r="O12" i="2875"/>
  <c r="O13" i="2875"/>
  <c r="O14" i="2875"/>
  <c r="O15" i="2875"/>
  <c r="O16" i="2875"/>
  <c r="O17" i="2875"/>
  <c r="O18" i="2875"/>
  <c r="O19" i="2875"/>
  <c r="O20" i="2875"/>
  <c r="O21" i="2875"/>
  <c r="O22" i="2875"/>
  <c r="O23" i="2875"/>
  <c r="O24" i="2875"/>
  <c r="O25" i="2875"/>
  <c r="O26" i="2875"/>
  <c r="M26" i="2875" s="1"/>
  <c r="O27" i="2875"/>
  <c r="O28" i="2875"/>
  <c r="M28" i="2875" s="1"/>
  <c r="O29" i="2875"/>
  <c r="M29" i="2875" s="1"/>
  <c r="O30" i="2875"/>
  <c r="M30" i="2875" s="1"/>
  <c r="O31" i="2875"/>
  <c r="O32" i="2875"/>
  <c r="M32" i="2875" s="1"/>
  <c r="O33" i="2875"/>
  <c r="M33" i="2875" s="1"/>
  <c r="O34" i="2875"/>
  <c r="M34" i="2875" s="1"/>
  <c r="O35" i="2875"/>
  <c r="O36" i="2875"/>
  <c r="M36" i="2875" s="1"/>
  <c r="O37" i="2875"/>
  <c r="M37" i="2875" s="1"/>
  <c r="O38" i="2875"/>
  <c r="M38" i="2875" s="1"/>
  <c r="O39" i="2875"/>
  <c r="O40" i="2875"/>
  <c r="M40" i="2875" s="1"/>
  <c r="O41" i="2875"/>
  <c r="M41" i="2875" s="1"/>
  <c r="O42" i="2875"/>
  <c r="M42" i="2875" s="1"/>
  <c r="O43" i="2875"/>
  <c r="O44" i="2875"/>
  <c r="M44" i="2875" s="1"/>
  <c r="O45" i="2875"/>
  <c r="M45" i="2875" s="1"/>
  <c r="O46" i="2875"/>
  <c r="M46" i="2875" s="1"/>
  <c r="O47" i="2875"/>
  <c r="O48" i="2875"/>
  <c r="M48" i="2875" s="1"/>
  <c r="O49" i="2875"/>
  <c r="O50" i="2875"/>
  <c r="M50" i="2875" s="1"/>
  <c r="O51" i="2875"/>
  <c r="O52" i="2875"/>
  <c r="O53" i="2875"/>
  <c r="M53" i="2875" s="1"/>
  <c r="O54" i="2875"/>
  <c r="M54" i="2875" s="1"/>
  <c r="O55" i="2875"/>
  <c r="O56" i="2875"/>
  <c r="O57" i="2875"/>
  <c r="M57" i="2875" s="1"/>
  <c r="O58" i="2875"/>
  <c r="M58" i="2875" s="1"/>
  <c r="O59" i="2875"/>
  <c r="O60" i="2875"/>
  <c r="O61" i="2875"/>
  <c r="M61" i="2875" s="1"/>
  <c r="O62" i="2875"/>
  <c r="M62" i="2875" s="1"/>
  <c r="O63" i="2875"/>
  <c r="O64" i="2875"/>
  <c r="O65" i="2875"/>
  <c r="M65" i="2875" s="1"/>
  <c r="O66" i="2875"/>
  <c r="M66" i="2875" s="1"/>
  <c r="O67" i="2875"/>
  <c r="O68" i="2875"/>
  <c r="O4" i="2875"/>
  <c r="N24" i="2875"/>
  <c r="S70" i="2876"/>
  <c r="S71" i="2876"/>
  <c r="S72" i="2876"/>
  <c r="T72" i="2876" s="1"/>
  <c r="S73" i="2876"/>
  <c r="T73" i="2876" s="1"/>
  <c r="S74" i="2876"/>
  <c r="S75" i="2876"/>
  <c r="S76" i="2876"/>
  <c r="T76" i="2876" s="1"/>
  <c r="S77" i="2876"/>
  <c r="T77" i="2876" s="1"/>
  <c r="S78" i="2876"/>
  <c r="S79" i="2876"/>
  <c r="S80" i="2876"/>
  <c r="T80" i="2876" s="1"/>
  <c r="S81" i="2876"/>
  <c r="T81" i="2876" s="1"/>
  <c r="S82" i="2876"/>
  <c r="S83" i="2876"/>
  <c r="S84" i="2876"/>
  <c r="T84" i="2876" s="1"/>
  <c r="S85" i="2876"/>
  <c r="T85" i="2876" s="1"/>
  <c r="S86" i="2876"/>
  <c r="S87" i="2876"/>
  <c r="S88" i="2876"/>
  <c r="T88" i="2876" s="1"/>
  <c r="S89" i="2876"/>
  <c r="T89" i="2876" s="1"/>
  <c r="S90" i="2876"/>
  <c r="S91" i="2876"/>
  <c r="S92" i="2876"/>
  <c r="T92" i="2876" s="1"/>
  <c r="S93" i="2876"/>
  <c r="T93" i="2876" s="1"/>
  <c r="S94" i="2876"/>
  <c r="S95" i="2876"/>
  <c r="S96" i="2876"/>
  <c r="T96" i="2876" s="1"/>
  <c r="S97" i="2876"/>
  <c r="T97" i="2876" s="1"/>
  <c r="S98" i="2876"/>
  <c r="S99" i="2876"/>
  <c r="S69" i="2876"/>
  <c r="T69" i="2876" s="1"/>
  <c r="S8" i="2876"/>
  <c r="T8" i="2876" s="1"/>
  <c r="S9" i="2876"/>
  <c r="S10" i="2876"/>
  <c r="S11" i="2876"/>
  <c r="S12" i="2876"/>
  <c r="T12" i="2876" s="1"/>
  <c r="S13" i="2876"/>
  <c r="S14" i="2876"/>
  <c r="S15" i="2876"/>
  <c r="T15" i="2876" s="1"/>
  <c r="S16" i="2876"/>
  <c r="S17" i="2876"/>
  <c r="S18" i="2876"/>
  <c r="S19" i="2876"/>
  <c r="T19" i="2876" s="1"/>
  <c r="S20" i="2876"/>
  <c r="T20" i="2876" s="1"/>
  <c r="S21" i="2876"/>
  <c r="S22" i="2876"/>
  <c r="S23" i="2876"/>
  <c r="S24" i="2876"/>
  <c r="T24" i="2876" s="1"/>
  <c r="S25" i="2876"/>
  <c r="S26" i="2876"/>
  <c r="S27" i="2876"/>
  <c r="S28" i="2876"/>
  <c r="T28" i="2876" s="1"/>
  <c r="S29" i="2876"/>
  <c r="S30" i="2876"/>
  <c r="S31" i="2876"/>
  <c r="T31" i="2876" s="1"/>
  <c r="S32" i="2876"/>
  <c r="T32" i="2876" s="1"/>
  <c r="S33" i="2876"/>
  <c r="S34" i="2876"/>
  <c r="S35" i="2876"/>
  <c r="T35" i="2876" s="1"/>
  <c r="S36" i="2876"/>
  <c r="T36" i="2876" s="1"/>
  <c r="S37" i="2876"/>
  <c r="S38" i="2876"/>
  <c r="S39" i="2876"/>
  <c r="S40" i="2876"/>
  <c r="T40" i="2876" s="1"/>
  <c r="S41" i="2876"/>
  <c r="S42" i="2876"/>
  <c r="S43" i="2876"/>
  <c r="S44" i="2876"/>
  <c r="T44" i="2876" s="1"/>
  <c r="S45" i="2876"/>
  <c r="S46" i="2876"/>
  <c r="S47" i="2876"/>
  <c r="T47" i="2876" s="1"/>
  <c r="S48" i="2876"/>
  <c r="T48" i="2876" s="1"/>
  <c r="S49" i="2876"/>
  <c r="S50" i="2876"/>
  <c r="S51" i="2876"/>
  <c r="T51" i="2876" s="1"/>
  <c r="S52" i="2876"/>
  <c r="T52" i="2876" s="1"/>
  <c r="S53" i="2876"/>
  <c r="S54" i="2876"/>
  <c r="S55" i="2876"/>
  <c r="S56" i="2876"/>
  <c r="T56" i="2876" s="1"/>
  <c r="S57" i="2876"/>
  <c r="S58" i="2876"/>
  <c r="S59" i="2876"/>
  <c r="S4" i="2876"/>
  <c r="T4" i="2876" s="1"/>
  <c r="R70" i="2876"/>
  <c r="R71" i="2876"/>
  <c r="R72" i="2876"/>
  <c r="R73" i="2876"/>
  <c r="R74" i="2876"/>
  <c r="R75" i="2876"/>
  <c r="R76" i="2876"/>
  <c r="R77" i="2876"/>
  <c r="R78" i="2876"/>
  <c r="R79" i="2876"/>
  <c r="R80" i="2876"/>
  <c r="R81" i="2876"/>
  <c r="R82" i="2876"/>
  <c r="R83" i="2876"/>
  <c r="R84" i="2876"/>
  <c r="R85" i="2876"/>
  <c r="R86" i="2876"/>
  <c r="R87" i="2876"/>
  <c r="R88" i="2876"/>
  <c r="R89" i="2876"/>
  <c r="R90" i="2876"/>
  <c r="R91" i="2876"/>
  <c r="R92" i="2876"/>
  <c r="R93" i="2876"/>
  <c r="R94" i="2876"/>
  <c r="R95" i="2876"/>
  <c r="R96" i="2876"/>
  <c r="R97" i="2876"/>
  <c r="R98" i="2876"/>
  <c r="R99" i="2876"/>
  <c r="R69" i="2876"/>
  <c r="R5" i="2876"/>
  <c r="R6" i="2876"/>
  <c r="R7" i="2876"/>
  <c r="R8" i="2876"/>
  <c r="R9" i="2876"/>
  <c r="R10" i="2876"/>
  <c r="R11" i="2876"/>
  <c r="R12" i="2876"/>
  <c r="R13" i="2876"/>
  <c r="R14" i="2876"/>
  <c r="R15" i="2876"/>
  <c r="R16" i="2876"/>
  <c r="R17" i="2876"/>
  <c r="R18" i="2876"/>
  <c r="R19" i="2876"/>
  <c r="R20" i="2876"/>
  <c r="R21" i="2876"/>
  <c r="R22" i="2876"/>
  <c r="R23" i="2876"/>
  <c r="R24" i="2876"/>
  <c r="R25" i="2876"/>
  <c r="R26" i="2876"/>
  <c r="R27" i="2876"/>
  <c r="R28" i="2876"/>
  <c r="R29" i="2876"/>
  <c r="R30" i="2876"/>
  <c r="R31" i="2876"/>
  <c r="R32" i="2876"/>
  <c r="R33" i="2876"/>
  <c r="R34" i="2876"/>
  <c r="R35" i="2876"/>
  <c r="R36" i="2876"/>
  <c r="R37" i="2876"/>
  <c r="R38" i="2876"/>
  <c r="R39" i="2876"/>
  <c r="R40" i="2876"/>
  <c r="R41" i="2876"/>
  <c r="R42" i="2876"/>
  <c r="R43" i="2876"/>
  <c r="R44" i="2876"/>
  <c r="R45" i="2876"/>
  <c r="R46" i="2876"/>
  <c r="R47" i="2876"/>
  <c r="R48" i="2876"/>
  <c r="R49" i="2876"/>
  <c r="R50" i="2876"/>
  <c r="R51" i="2876"/>
  <c r="R52" i="2876"/>
  <c r="R53" i="2876"/>
  <c r="R54" i="2876"/>
  <c r="R55" i="2876"/>
  <c r="R56" i="2876"/>
  <c r="R57" i="2876"/>
  <c r="R58" i="2876"/>
  <c r="R59" i="2876"/>
  <c r="R4" i="2876"/>
  <c r="O70" i="2876"/>
  <c r="M70" i="2876" s="1"/>
  <c r="O71" i="2876"/>
  <c r="O72" i="2876"/>
  <c r="O73" i="2876"/>
  <c r="M73" i="2876" s="1"/>
  <c r="Q73" i="2876" s="1"/>
  <c r="O74" i="2876"/>
  <c r="M74" i="2876" s="1"/>
  <c r="Q74" i="2876" s="1"/>
  <c r="O75" i="2876"/>
  <c r="O76" i="2876"/>
  <c r="O77" i="2876"/>
  <c r="M77" i="2876" s="1"/>
  <c r="Q77" i="2876" s="1"/>
  <c r="O78" i="2876"/>
  <c r="M78" i="2876" s="1"/>
  <c r="Q78" i="2876" s="1"/>
  <c r="O79" i="2876"/>
  <c r="O80" i="2876"/>
  <c r="O81" i="2876"/>
  <c r="M81" i="2876" s="1"/>
  <c r="Q81" i="2876" s="1"/>
  <c r="O82" i="2876"/>
  <c r="M82" i="2876" s="1"/>
  <c r="Q82" i="2876" s="1"/>
  <c r="O83" i="2876"/>
  <c r="O84" i="2876"/>
  <c r="O85" i="2876"/>
  <c r="M85" i="2876" s="1"/>
  <c r="Q85" i="2876" s="1"/>
  <c r="O86" i="2876"/>
  <c r="M86" i="2876" s="1"/>
  <c r="Q86" i="2876" s="1"/>
  <c r="O87" i="2876"/>
  <c r="O88" i="2876"/>
  <c r="O89" i="2876"/>
  <c r="O90" i="2876"/>
  <c r="O91" i="2876"/>
  <c r="O92" i="2876"/>
  <c r="O93" i="2876"/>
  <c r="M93" i="2876" s="1"/>
  <c r="Q93" i="2876" s="1"/>
  <c r="O94" i="2876"/>
  <c r="O95" i="2876"/>
  <c r="O96" i="2876"/>
  <c r="O97" i="2876"/>
  <c r="M97" i="2876" s="1"/>
  <c r="Q97" i="2876" s="1"/>
  <c r="O98" i="2876"/>
  <c r="M98" i="2876" s="1"/>
  <c r="Q98" i="2876" s="1"/>
  <c r="O99" i="2876"/>
  <c r="M99" i="2876" s="1"/>
  <c r="Q99" i="2876" s="1"/>
  <c r="O69" i="2876"/>
  <c r="O6" i="2876"/>
  <c r="O7" i="2876"/>
  <c r="O8" i="2876"/>
  <c r="O9" i="2876"/>
  <c r="O10" i="2876"/>
  <c r="O11" i="2876"/>
  <c r="O12" i="2876"/>
  <c r="O13" i="2876"/>
  <c r="O14" i="2876"/>
  <c r="O15" i="2876"/>
  <c r="O16" i="2876"/>
  <c r="O17" i="2876"/>
  <c r="M17" i="2876" s="1"/>
  <c r="O18" i="2876"/>
  <c r="M18" i="2876" s="1"/>
  <c r="O19" i="2876"/>
  <c r="M19" i="2876" s="1"/>
  <c r="O20" i="2876"/>
  <c r="O21" i="2876"/>
  <c r="M21" i="2876" s="1"/>
  <c r="O22" i="2876"/>
  <c r="O23" i="2876"/>
  <c r="M23" i="2876" s="1"/>
  <c r="O24" i="2876"/>
  <c r="O25" i="2876"/>
  <c r="M25" i="2876" s="1"/>
  <c r="O26" i="2876"/>
  <c r="M26" i="2876" s="1"/>
  <c r="O27" i="2876"/>
  <c r="M27" i="2876" s="1"/>
  <c r="O28" i="2876"/>
  <c r="O29" i="2876"/>
  <c r="M29" i="2876" s="1"/>
  <c r="O30" i="2876"/>
  <c r="M30" i="2876" s="1"/>
  <c r="O31" i="2876"/>
  <c r="O32" i="2876"/>
  <c r="O33" i="2876"/>
  <c r="M33" i="2876" s="1"/>
  <c r="O34" i="2876"/>
  <c r="O35" i="2876"/>
  <c r="M35" i="2876" s="1"/>
  <c r="O36" i="2876"/>
  <c r="O37" i="2876"/>
  <c r="M37" i="2876" s="1"/>
  <c r="O38" i="2876"/>
  <c r="M38" i="2876" s="1"/>
  <c r="O39" i="2876"/>
  <c r="M39" i="2876" s="1"/>
  <c r="O40" i="2876"/>
  <c r="O41" i="2876"/>
  <c r="M41" i="2876" s="1"/>
  <c r="O42" i="2876"/>
  <c r="O43" i="2876"/>
  <c r="M43" i="2876" s="1"/>
  <c r="O44" i="2876"/>
  <c r="O45" i="2876"/>
  <c r="M45" i="2876" s="1"/>
  <c r="O46" i="2876"/>
  <c r="M46" i="2876" s="1"/>
  <c r="O47" i="2876"/>
  <c r="M47" i="2876" s="1"/>
  <c r="O48" i="2876"/>
  <c r="O49" i="2876"/>
  <c r="M49" i="2876" s="1"/>
  <c r="O50" i="2876"/>
  <c r="O51" i="2876"/>
  <c r="M51" i="2876" s="1"/>
  <c r="O52" i="2876"/>
  <c r="O53" i="2876"/>
  <c r="O54" i="2876"/>
  <c r="M54" i="2876" s="1"/>
  <c r="O55" i="2876"/>
  <c r="M55" i="2876" s="1"/>
  <c r="O56" i="2876"/>
  <c r="O57" i="2876"/>
  <c r="O58" i="2876"/>
  <c r="M58" i="2876" s="1"/>
  <c r="O59" i="2876"/>
  <c r="M59" i="2876" s="1"/>
  <c r="O4" i="2876"/>
  <c r="O5" i="2876"/>
  <c r="L317" i="2871"/>
  <c r="L318" i="2871"/>
  <c r="L319" i="2871"/>
  <c r="L320" i="2871"/>
  <c r="L321" i="2871"/>
  <c r="L322" i="2871"/>
  <c r="L323" i="2871"/>
  <c r="L324" i="2871"/>
  <c r="L325" i="2871"/>
  <c r="L326" i="2871"/>
  <c r="L327" i="2871"/>
  <c r="L328" i="2871"/>
  <c r="L329" i="2871"/>
  <c r="L330" i="2871"/>
  <c r="L331" i="2871"/>
  <c r="L332" i="2871"/>
  <c r="L333" i="2871"/>
  <c r="L334" i="2871"/>
  <c r="L335" i="2871"/>
  <c r="L336" i="2871"/>
  <c r="L337" i="2871"/>
  <c r="L338" i="2871"/>
  <c r="L339" i="2871"/>
  <c r="L340" i="2871"/>
  <c r="L341" i="2871"/>
  <c r="L342" i="2871"/>
  <c r="L343" i="2871"/>
  <c r="L344" i="2871"/>
  <c r="L345" i="2871"/>
  <c r="L346" i="2871"/>
  <c r="L347" i="2871"/>
  <c r="L348" i="2871"/>
  <c r="L349" i="2871"/>
  <c r="L350" i="2871"/>
  <c r="L351" i="2871"/>
  <c r="L352" i="2871"/>
  <c r="L353" i="2871"/>
  <c r="L354" i="2871"/>
  <c r="L355" i="2871"/>
  <c r="L356" i="2871"/>
  <c r="L357" i="2871"/>
  <c r="L358" i="2871"/>
  <c r="L359" i="2871"/>
  <c r="L360" i="2871"/>
  <c r="L361" i="2871"/>
  <c r="L362" i="2871"/>
  <c r="L363" i="2871"/>
  <c r="L364" i="2871"/>
  <c r="L365" i="2871"/>
  <c r="L366" i="2871"/>
  <c r="L367" i="2871"/>
  <c r="L368" i="2871"/>
  <c r="L369" i="2871"/>
  <c r="L370" i="2871"/>
  <c r="L371" i="2871"/>
  <c r="L372" i="2871"/>
  <c r="L373" i="2871"/>
  <c r="L374" i="2871"/>
  <c r="L375" i="2871"/>
  <c r="L376" i="2871"/>
  <c r="L377" i="2871"/>
  <c r="L378" i="2871"/>
  <c r="L379" i="2871"/>
  <c r="L380" i="2871"/>
  <c r="L381" i="2871"/>
  <c r="L382" i="2871"/>
  <c r="L383" i="2871"/>
  <c r="L384" i="2871"/>
  <c r="L385" i="2871"/>
  <c r="L3" i="2871"/>
  <c r="L4" i="2871"/>
  <c r="L5" i="2871"/>
  <c r="L6" i="2871"/>
  <c r="L7" i="2871"/>
  <c r="L8" i="2871"/>
  <c r="L9" i="2871"/>
  <c r="L10" i="2871"/>
  <c r="L11" i="2871"/>
  <c r="L12" i="2871"/>
  <c r="L13" i="2871"/>
  <c r="L14" i="2871"/>
  <c r="L15" i="2871"/>
  <c r="L16" i="2871"/>
  <c r="L17" i="2871"/>
  <c r="L18" i="2871"/>
  <c r="L19" i="2871"/>
  <c r="L20" i="2871"/>
  <c r="L21" i="2871"/>
  <c r="L22" i="2871"/>
  <c r="L23" i="2871"/>
  <c r="L24" i="2871"/>
  <c r="L25" i="2871"/>
  <c r="L26" i="2871"/>
  <c r="L27" i="2871"/>
  <c r="L28" i="2871"/>
  <c r="L29" i="2871"/>
  <c r="L30" i="2871"/>
  <c r="L31" i="2871"/>
  <c r="L32" i="2871"/>
  <c r="L33" i="2871"/>
  <c r="L34" i="2871"/>
  <c r="L35" i="2871"/>
  <c r="L36" i="2871"/>
  <c r="L37" i="2871"/>
  <c r="L38" i="2871"/>
  <c r="L39" i="2871"/>
  <c r="L40" i="2871"/>
  <c r="L41" i="2871"/>
  <c r="L42" i="2871"/>
  <c r="L43" i="2871"/>
  <c r="L44" i="2871"/>
  <c r="L45" i="2871"/>
  <c r="L46" i="2871"/>
  <c r="L47" i="2871"/>
  <c r="L48" i="2871"/>
  <c r="L49" i="2871"/>
  <c r="L50" i="2871"/>
  <c r="L51" i="2871"/>
  <c r="L52" i="2871"/>
  <c r="L53" i="2871"/>
  <c r="L54" i="2871"/>
  <c r="L55" i="2871"/>
  <c r="L56" i="2871"/>
  <c r="L57" i="2871"/>
  <c r="L58" i="2871"/>
  <c r="L59" i="2871"/>
  <c r="L60" i="2871"/>
  <c r="L61" i="2871"/>
  <c r="L62" i="2871"/>
  <c r="L63" i="2871"/>
  <c r="L64" i="2871"/>
  <c r="L65" i="2871"/>
  <c r="L66" i="2871"/>
  <c r="L67" i="2871"/>
  <c r="L68" i="2871"/>
  <c r="L69" i="2871"/>
  <c r="L70" i="2871"/>
  <c r="L71" i="2871"/>
  <c r="L72" i="2871"/>
  <c r="L73" i="2871"/>
  <c r="L74" i="2871"/>
  <c r="L75" i="2871"/>
  <c r="L76" i="2871"/>
  <c r="L77" i="2871"/>
  <c r="L78" i="2871"/>
  <c r="L79" i="2871"/>
  <c r="L80" i="2871"/>
  <c r="L81" i="2871"/>
  <c r="L82" i="2871"/>
  <c r="L83" i="2871"/>
  <c r="L84" i="2871"/>
  <c r="L85" i="2871"/>
  <c r="L86" i="2871"/>
  <c r="L87" i="2871"/>
  <c r="L88" i="2871"/>
  <c r="L89" i="2871"/>
  <c r="L90" i="2871"/>
  <c r="L91" i="2871"/>
  <c r="L92" i="2871"/>
  <c r="L93" i="2871"/>
  <c r="L94" i="2871"/>
  <c r="L95" i="2871"/>
  <c r="L96" i="2871"/>
  <c r="L97" i="2871"/>
  <c r="L98" i="2871"/>
  <c r="L99" i="2871"/>
  <c r="L100" i="2871"/>
  <c r="L101" i="2871"/>
  <c r="L102" i="2871"/>
  <c r="L103" i="2871"/>
  <c r="L104" i="2871"/>
  <c r="L105" i="2871"/>
  <c r="L106" i="2871"/>
  <c r="L107" i="2871"/>
  <c r="L108" i="2871"/>
  <c r="L109" i="2871"/>
  <c r="L110" i="2871"/>
  <c r="L111" i="2871"/>
  <c r="L112" i="2871"/>
  <c r="L113" i="2871"/>
  <c r="L114" i="2871"/>
  <c r="L115" i="2871"/>
  <c r="L116" i="2871"/>
  <c r="L117" i="2871"/>
  <c r="L118" i="2871"/>
  <c r="L119" i="2871"/>
  <c r="L120" i="2871"/>
  <c r="L121" i="2871"/>
  <c r="L122" i="2871"/>
  <c r="L123" i="2871"/>
  <c r="L124" i="2871"/>
  <c r="L125" i="2871"/>
  <c r="L126" i="2871"/>
  <c r="L127" i="2871"/>
  <c r="L128" i="2871"/>
  <c r="L129" i="2871"/>
  <c r="L130" i="2871"/>
  <c r="L131" i="2871"/>
  <c r="L132" i="2871"/>
  <c r="L133" i="2871"/>
  <c r="L134" i="2871"/>
  <c r="L135" i="2871"/>
  <c r="L136" i="2871"/>
  <c r="L137" i="2871"/>
  <c r="L138" i="2871"/>
  <c r="L139" i="2871"/>
  <c r="L140" i="2871"/>
  <c r="L141" i="2871"/>
  <c r="L142" i="2871"/>
  <c r="L143" i="2871"/>
  <c r="L144" i="2871"/>
  <c r="L145" i="2871"/>
  <c r="L146" i="2871"/>
  <c r="L147" i="2871"/>
  <c r="L148" i="2871"/>
  <c r="L149" i="2871"/>
  <c r="L150" i="2871"/>
  <c r="L151" i="2871"/>
  <c r="L152" i="2871"/>
  <c r="L153" i="2871"/>
  <c r="L154" i="2871"/>
  <c r="L155" i="2871"/>
  <c r="L156" i="2871"/>
  <c r="L157" i="2871"/>
  <c r="L158" i="2871"/>
  <c r="L159" i="2871"/>
  <c r="L160" i="2871"/>
  <c r="L161" i="2871"/>
  <c r="L162" i="2871"/>
  <c r="L163" i="2871"/>
  <c r="L164" i="2871"/>
  <c r="L165" i="2871"/>
  <c r="L166" i="2871"/>
  <c r="L167" i="2871"/>
  <c r="L168" i="2871"/>
  <c r="L169" i="2871"/>
  <c r="L170" i="2871"/>
  <c r="L171" i="2871"/>
  <c r="L172" i="2871"/>
  <c r="L173" i="2871"/>
  <c r="L174" i="2871"/>
  <c r="L175" i="2871"/>
  <c r="L176" i="2871"/>
  <c r="L177" i="2871"/>
  <c r="L178" i="2871"/>
  <c r="L179" i="2871"/>
  <c r="L180" i="2871"/>
  <c r="L181" i="2871"/>
  <c r="L182" i="2871"/>
  <c r="L183" i="2871"/>
  <c r="L184" i="2871"/>
  <c r="L185" i="2871"/>
  <c r="L186" i="2871"/>
  <c r="L187" i="2871"/>
  <c r="L188" i="2871"/>
  <c r="L189" i="2871"/>
  <c r="L190" i="2871"/>
  <c r="L191" i="2871"/>
  <c r="L192" i="2871"/>
  <c r="L193" i="2871"/>
  <c r="L194" i="2871"/>
  <c r="L195" i="2871"/>
  <c r="L196" i="2871"/>
  <c r="L197" i="2871"/>
  <c r="L198" i="2871"/>
  <c r="L199" i="2871"/>
  <c r="L200" i="2871"/>
  <c r="L201" i="2871"/>
  <c r="L202" i="2871"/>
  <c r="L203" i="2871"/>
  <c r="L204" i="2871"/>
  <c r="L205" i="2871"/>
  <c r="L206" i="2871"/>
  <c r="L207" i="2871"/>
  <c r="L208" i="2871"/>
  <c r="L209" i="2871"/>
  <c r="L210" i="2871"/>
  <c r="L211" i="2871"/>
  <c r="L212" i="2871"/>
  <c r="L213" i="2871"/>
  <c r="L214" i="2871"/>
  <c r="L215" i="2871"/>
  <c r="L216" i="2871"/>
  <c r="L217" i="2871"/>
  <c r="L218" i="2871"/>
  <c r="L219" i="2871"/>
  <c r="L220" i="2871"/>
  <c r="L221" i="2871"/>
  <c r="L222" i="2871"/>
  <c r="L223" i="2871"/>
  <c r="L224" i="2871"/>
  <c r="L225" i="2871"/>
  <c r="L226" i="2871"/>
  <c r="L227" i="2871"/>
  <c r="L228" i="2871"/>
  <c r="L229" i="2871"/>
  <c r="L230" i="2871"/>
  <c r="L231" i="2871"/>
  <c r="L232" i="2871"/>
  <c r="L233" i="2871"/>
  <c r="L234" i="2871"/>
  <c r="L235" i="2871"/>
  <c r="L236" i="2871"/>
  <c r="L237" i="2871"/>
  <c r="L238" i="2871"/>
  <c r="L239" i="2871"/>
  <c r="L240" i="2871"/>
  <c r="L241" i="2871"/>
  <c r="L242" i="2871"/>
  <c r="L243" i="2871"/>
  <c r="L244" i="2871"/>
  <c r="L245" i="2871"/>
  <c r="L246" i="2871"/>
  <c r="L247" i="2871"/>
  <c r="L248" i="2871"/>
  <c r="L249" i="2871"/>
  <c r="L250" i="2871"/>
  <c r="L251" i="2871"/>
  <c r="L252" i="2871"/>
  <c r="L253" i="2871"/>
  <c r="L254" i="2871"/>
  <c r="L255" i="2871"/>
  <c r="L256" i="2871"/>
  <c r="L257" i="2871"/>
  <c r="L258" i="2871"/>
  <c r="L259" i="2871"/>
  <c r="L260" i="2871"/>
  <c r="L261" i="2871"/>
  <c r="L262" i="2871"/>
  <c r="L263" i="2871"/>
  <c r="L264" i="2871"/>
  <c r="L265" i="2871"/>
  <c r="L266" i="2871"/>
  <c r="L267" i="2871"/>
  <c r="L268" i="2871"/>
  <c r="L269" i="2871"/>
  <c r="L270" i="2871"/>
  <c r="L271" i="2871"/>
  <c r="L272" i="2871"/>
  <c r="L273" i="2871"/>
  <c r="L274" i="2871"/>
  <c r="L275" i="2871"/>
  <c r="L276" i="2871"/>
  <c r="L277" i="2871"/>
  <c r="L278" i="2871"/>
  <c r="L279" i="2871"/>
  <c r="L280" i="2871"/>
  <c r="L281" i="2871"/>
  <c r="L282" i="2871"/>
  <c r="L283" i="2871"/>
  <c r="L284" i="2871"/>
  <c r="L285" i="2871"/>
  <c r="L286" i="2871"/>
  <c r="L287" i="2871"/>
  <c r="L288" i="2871"/>
  <c r="L289" i="2871"/>
  <c r="L290" i="2871"/>
  <c r="L291" i="2871"/>
  <c r="L292" i="2871"/>
  <c r="L293" i="2871"/>
  <c r="L294" i="2871"/>
  <c r="L295" i="2871"/>
  <c r="L296" i="2871"/>
  <c r="L297" i="2871"/>
  <c r="L298" i="2871"/>
  <c r="L299" i="2871"/>
  <c r="L300" i="2871"/>
  <c r="L301" i="2871"/>
  <c r="L302" i="2871"/>
  <c r="L303" i="2871"/>
  <c r="L304" i="2871"/>
  <c r="L305" i="2871"/>
  <c r="L306" i="2871"/>
  <c r="L307" i="2871"/>
  <c r="L308" i="2871"/>
  <c r="L309" i="2871"/>
  <c r="L310" i="2871"/>
  <c r="L311" i="2871"/>
  <c r="L312" i="2871"/>
  <c r="L313" i="2871"/>
  <c r="L314" i="2871"/>
  <c r="L315" i="2871"/>
  <c r="L316" i="2871"/>
  <c r="L2" i="2871"/>
  <c r="Z79" i="2898"/>
  <c r="M79" i="2898"/>
  <c r="G79" i="2898"/>
  <c r="AA74" i="2898"/>
  <c r="W74" i="2898"/>
  <c r="R74" i="2898"/>
  <c r="S74" i="2898" s="1"/>
  <c r="O74" i="2898"/>
  <c r="AA73" i="2898"/>
  <c r="O73" i="2898"/>
  <c r="AA72" i="2898"/>
  <c r="W72" i="2898"/>
  <c r="R72" i="2898"/>
  <c r="S72" i="2898" s="1"/>
  <c r="O72" i="2898"/>
  <c r="AA71" i="2898"/>
  <c r="W71" i="2898"/>
  <c r="R71" i="2898"/>
  <c r="S71" i="2898" s="1"/>
  <c r="O71" i="2898"/>
  <c r="AA70" i="2898"/>
  <c r="W70" i="2898"/>
  <c r="R70" i="2898"/>
  <c r="S70" i="2898" s="1"/>
  <c r="O70" i="2898"/>
  <c r="AA69" i="2898"/>
  <c r="O69" i="2898"/>
  <c r="AA68" i="2898"/>
  <c r="W68" i="2898"/>
  <c r="R68" i="2898"/>
  <c r="S68" i="2898" s="1"/>
  <c r="O68" i="2898"/>
  <c r="AA67" i="2898"/>
  <c r="W67" i="2898"/>
  <c r="R67" i="2898"/>
  <c r="S67" i="2898" s="1"/>
  <c r="O67" i="2898"/>
  <c r="AA66" i="2898"/>
  <c r="W66" i="2898"/>
  <c r="R66" i="2898"/>
  <c r="S66" i="2898" s="1"/>
  <c r="O66" i="2898"/>
  <c r="AA65" i="2898"/>
  <c r="O65" i="2898"/>
  <c r="AA64" i="2898"/>
  <c r="W64" i="2898"/>
  <c r="R64" i="2898"/>
  <c r="S64" i="2898" s="1"/>
  <c r="O64" i="2898"/>
  <c r="AA63" i="2898"/>
  <c r="W63" i="2898"/>
  <c r="R63" i="2898"/>
  <c r="S63" i="2898" s="1"/>
  <c r="O63" i="2898"/>
  <c r="AA62" i="2898"/>
  <c r="W62" i="2898"/>
  <c r="R62" i="2898"/>
  <c r="S62" i="2898" s="1"/>
  <c r="O62" i="2898"/>
  <c r="AA61" i="2898"/>
  <c r="W61" i="2898"/>
  <c r="O61" i="2898"/>
  <c r="AA60" i="2898"/>
  <c r="W60" i="2898"/>
  <c r="R60" i="2898"/>
  <c r="S60" i="2898" s="1"/>
  <c r="O60" i="2898"/>
  <c r="AA59" i="2898"/>
  <c r="W59" i="2898"/>
  <c r="R59" i="2898"/>
  <c r="S59" i="2898" s="1"/>
  <c r="O59" i="2898"/>
  <c r="AA58" i="2898"/>
  <c r="W58" i="2898"/>
  <c r="R58" i="2898"/>
  <c r="S58" i="2898" s="1"/>
  <c r="O58" i="2898"/>
  <c r="AA57" i="2898"/>
  <c r="O57" i="2898"/>
  <c r="AA56" i="2898"/>
  <c r="W56" i="2898"/>
  <c r="R56" i="2898"/>
  <c r="S56" i="2898" s="1"/>
  <c r="O56" i="2898"/>
  <c r="AA55" i="2898"/>
  <c r="W55" i="2898"/>
  <c r="R55" i="2898"/>
  <c r="S55" i="2898" s="1"/>
  <c r="O55" i="2898"/>
  <c r="AA54" i="2898"/>
  <c r="W54" i="2898"/>
  <c r="R54" i="2898"/>
  <c r="S54" i="2898" s="1"/>
  <c r="O54" i="2898"/>
  <c r="AA53" i="2898"/>
  <c r="O53" i="2898"/>
  <c r="AA52" i="2898"/>
  <c r="W52" i="2898"/>
  <c r="R52" i="2898"/>
  <c r="S52" i="2898" s="1"/>
  <c r="O52" i="2898"/>
  <c r="AA51" i="2898"/>
  <c r="W51" i="2898"/>
  <c r="R51" i="2898"/>
  <c r="S51" i="2898" s="1"/>
  <c r="O51" i="2898"/>
  <c r="AA50" i="2898"/>
  <c r="W50" i="2898"/>
  <c r="R50" i="2898"/>
  <c r="S50" i="2898" s="1"/>
  <c r="O50" i="2898"/>
  <c r="AA49" i="2898"/>
  <c r="O49" i="2898"/>
  <c r="AA48" i="2898"/>
  <c r="W48" i="2898"/>
  <c r="R48" i="2898"/>
  <c r="S48" i="2898" s="1"/>
  <c r="O48" i="2898"/>
  <c r="AA47" i="2898"/>
  <c r="W47" i="2898"/>
  <c r="R47" i="2898"/>
  <c r="S47" i="2898" s="1"/>
  <c r="O47" i="2898"/>
  <c r="AA46" i="2898"/>
  <c r="W46" i="2898"/>
  <c r="R46" i="2898"/>
  <c r="S46" i="2898" s="1"/>
  <c r="O46" i="2898"/>
  <c r="AA45" i="2898"/>
  <c r="AA79" i="2898" s="1"/>
  <c r="AC79" i="2898" s="1"/>
  <c r="W45" i="2898"/>
  <c r="R45" i="2898"/>
  <c r="S45" i="2898" s="1"/>
  <c r="O45" i="2898"/>
  <c r="O79" i="2898" s="1"/>
  <c r="Z40" i="2898"/>
  <c r="M40" i="2898"/>
  <c r="G40" i="2898"/>
  <c r="AA35" i="2898"/>
  <c r="W35" i="2898"/>
  <c r="N35" i="2898"/>
  <c r="O35" i="2898"/>
  <c r="AA34" i="2898"/>
  <c r="W34" i="2898"/>
  <c r="N34" i="2898"/>
  <c r="O34" i="2898"/>
  <c r="AA33" i="2898"/>
  <c r="W33" i="2898"/>
  <c r="N33" i="2898"/>
  <c r="O33" i="2898"/>
  <c r="AA32" i="2898"/>
  <c r="O32" i="2898"/>
  <c r="AA31" i="2898"/>
  <c r="W31" i="2898"/>
  <c r="N31" i="2898"/>
  <c r="O31" i="2898"/>
  <c r="AA30" i="2898"/>
  <c r="W30" i="2898"/>
  <c r="N30" i="2898"/>
  <c r="O30" i="2898"/>
  <c r="AA29" i="2898"/>
  <c r="W29" i="2898"/>
  <c r="N29" i="2898"/>
  <c r="O29" i="2898"/>
  <c r="AA28" i="2898"/>
  <c r="W28" i="2898"/>
  <c r="O28" i="2898"/>
  <c r="AA27" i="2898"/>
  <c r="W27" i="2898"/>
  <c r="O27" i="2898"/>
  <c r="AA26" i="2898"/>
  <c r="W26" i="2898"/>
  <c r="N26" i="2898"/>
  <c r="O26" i="2898"/>
  <c r="AA25" i="2898"/>
  <c r="W25" i="2898"/>
  <c r="N25" i="2898"/>
  <c r="O25" i="2898"/>
  <c r="AA24" i="2898"/>
  <c r="O24" i="2898"/>
  <c r="AA23" i="2898"/>
  <c r="W23" i="2898"/>
  <c r="N23" i="2898"/>
  <c r="O23" i="2898"/>
  <c r="AA22" i="2898"/>
  <c r="W22" i="2898"/>
  <c r="N22" i="2898"/>
  <c r="O22" i="2898"/>
  <c r="AA21" i="2898"/>
  <c r="W21" i="2898"/>
  <c r="O21" i="2898"/>
  <c r="AA20" i="2898"/>
  <c r="W20" i="2898"/>
  <c r="O20" i="2898"/>
  <c r="AA19" i="2898"/>
  <c r="W19" i="2898"/>
  <c r="N19" i="2898"/>
  <c r="O19" i="2898"/>
  <c r="AA18" i="2898"/>
  <c r="W18" i="2898"/>
  <c r="N18" i="2898"/>
  <c r="O18" i="2898"/>
  <c r="AA17" i="2898"/>
  <c r="W17" i="2898"/>
  <c r="N17" i="2898"/>
  <c r="O17" i="2898"/>
  <c r="AA16" i="2898"/>
  <c r="O16" i="2898"/>
  <c r="AA15" i="2898"/>
  <c r="W15" i="2898"/>
  <c r="N15" i="2898"/>
  <c r="O15" i="2898"/>
  <c r="AA14" i="2898"/>
  <c r="W14" i="2898"/>
  <c r="N14" i="2898"/>
  <c r="O14" i="2898"/>
  <c r="AA13" i="2898"/>
  <c r="W13" i="2898"/>
  <c r="N13" i="2898"/>
  <c r="O13" i="2898"/>
  <c r="AA12" i="2898"/>
  <c r="O12" i="2898"/>
  <c r="AA11" i="2898"/>
  <c r="W11" i="2898"/>
  <c r="N11" i="2898"/>
  <c r="O11" i="2898"/>
  <c r="AA10" i="2898"/>
  <c r="W10" i="2898"/>
  <c r="N10" i="2898"/>
  <c r="O10" i="2898"/>
  <c r="AA9" i="2898"/>
  <c r="W9" i="2898"/>
  <c r="N9" i="2898"/>
  <c r="O9" i="2898"/>
  <c r="AA8" i="2898"/>
  <c r="O8" i="2898"/>
  <c r="AA7" i="2898"/>
  <c r="W7" i="2898"/>
  <c r="N7" i="2898"/>
  <c r="O7" i="2898"/>
  <c r="AA6" i="2898"/>
  <c r="AA40" i="2898" s="1"/>
  <c r="W6" i="2898"/>
  <c r="N6" i="2898"/>
  <c r="O6" i="2898"/>
  <c r="O40" i="2898" s="1"/>
  <c r="AA5" i="2898"/>
  <c r="O5" i="2898"/>
  <c r="AA4" i="2898"/>
  <c r="W4" i="2898"/>
  <c r="R4" i="2898"/>
  <c r="S4" i="2898" s="1"/>
  <c r="O4" i="2898"/>
  <c r="Z79" i="2897"/>
  <c r="M79" i="2897"/>
  <c r="G79" i="2897"/>
  <c r="AA74" i="2897"/>
  <c r="W74" i="2897"/>
  <c r="R74" i="2897"/>
  <c r="S74" i="2897" s="1"/>
  <c r="O74" i="2897"/>
  <c r="AA73" i="2897"/>
  <c r="O73" i="2897"/>
  <c r="AA72" i="2897"/>
  <c r="W72" i="2897"/>
  <c r="R72" i="2897"/>
  <c r="S72" i="2897" s="1"/>
  <c r="O72" i="2897"/>
  <c r="AA71" i="2897"/>
  <c r="W71" i="2897"/>
  <c r="R71" i="2897"/>
  <c r="S71" i="2897" s="1"/>
  <c r="O71" i="2897"/>
  <c r="AA70" i="2897"/>
  <c r="W70" i="2897"/>
  <c r="R70" i="2897"/>
  <c r="S70" i="2897" s="1"/>
  <c r="O70" i="2897"/>
  <c r="AA69" i="2897"/>
  <c r="O69" i="2897"/>
  <c r="AA68" i="2897"/>
  <c r="W68" i="2897"/>
  <c r="R68" i="2897"/>
  <c r="S68" i="2897" s="1"/>
  <c r="O68" i="2897"/>
  <c r="AA67" i="2897"/>
  <c r="W67" i="2897"/>
  <c r="R67" i="2897"/>
  <c r="S67" i="2897" s="1"/>
  <c r="O67" i="2897"/>
  <c r="AA66" i="2897"/>
  <c r="W66" i="2897"/>
  <c r="R66" i="2897"/>
  <c r="S66" i="2897" s="1"/>
  <c r="O66" i="2897"/>
  <c r="AA65" i="2897"/>
  <c r="O65" i="2897"/>
  <c r="AA64" i="2897"/>
  <c r="W64" i="2897"/>
  <c r="R64" i="2897"/>
  <c r="S64" i="2897" s="1"/>
  <c r="O64" i="2897"/>
  <c r="AA63" i="2897"/>
  <c r="W63" i="2897"/>
  <c r="R63" i="2897"/>
  <c r="S63" i="2897" s="1"/>
  <c r="O63" i="2897"/>
  <c r="AA62" i="2897"/>
  <c r="W62" i="2897"/>
  <c r="R62" i="2897"/>
  <c r="S62" i="2897" s="1"/>
  <c r="O62" i="2897"/>
  <c r="AA61" i="2897"/>
  <c r="W61" i="2897"/>
  <c r="O61" i="2897"/>
  <c r="AA60" i="2897"/>
  <c r="W60" i="2897"/>
  <c r="R60" i="2897"/>
  <c r="S60" i="2897" s="1"/>
  <c r="O60" i="2897"/>
  <c r="AA59" i="2897"/>
  <c r="W59" i="2897"/>
  <c r="R59" i="2897"/>
  <c r="S59" i="2897" s="1"/>
  <c r="O59" i="2897"/>
  <c r="AA58" i="2897"/>
  <c r="W58" i="2897"/>
  <c r="R58" i="2897"/>
  <c r="S58" i="2897" s="1"/>
  <c r="O58" i="2897"/>
  <c r="AA57" i="2897"/>
  <c r="O57" i="2897"/>
  <c r="AA56" i="2897"/>
  <c r="W56" i="2897"/>
  <c r="R56" i="2897"/>
  <c r="S56" i="2897" s="1"/>
  <c r="O56" i="2897"/>
  <c r="AA55" i="2897"/>
  <c r="W55" i="2897"/>
  <c r="R55" i="2897"/>
  <c r="S55" i="2897" s="1"/>
  <c r="O55" i="2897"/>
  <c r="AA54" i="2897"/>
  <c r="W54" i="2897"/>
  <c r="R54" i="2897"/>
  <c r="S54" i="2897" s="1"/>
  <c r="O54" i="2897"/>
  <c r="AA53" i="2897"/>
  <c r="O53" i="2897"/>
  <c r="AA52" i="2897"/>
  <c r="W52" i="2897"/>
  <c r="R52" i="2897"/>
  <c r="S52" i="2897" s="1"/>
  <c r="O52" i="2897"/>
  <c r="AA51" i="2897"/>
  <c r="W51" i="2897"/>
  <c r="R51" i="2897"/>
  <c r="S51" i="2897" s="1"/>
  <c r="O51" i="2897"/>
  <c r="AA50" i="2897"/>
  <c r="W50" i="2897"/>
  <c r="R50" i="2897"/>
  <c r="S50" i="2897" s="1"/>
  <c r="O50" i="2897"/>
  <c r="AA49" i="2897"/>
  <c r="O49" i="2897"/>
  <c r="AA48" i="2897"/>
  <c r="W48" i="2897"/>
  <c r="R48" i="2897"/>
  <c r="S48" i="2897" s="1"/>
  <c r="O48" i="2897"/>
  <c r="AA47" i="2897"/>
  <c r="W47" i="2897"/>
  <c r="R47" i="2897"/>
  <c r="S47" i="2897" s="1"/>
  <c r="O47" i="2897"/>
  <c r="AA46" i="2897"/>
  <c r="W46" i="2897"/>
  <c r="R46" i="2897"/>
  <c r="S46" i="2897" s="1"/>
  <c r="O46" i="2897"/>
  <c r="AA45" i="2897"/>
  <c r="AA79" i="2897" s="1"/>
  <c r="AC79" i="2897" s="1"/>
  <c r="W45" i="2897"/>
  <c r="R45" i="2897"/>
  <c r="S45" i="2897" s="1"/>
  <c r="O45" i="2897"/>
  <c r="O79" i="2897" s="1"/>
  <c r="Z40" i="2897"/>
  <c r="M40" i="2897"/>
  <c r="G40" i="2897"/>
  <c r="AA35" i="2897"/>
  <c r="W35" i="2897"/>
  <c r="N35" i="2897"/>
  <c r="O35" i="2897"/>
  <c r="AA34" i="2897"/>
  <c r="W34" i="2897"/>
  <c r="N34" i="2897"/>
  <c r="O34" i="2897"/>
  <c r="AA33" i="2897"/>
  <c r="W33" i="2897"/>
  <c r="N33" i="2897"/>
  <c r="O33" i="2897"/>
  <c r="AA32" i="2897"/>
  <c r="O32" i="2897"/>
  <c r="AA31" i="2897"/>
  <c r="W31" i="2897"/>
  <c r="N31" i="2897"/>
  <c r="O31" i="2897"/>
  <c r="AA30" i="2897"/>
  <c r="W30" i="2897"/>
  <c r="N30" i="2897"/>
  <c r="O30" i="2897"/>
  <c r="AA29" i="2897"/>
  <c r="W29" i="2897"/>
  <c r="N29" i="2897"/>
  <c r="O29" i="2897"/>
  <c r="AA28" i="2897"/>
  <c r="W28" i="2897"/>
  <c r="O28" i="2897"/>
  <c r="AA27" i="2897"/>
  <c r="W27" i="2897"/>
  <c r="N27" i="2897"/>
  <c r="O27" i="2897"/>
  <c r="AA26" i="2897"/>
  <c r="W26" i="2897"/>
  <c r="N26" i="2897"/>
  <c r="O26" i="2897"/>
  <c r="AA25" i="2897"/>
  <c r="W25" i="2897"/>
  <c r="N25" i="2897"/>
  <c r="O25" i="2897"/>
  <c r="AA24" i="2897"/>
  <c r="O24" i="2897"/>
  <c r="AA23" i="2897"/>
  <c r="W23" i="2897"/>
  <c r="N23" i="2897"/>
  <c r="O23" i="2897"/>
  <c r="AA22" i="2897"/>
  <c r="W22" i="2897"/>
  <c r="N22" i="2897"/>
  <c r="O22" i="2897"/>
  <c r="AA21" i="2897"/>
  <c r="W21" i="2897"/>
  <c r="N21" i="2897"/>
  <c r="O21" i="2897"/>
  <c r="AA20" i="2897"/>
  <c r="O20" i="2897"/>
  <c r="AA19" i="2897"/>
  <c r="W19" i="2897"/>
  <c r="R19" i="2897"/>
  <c r="S19" i="2897" s="1"/>
  <c r="O19" i="2897"/>
  <c r="AA18" i="2897"/>
  <c r="W18" i="2897"/>
  <c r="R18" i="2897"/>
  <c r="S18" i="2897" s="1"/>
  <c r="O18" i="2897"/>
  <c r="AA17" i="2897"/>
  <c r="W17" i="2897"/>
  <c r="R17" i="2897"/>
  <c r="S17" i="2897" s="1"/>
  <c r="O17" i="2897"/>
  <c r="AA16" i="2897"/>
  <c r="O16" i="2897"/>
  <c r="AA15" i="2897"/>
  <c r="W15" i="2897"/>
  <c r="R15" i="2897"/>
  <c r="S15" i="2897" s="1"/>
  <c r="O15" i="2897"/>
  <c r="AA14" i="2897"/>
  <c r="W14" i="2897"/>
  <c r="R14" i="2897"/>
  <c r="S14" i="2897" s="1"/>
  <c r="O14" i="2897"/>
  <c r="AA13" i="2897"/>
  <c r="W13" i="2897"/>
  <c r="R13" i="2897"/>
  <c r="S13" i="2897" s="1"/>
  <c r="O13" i="2897"/>
  <c r="AA12" i="2897"/>
  <c r="W12" i="2897"/>
  <c r="O12" i="2897"/>
  <c r="AA11" i="2897"/>
  <c r="W11" i="2897"/>
  <c r="R11" i="2897"/>
  <c r="S11" i="2897" s="1"/>
  <c r="O11" i="2897"/>
  <c r="AA10" i="2897"/>
  <c r="W10" i="2897"/>
  <c r="R10" i="2897"/>
  <c r="S10" i="2897" s="1"/>
  <c r="O10" i="2897"/>
  <c r="AA9" i="2897"/>
  <c r="W9" i="2897"/>
  <c r="R9" i="2897"/>
  <c r="S9" i="2897" s="1"/>
  <c r="O9" i="2897"/>
  <c r="AA8" i="2897"/>
  <c r="O8" i="2897"/>
  <c r="AA7" i="2897"/>
  <c r="W7" i="2897"/>
  <c r="R7" i="2897"/>
  <c r="S7" i="2897" s="1"/>
  <c r="O7" i="2897"/>
  <c r="AA6" i="2897"/>
  <c r="W6" i="2897"/>
  <c r="R6" i="2897"/>
  <c r="O6" i="2897"/>
  <c r="AA5" i="2897"/>
  <c r="O5" i="2897"/>
  <c r="AA4" i="2897"/>
  <c r="W4" i="2897"/>
  <c r="R4" i="2897"/>
  <c r="S4" i="2897" s="1"/>
  <c r="O4" i="2897"/>
  <c r="L11" i="2896"/>
  <c r="Z90" i="2896"/>
  <c r="M90" i="2896"/>
  <c r="G90" i="2896"/>
  <c r="AA85" i="2896"/>
  <c r="W85" i="2896"/>
  <c r="N85" i="2896"/>
  <c r="O85" i="2896"/>
  <c r="AA84" i="2896"/>
  <c r="W84" i="2896"/>
  <c r="O84" i="2896"/>
  <c r="AA83" i="2896"/>
  <c r="W83" i="2896"/>
  <c r="R83" i="2896"/>
  <c r="S83" i="2896" s="1"/>
  <c r="O83" i="2896"/>
  <c r="AA82" i="2896"/>
  <c r="W82" i="2896"/>
  <c r="R82" i="2896"/>
  <c r="S82" i="2896" s="1"/>
  <c r="O82" i="2896"/>
  <c r="AA81" i="2896"/>
  <c r="W81" i="2896"/>
  <c r="R81" i="2896"/>
  <c r="S81" i="2896" s="1"/>
  <c r="O81" i="2896"/>
  <c r="AA80" i="2896"/>
  <c r="O80" i="2896"/>
  <c r="AA79" i="2896"/>
  <c r="W79" i="2896"/>
  <c r="R79" i="2896"/>
  <c r="S79" i="2896" s="1"/>
  <c r="O79" i="2896"/>
  <c r="AA78" i="2896"/>
  <c r="W78" i="2896"/>
  <c r="O78" i="2896"/>
  <c r="AA77" i="2896"/>
  <c r="W77" i="2896"/>
  <c r="R77" i="2896"/>
  <c r="S77" i="2896" s="1"/>
  <c r="O77" i="2896"/>
  <c r="AA76" i="2896"/>
  <c r="R76" i="2896"/>
  <c r="S76" i="2896" s="1"/>
  <c r="O76" i="2896"/>
  <c r="AA75" i="2896"/>
  <c r="W75" i="2896"/>
  <c r="R75" i="2896"/>
  <c r="S75" i="2896" s="1"/>
  <c r="O75" i="2896"/>
  <c r="AA74" i="2896"/>
  <c r="W74" i="2896"/>
  <c r="R74" i="2896"/>
  <c r="S74" i="2896" s="1"/>
  <c r="O74" i="2896"/>
  <c r="AA73" i="2896"/>
  <c r="W73" i="2896"/>
  <c r="R73" i="2896"/>
  <c r="S73" i="2896" s="1"/>
  <c r="O73" i="2896"/>
  <c r="AA72" i="2896"/>
  <c r="O72" i="2896"/>
  <c r="AA71" i="2896"/>
  <c r="W71" i="2896"/>
  <c r="R71" i="2896"/>
  <c r="S71" i="2896" s="1"/>
  <c r="O71" i="2896"/>
  <c r="AA70" i="2896"/>
  <c r="W70" i="2896"/>
  <c r="O70" i="2896"/>
  <c r="AA69" i="2896"/>
  <c r="W69" i="2896"/>
  <c r="R69" i="2896"/>
  <c r="S69" i="2896" s="1"/>
  <c r="O69" i="2896"/>
  <c r="AA68" i="2896"/>
  <c r="O68" i="2896"/>
  <c r="AA67" i="2896"/>
  <c r="W67" i="2896"/>
  <c r="R67" i="2896"/>
  <c r="S67" i="2896" s="1"/>
  <c r="O67" i="2896"/>
  <c r="AA66" i="2896"/>
  <c r="W66" i="2896"/>
  <c r="R66" i="2896"/>
  <c r="S66" i="2896" s="1"/>
  <c r="O66" i="2896"/>
  <c r="AA65" i="2896"/>
  <c r="W65" i="2896"/>
  <c r="R65" i="2896"/>
  <c r="S65" i="2896" s="1"/>
  <c r="O65" i="2896"/>
  <c r="AA64" i="2896"/>
  <c r="O64" i="2896"/>
  <c r="AA63" i="2896"/>
  <c r="W63" i="2896"/>
  <c r="R63" i="2896"/>
  <c r="S63" i="2896" s="1"/>
  <c r="O63" i="2896"/>
  <c r="AA62" i="2896"/>
  <c r="W62" i="2896"/>
  <c r="R62" i="2896"/>
  <c r="S62" i="2896" s="1"/>
  <c r="O62" i="2896"/>
  <c r="AA61" i="2896"/>
  <c r="W61" i="2896"/>
  <c r="R61" i="2896"/>
  <c r="S61" i="2896" s="1"/>
  <c r="O61" i="2896"/>
  <c r="AA60" i="2896"/>
  <c r="O60" i="2896"/>
  <c r="AA59" i="2896"/>
  <c r="W59" i="2896"/>
  <c r="R59" i="2896"/>
  <c r="S59" i="2896" s="1"/>
  <c r="O59" i="2896"/>
  <c r="AA58" i="2896"/>
  <c r="W58" i="2896"/>
  <c r="R58" i="2896"/>
  <c r="S58" i="2896" s="1"/>
  <c r="O58" i="2896"/>
  <c r="AA57" i="2896"/>
  <c r="W57" i="2896"/>
  <c r="R57" i="2896"/>
  <c r="S57" i="2896" s="1"/>
  <c r="O57" i="2896"/>
  <c r="AA56" i="2896"/>
  <c r="W56" i="2896"/>
  <c r="R56" i="2896"/>
  <c r="O56" i="2896"/>
  <c r="O90" i="2896" s="1"/>
  <c r="Z51" i="2896"/>
  <c r="M51" i="2896"/>
  <c r="G51" i="2896"/>
  <c r="AA46" i="2896"/>
  <c r="W46" i="2896"/>
  <c r="N46" i="2896"/>
  <c r="O46" i="2896"/>
  <c r="AA45" i="2896"/>
  <c r="W45" i="2896"/>
  <c r="N45" i="2896"/>
  <c r="O45" i="2896"/>
  <c r="AA44" i="2896"/>
  <c r="W44" i="2896"/>
  <c r="O44" i="2896"/>
  <c r="AA43" i="2896"/>
  <c r="W43" i="2896"/>
  <c r="N43" i="2896"/>
  <c r="O43" i="2896"/>
  <c r="AA42" i="2896"/>
  <c r="W42" i="2896"/>
  <c r="N42" i="2896"/>
  <c r="O42" i="2896"/>
  <c r="AA41" i="2896"/>
  <c r="W41" i="2896"/>
  <c r="N41" i="2896"/>
  <c r="O41" i="2896"/>
  <c r="AA40" i="2896"/>
  <c r="W40" i="2896"/>
  <c r="O40" i="2896"/>
  <c r="AA39" i="2896"/>
  <c r="N39" i="2896"/>
  <c r="O39" i="2896"/>
  <c r="AA38" i="2896"/>
  <c r="W38" i="2896"/>
  <c r="N38" i="2896"/>
  <c r="O38" i="2896"/>
  <c r="AA37" i="2896"/>
  <c r="W37" i="2896"/>
  <c r="N37" i="2896"/>
  <c r="O37" i="2896"/>
  <c r="AA36" i="2896"/>
  <c r="W36" i="2896"/>
  <c r="O36" i="2896"/>
  <c r="AA35" i="2896"/>
  <c r="N35" i="2896"/>
  <c r="O35" i="2896"/>
  <c r="AA34" i="2896"/>
  <c r="W34" i="2896"/>
  <c r="N34" i="2896"/>
  <c r="O34" i="2896"/>
  <c r="AA33" i="2896"/>
  <c r="W33" i="2896"/>
  <c r="N33" i="2896"/>
  <c r="O33" i="2896"/>
  <c r="AA32" i="2896"/>
  <c r="W32" i="2896"/>
  <c r="N32" i="2896"/>
  <c r="O32" i="2896"/>
  <c r="AA31" i="2896"/>
  <c r="N31" i="2896"/>
  <c r="O31" i="2896"/>
  <c r="AA30" i="2896"/>
  <c r="W30" i="2896"/>
  <c r="R30" i="2896"/>
  <c r="S30" i="2896" s="1"/>
  <c r="O30" i="2896"/>
  <c r="AA29" i="2896"/>
  <c r="W29" i="2896"/>
  <c r="R29" i="2896"/>
  <c r="S29" i="2896" s="1"/>
  <c r="O29" i="2896"/>
  <c r="AA28" i="2896"/>
  <c r="W28" i="2896"/>
  <c r="R28" i="2896"/>
  <c r="S28" i="2896" s="1"/>
  <c r="O28" i="2896"/>
  <c r="AA27" i="2896"/>
  <c r="R27" i="2896"/>
  <c r="S27" i="2896" s="1"/>
  <c r="O27" i="2896"/>
  <c r="AA26" i="2896"/>
  <c r="W26" i="2896"/>
  <c r="R26" i="2896"/>
  <c r="S26" i="2896" s="1"/>
  <c r="O26" i="2896"/>
  <c r="AA25" i="2896"/>
  <c r="W25" i="2896"/>
  <c r="R25" i="2896"/>
  <c r="S25" i="2896" s="1"/>
  <c r="O25" i="2896"/>
  <c r="AA24" i="2896"/>
  <c r="W24" i="2896"/>
  <c r="R24" i="2896"/>
  <c r="S24" i="2896" s="1"/>
  <c r="O24" i="2896"/>
  <c r="AA23" i="2896"/>
  <c r="R23" i="2896"/>
  <c r="S23" i="2896" s="1"/>
  <c r="O23" i="2896"/>
  <c r="AA22" i="2896"/>
  <c r="W22" i="2896"/>
  <c r="R22" i="2896"/>
  <c r="S22" i="2896" s="1"/>
  <c r="O22" i="2896"/>
  <c r="AA21" i="2896"/>
  <c r="W21" i="2896"/>
  <c r="R21" i="2896"/>
  <c r="S21" i="2896" s="1"/>
  <c r="O21" i="2896"/>
  <c r="AA20" i="2896"/>
  <c r="W20" i="2896"/>
  <c r="R20" i="2896"/>
  <c r="S20" i="2896" s="1"/>
  <c r="O20" i="2896"/>
  <c r="AA19" i="2896"/>
  <c r="R19" i="2896"/>
  <c r="S19" i="2896" s="1"/>
  <c r="O19" i="2896"/>
  <c r="AA18" i="2896"/>
  <c r="W18" i="2896"/>
  <c r="R18" i="2896"/>
  <c r="S18" i="2896" s="1"/>
  <c r="O18" i="2896"/>
  <c r="AA17" i="2896"/>
  <c r="W17" i="2896"/>
  <c r="R17" i="2896"/>
  <c r="O17" i="2896"/>
  <c r="AA16" i="2896"/>
  <c r="O16" i="2896"/>
  <c r="O15" i="2896"/>
  <c r="AA4" i="2896"/>
  <c r="W4" i="2896"/>
  <c r="R4" i="2896"/>
  <c r="S4" i="2896" s="1"/>
  <c r="O4" i="2896"/>
  <c r="L13" i="2895"/>
  <c r="O13" i="2895" s="1"/>
  <c r="L12" i="2895"/>
  <c r="L11" i="2895"/>
  <c r="L10" i="2895"/>
  <c r="L5" i="2895"/>
  <c r="Z88" i="2895"/>
  <c r="M88" i="2895"/>
  <c r="G88" i="2895"/>
  <c r="AA83" i="2895"/>
  <c r="W83" i="2895"/>
  <c r="R83" i="2895"/>
  <c r="S83" i="2895" s="1"/>
  <c r="O83" i="2895"/>
  <c r="AA82" i="2895"/>
  <c r="O82" i="2895"/>
  <c r="AA81" i="2895"/>
  <c r="W81" i="2895"/>
  <c r="R81" i="2895"/>
  <c r="S81" i="2895" s="1"/>
  <c r="O81" i="2895"/>
  <c r="AA80" i="2895"/>
  <c r="W80" i="2895"/>
  <c r="R80" i="2895"/>
  <c r="S80" i="2895" s="1"/>
  <c r="O80" i="2895"/>
  <c r="AA79" i="2895"/>
  <c r="W79" i="2895"/>
  <c r="R79" i="2895"/>
  <c r="S79" i="2895" s="1"/>
  <c r="O79" i="2895"/>
  <c r="AA78" i="2895"/>
  <c r="O78" i="2895"/>
  <c r="AA77" i="2895"/>
  <c r="W77" i="2895"/>
  <c r="R77" i="2895"/>
  <c r="S77" i="2895" s="1"/>
  <c r="O77" i="2895"/>
  <c r="AA76" i="2895"/>
  <c r="W76" i="2895"/>
  <c r="R76" i="2895"/>
  <c r="S76" i="2895" s="1"/>
  <c r="O76" i="2895"/>
  <c r="AA75" i="2895"/>
  <c r="W75" i="2895"/>
  <c r="R75" i="2895"/>
  <c r="S75" i="2895" s="1"/>
  <c r="O75" i="2895"/>
  <c r="AA74" i="2895"/>
  <c r="W74" i="2895"/>
  <c r="O74" i="2895"/>
  <c r="AA73" i="2895"/>
  <c r="W73" i="2895"/>
  <c r="R73" i="2895"/>
  <c r="S73" i="2895" s="1"/>
  <c r="O73" i="2895"/>
  <c r="AA72" i="2895"/>
  <c r="W72" i="2895"/>
  <c r="R72" i="2895"/>
  <c r="S72" i="2895" s="1"/>
  <c r="O72" i="2895"/>
  <c r="AA71" i="2895"/>
  <c r="W71" i="2895"/>
  <c r="R71" i="2895"/>
  <c r="S71" i="2895" s="1"/>
  <c r="O71" i="2895"/>
  <c r="AA70" i="2895"/>
  <c r="O70" i="2895"/>
  <c r="AA69" i="2895"/>
  <c r="W69" i="2895"/>
  <c r="R69" i="2895"/>
  <c r="S69" i="2895" s="1"/>
  <c r="O69" i="2895"/>
  <c r="AA68" i="2895"/>
  <c r="W68" i="2895"/>
  <c r="R68" i="2895"/>
  <c r="S68" i="2895" s="1"/>
  <c r="O68" i="2895"/>
  <c r="AA67" i="2895"/>
  <c r="W67" i="2895"/>
  <c r="R67" i="2895"/>
  <c r="S67" i="2895" s="1"/>
  <c r="O67" i="2895"/>
  <c r="AA66" i="2895"/>
  <c r="O66" i="2895"/>
  <c r="AA65" i="2895"/>
  <c r="W65" i="2895"/>
  <c r="R65" i="2895"/>
  <c r="S65" i="2895" s="1"/>
  <c r="O65" i="2895"/>
  <c r="AA64" i="2895"/>
  <c r="W64" i="2895"/>
  <c r="R64" i="2895"/>
  <c r="S64" i="2895" s="1"/>
  <c r="O64" i="2895"/>
  <c r="AA63" i="2895"/>
  <c r="W63" i="2895"/>
  <c r="R63" i="2895"/>
  <c r="S63" i="2895" s="1"/>
  <c r="O63" i="2895"/>
  <c r="AA62" i="2895"/>
  <c r="O62" i="2895"/>
  <c r="AA61" i="2895"/>
  <c r="W61" i="2895"/>
  <c r="R61" i="2895"/>
  <c r="S61" i="2895" s="1"/>
  <c r="O61" i="2895"/>
  <c r="AA60" i="2895"/>
  <c r="W60" i="2895"/>
  <c r="R60" i="2895"/>
  <c r="S60" i="2895" s="1"/>
  <c r="O60" i="2895"/>
  <c r="AA59" i="2895"/>
  <c r="W59" i="2895"/>
  <c r="R59" i="2895"/>
  <c r="S59" i="2895" s="1"/>
  <c r="O59" i="2895"/>
  <c r="AA58" i="2895"/>
  <c r="W58" i="2895"/>
  <c r="O58" i="2895"/>
  <c r="AA57" i="2895"/>
  <c r="W57" i="2895"/>
  <c r="R57" i="2895"/>
  <c r="S57" i="2895" s="1"/>
  <c r="O57" i="2895"/>
  <c r="AA56" i="2895"/>
  <c r="W56" i="2895"/>
  <c r="R56" i="2895"/>
  <c r="S56" i="2895" s="1"/>
  <c r="O56" i="2895"/>
  <c r="AA55" i="2895"/>
  <c r="W55" i="2895"/>
  <c r="R55" i="2895"/>
  <c r="S55" i="2895" s="1"/>
  <c r="O55" i="2895"/>
  <c r="AA54" i="2895"/>
  <c r="AA88" i="2895" s="1"/>
  <c r="AC88" i="2895" s="1"/>
  <c r="W54" i="2895"/>
  <c r="R54" i="2895"/>
  <c r="S54" i="2895" s="1"/>
  <c r="O54" i="2895"/>
  <c r="O88" i="2895" s="1"/>
  <c r="Z49" i="2895"/>
  <c r="M49" i="2895"/>
  <c r="G49" i="2895"/>
  <c r="AA44" i="2895"/>
  <c r="W44" i="2895"/>
  <c r="O44" i="2895"/>
  <c r="AA43" i="2895"/>
  <c r="W43" i="2895"/>
  <c r="N43" i="2895"/>
  <c r="O43" i="2895"/>
  <c r="AA42" i="2895"/>
  <c r="W42" i="2895"/>
  <c r="N42" i="2895"/>
  <c r="O42" i="2895"/>
  <c r="AA41" i="2895"/>
  <c r="N41" i="2895"/>
  <c r="O41" i="2895"/>
  <c r="AA40" i="2895"/>
  <c r="W40" i="2895"/>
  <c r="O40" i="2895"/>
  <c r="AA39" i="2895"/>
  <c r="W39" i="2895"/>
  <c r="N39" i="2895"/>
  <c r="O39" i="2895"/>
  <c r="AA38" i="2895"/>
  <c r="W38" i="2895"/>
  <c r="N38" i="2895"/>
  <c r="O38" i="2895"/>
  <c r="AA37" i="2895"/>
  <c r="N37" i="2895"/>
  <c r="O37" i="2895"/>
  <c r="AA36" i="2895"/>
  <c r="W36" i="2895"/>
  <c r="O36" i="2895"/>
  <c r="AA35" i="2895"/>
  <c r="W35" i="2895"/>
  <c r="N35" i="2895"/>
  <c r="O35" i="2895"/>
  <c r="AA34" i="2895"/>
  <c r="W34" i="2895"/>
  <c r="N34" i="2895"/>
  <c r="O34" i="2895"/>
  <c r="AA33" i="2895"/>
  <c r="N33" i="2895"/>
  <c r="O33" i="2895"/>
  <c r="AA32" i="2895"/>
  <c r="W32" i="2895"/>
  <c r="O32" i="2895"/>
  <c r="AA31" i="2895"/>
  <c r="W31" i="2895"/>
  <c r="N31" i="2895"/>
  <c r="O31" i="2895"/>
  <c r="AA30" i="2895"/>
  <c r="W30" i="2895"/>
  <c r="N30" i="2895"/>
  <c r="O30" i="2895"/>
  <c r="AA29" i="2895"/>
  <c r="W29" i="2895"/>
  <c r="N29" i="2895"/>
  <c r="O29" i="2895"/>
  <c r="AA28" i="2895"/>
  <c r="W28" i="2895"/>
  <c r="O28" i="2895"/>
  <c r="AA27" i="2895"/>
  <c r="W27" i="2895"/>
  <c r="N27" i="2895"/>
  <c r="O27" i="2895"/>
  <c r="AA26" i="2895"/>
  <c r="W26" i="2895"/>
  <c r="N26" i="2895"/>
  <c r="O26" i="2895"/>
  <c r="AA25" i="2895"/>
  <c r="N25" i="2895"/>
  <c r="O25" i="2895"/>
  <c r="AA24" i="2895"/>
  <c r="W24" i="2895"/>
  <c r="O24" i="2895"/>
  <c r="AA23" i="2895"/>
  <c r="W23" i="2895"/>
  <c r="N23" i="2895"/>
  <c r="O23" i="2895"/>
  <c r="AA22" i="2895"/>
  <c r="W22" i="2895"/>
  <c r="N22" i="2895"/>
  <c r="O22" i="2895"/>
  <c r="AA21" i="2895"/>
  <c r="N21" i="2895"/>
  <c r="O21" i="2895"/>
  <c r="AA20" i="2895"/>
  <c r="W20" i="2895"/>
  <c r="O20" i="2895"/>
  <c r="AA19" i="2895"/>
  <c r="W19" i="2895"/>
  <c r="N19" i="2895"/>
  <c r="O19" i="2895"/>
  <c r="AA18" i="2895"/>
  <c r="W18" i="2895"/>
  <c r="N18" i="2895"/>
  <c r="O18" i="2895"/>
  <c r="AA17" i="2895"/>
  <c r="N17" i="2895"/>
  <c r="O17" i="2895"/>
  <c r="AA16" i="2895"/>
  <c r="W16" i="2895"/>
  <c r="O16" i="2895"/>
  <c r="AA15" i="2895"/>
  <c r="W15" i="2895"/>
  <c r="N15" i="2895"/>
  <c r="O15" i="2895"/>
  <c r="O49" i="2895" s="1"/>
  <c r="AA14" i="2895"/>
  <c r="O14" i="2895"/>
  <c r="AA4" i="2895"/>
  <c r="W4" i="2895"/>
  <c r="R4" i="2895"/>
  <c r="S4" i="2895" s="1"/>
  <c r="O4" i="2895"/>
  <c r="L11" i="2894"/>
  <c r="O11" i="2894" s="1"/>
  <c r="Z86" i="2894"/>
  <c r="M86" i="2894"/>
  <c r="G86" i="2894"/>
  <c r="AA81" i="2894"/>
  <c r="W81" i="2894"/>
  <c r="R81" i="2894"/>
  <c r="S81" i="2894" s="1"/>
  <c r="O81" i="2894"/>
  <c r="AA80" i="2894"/>
  <c r="O80" i="2894"/>
  <c r="AA79" i="2894"/>
  <c r="W79" i="2894"/>
  <c r="R79" i="2894"/>
  <c r="S79" i="2894" s="1"/>
  <c r="O79" i="2894"/>
  <c r="AA78" i="2894"/>
  <c r="W78" i="2894"/>
  <c r="R78" i="2894"/>
  <c r="S78" i="2894" s="1"/>
  <c r="O78" i="2894"/>
  <c r="AA77" i="2894"/>
  <c r="W77" i="2894"/>
  <c r="R77" i="2894"/>
  <c r="S77" i="2894" s="1"/>
  <c r="O77" i="2894"/>
  <c r="AA76" i="2894"/>
  <c r="O76" i="2894"/>
  <c r="AA75" i="2894"/>
  <c r="W75" i="2894"/>
  <c r="R75" i="2894"/>
  <c r="S75" i="2894" s="1"/>
  <c r="O75" i="2894"/>
  <c r="AA74" i="2894"/>
  <c r="W74" i="2894"/>
  <c r="R74" i="2894"/>
  <c r="S74" i="2894" s="1"/>
  <c r="O74" i="2894"/>
  <c r="AA73" i="2894"/>
  <c r="W73" i="2894"/>
  <c r="R73" i="2894"/>
  <c r="S73" i="2894" s="1"/>
  <c r="O73" i="2894"/>
  <c r="AA72" i="2894"/>
  <c r="O72" i="2894"/>
  <c r="AA71" i="2894"/>
  <c r="W71" i="2894"/>
  <c r="R71" i="2894"/>
  <c r="S71" i="2894" s="1"/>
  <c r="O71" i="2894"/>
  <c r="AA70" i="2894"/>
  <c r="W70" i="2894"/>
  <c r="R70" i="2894"/>
  <c r="S70" i="2894" s="1"/>
  <c r="O70" i="2894"/>
  <c r="AA69" i="2894"/>
  <c r="W69" i="2894"/>
  <c r="R69" i="2894"/>
  <c r="S69" i="2894" s="1"/>
  <c r="O69" i="2894"/>
  <c r="AA68" i="2894"/>
  <c r="W68" i="2894"/>
  <c r="O68" i="2894"/>
  <c r="AA67" i="2894"/>
  <c r="W67" i="2894"/>
  <c r="R67" i="2894"/>
  <c r="S67" i="2894" s="1"/>
  <c r="O67" i="2894"/>
  <c r="AA66" i="2894"/>
  <c r="W66" i="2894"/>
  <c r="R66" i="2894"/>
  <c r="S66" i="2894" s="1"/>
  <c r="O66" i="2894"/>
  <c r="AA65" i="2894"/>
  <c r="W65" i="2894"/>
  <c r="R65" i="2894"/>
  <c r="S65" i="2894" s="1"/>
  <c r="O65" i="2894"/>
  <c r="AA64" i="2894"/>
  <c r="O64" i="2894"/>
  <c r="AA63" i="2894"/>
  <c r="W63" i="2894"/>
  <c r="R63" i="2894"/>
  <c r="S63" i="2894" s="1"/>
  <c r="O63" i="2894"/>
  <c r="AA62" i="2894"/>
  <c r="W62" i="2894"/>
  <c r="R62" i="2894"/>
  <c r="S62" i="2894" s="1"/>
  <c r="O62" i="2894"/>
  <c r="AA61" i="2894"/>
  <c r="W61" i="2894"/>
  <c r="R61" i="2894"/>
  <c r="S61" i="2894" s="1"/>
  <c r="O61" i="2894"/>
  <c r="AA60" i="2894"/>
  <c r="O60" i="2894"/>
  <c r="AA59" i="2894"/>
  <c r="W59" i="2894"/>
  <c r="R59" i="2894"/>
  <c r="S59" i="2894" s="1"/>
  <c r="O59" i="2894"/>
  <c r="AA58" i="2894"/>
  <c r="W58" i="2894"/>
  <c r="R58" i="2894"/>
  <c r="S58" i="2894" s="1"/>
  <c r="O58" i="2894"/>
  <c r="AA57" i="2894"/>
  <c r="W57" i="2894"/>
  <c r="R57" i="2894"/>
  <c r="S57" i="2894" s="1"/>
  <c r="O57" i="2894"/>
  <c r="AA56" i="2894"/>
  <c r="O56" i="2894"/>
  <c r="AA55" i="2894"/>
  <c r="W55" i="2894"/>
  <c r="R55" i="2894"/>
  <c r="S55" i="2894" s="1"/>
  <c r="O55" i="2894"/>
  <c r="AA54" i="2894"/>
  <c r="W54" i="2894"/>
  <c r="R54" i="2894"/>
  <c r="S54" i="2894" s="1"/>
  <c r="O54" i="2894"/>
  <c r="AA53" i="2894"/>
  <c r="W53" i="2894"/>
  <c r="R53" i="2894"/>
  <c r="S53" i="2894" s="1"/>
  <c r="O53" i="2894"/>
  <c r="AA52" i="2894"/>
  <c r="W52" i="2894"/>
  <c r="R52" i="2894"/>
  <c r="O52" i="2894"/>
  <c r="O86" i="2894" s="1"/>
  <c r="Z47" i="2894"/>
  <c r="M47" i="2894"/>
  <c r="G47" i="2894"/>
  <c r="AA42" i="2894"/>
  <c r="W42" i="2894"/>
  <c r="N42" i="2894"/>
  <c r="O42" i="2894"/>
  <c r="AA41" i="2894"/>
  <c r="W41" i="2894"/>
  <c r="N41" i="2894"/>
  <c r="O41" i="2894"/>
  <c r="AA40" i="2894"/>
  <c r="W40" i="2894"/>
  <c r="N40" i="2894"/>
  <c r="O40" i="2894"/>
  <c r="AA39" i="2894"/>
  <c r="N39" i="2894"/>
  <c r="O39" i="2894"/>
  <c r="AA38" i="2894"/>
  <c r="W38" i="2894"/>
  <c r="N38" i="2894"/>
  <c r="O38" i="2894"/>
  <c r="AA37" i="2894"/>
  <c r="W37" i="2894"/>
  <c r="N37" i="2894"/>
  <c r="O37" i="2894"/>
  <c r="AA36" i="2894"/>
  <c r="W36" i="2894"/>
  <c r="N36" i="2894"/>
  <c r="O36" i="2894"/>
  <c r="AA35" i="2894"/>
  <c r="N35" i="2894"/>
  <c r="O35" i="2894"/>
  <c r="AA34" i="2894"/>
  <c r="W34" i="2894"/>
  <c r="N34" i="2894"/>
  <c r="O34" i="2894"/>
  <c r="AA33" i="2894"/>
  <c r="W33" i="2894"/>
  <c r="N33" i="2894"/>
  <c r="O33" i="2894"/>
  <c r="AA32" i="2894"/>
  <c r="W32" i="2894"/>
  <c r="N32" i="2894"/>
  <c r="O32" i="2894"/>
  <c r="AA31" i="2894"/>
  <c r="N31" i="2894"/>
  <c r="O31" i="2894"/>
  <c r="AA30" i="2894"/>
  <c r="W30" i="2894"/>
  <c r="N30" i="2894"/>
  <c r="O30" i="2894"/>
  <c r="AA29" i="2894"/>
  <c r="W29" i="2894"/>
  <c r="N29" i="2894"/>
  <c r="O29" i="2894"/>
  <c r="AA28" i="2894"/>
  <c r="W28" i="2894"/>
  <c r="N28" i="2894"/>
  <c r="O28" i="2894"/>
  <c r="AA27" i="2894"/>
  <c r="N27" i="2894"/>
  <c r="O27" i="2894"/>
  <c r="AA26" i="2894"/>
  <c r="W26" i="2894"/>
  <c r="N26" i="2894"/>
  <c r="O26" i="2894"/>
  <c r="AA25" i="2894"/>
  <c r="W25" i="2894"/>
  <c r="N25" i="2894"/>
  <c r="O25" i="2894"/>
  <c r="AA24" i="2894"/>
  <c r="W24" i="2894"/>
  <c r="N24" i="2894"/>
  <c r="O24" i="2894"/>
  <c r="AA23" i="2894"/>
  <c r="N23" i="2894"/>
  <c r="O23" i="2894"/>
  <c r="AA22" i="2894"/>
  <c r="W22" i="2894"/>
  <c r="N22" i="2894"/>
  <c r="O22" i="2894"/>
  <c r="AA21" i="2894"/>
  <c r="W21" i="2894"/>
  <c r="N21" i="2894"/>
  <c r="O21" i="2894"/>
  <c r="AA20" i="2894"/>
  <c r="W20" i="2894"/>
  <c r="N20" i="2894"/>
  <c r="O20" i="2894"/>
  <c r="AA19" i="2894"/>
  <c r="N19" i="2894"/>
  <c r="O19" i="2894"/>
  <c r="AA18" i="2894"/>
  <c r="W18" i="2894"/>
  <c r="N18" i="2894"/>
  <c r="O18" i="2894"/>
  <c r="AA17" i="2894"/>
  <c r="W17" i="2894"/>
  <c r="N17" i="2894"/>
  <c r="O17" i="2894"/>
  <c r="AA16" i="2894"/>
  <c r="W16" i="2894"/>
  <c r="N16" i="2894"/>
  <c r="O16" i="2894"/>
  <c r="AA15" i="2894"/>
  <c r="N15" i="2894"/>
  <c r="O15" i="2894"/>
  <c r="AA14" i="2894"/>
  <c r="W14" i="2894"/>
  <c r="N14" i="2894"/>
  <c r="O14" i="2894"/>
  <c r="AA13" i="2894"/>
  <c r="W13" i="2894"/>
  <c r="N13" i="2894"/>
  <c r="O13" i="2894"/>
  <c r="AA12" i="2894"/>
  <c r="O12" i="2894"/>
  <c r="AA4" i="2894"/>
  <c r="W4" i="2894"/>
  <c r="R4" i="2894"/>
  <c r="S4" i="2894" s="1"/>
  <c r="O4" i="2894"/>
  <c r="Z85" i="2893"/>
  <c r="O85" i="2893"/>
  <c r="M85" i="2893"/>
  <c r="G85" i="2893"/>
  <c r="AA80" i="2893"/>
  <c r="W80" i="2893"/>
  <c r="R80" i="2893"/>
  <c r="S80" i="2893" s="1"/>
  <c r="O80" i="2893"/>
  <c r="AA79" i="2893"/>
  <c r="O79" i="2893"/>
  <c r="AA78" i="2893"/>
  <c r="W78" i="2893"/>
  <c r="R78" i="2893"/>
  <c r="S78" i="2893" s="1"/>
  <c r="O78" i="2893"/>
  <c r="AA77" i="2893"/>
  <c r="W77" i="2893"/>
  <c r="R77" i="2893"/>
  <c r="S77" i="2893" s="1"/>
  <c r="O77" i="2893"/>
  <c r="AA76" i="2893"/>
  <c r="W76" i="2893"/>
  <c r="R76" i="2893"/>
  <c r="S76" i="2893" s="1"/>
  <c r="O76" i="2893"/>
  <c r="AA75" i="2893"/>
  <c r="W75" i="2893"/>
  <c r="O75" i="2893"/>
  <c r="AA74" i="2893"/>
  <c r="W74" i="2893"/>
  <c r="R74" i="2893"/>
  <c r="S74" i="2893" s="1"/>
  <c r="O74" i="2893"/>
  <c r="AA73" i="2893"/>
  <c r="W73" i="2893"/>
  <c r="R73" i="2893"/>
  <c r="S73" i="2893" s="1"/>
  <c r="O73" i="2893"/>
  <c r="AA72" i="2893"/>
  <c r="W72" i="2893"/>
  <c r="R72" i="2893"/>
  <c r="S72" i="2893" s="1"/>
  <c r="O72" i="2893"/>
  <c r="AA71" i="2893"/>
  <c r="O71" i="2893"/>
  <c r="AA70" i="2893"/>
  <c r="W70" i="2893"/>
  <c r="R70" i="2893"/>
  <c r="S70" i="2893" s="1"/>
  <c r="O70" i="2893"/>
  <c r="AA69" i="2893"/>
  <c r="W69" i="2893"/>
  <c r="R69" i="2893"/>
  <c r="S69" i="2893" s="1"/>
  <c r="O69" i="2893"/>
  <c r="AA68" i="2893"/>
  <c r="W68" i="2893"/>
  <c r="R68" i="2893"/>
  <c r="S68" i="2893" s="1"/>
  <c r="O68" i="2893"/>
  <c r="AA67" i="2893"/>
  <c r="O67" i="2893"/>
  <c r="AA66" i="2893"/>
  <c r="W66" i="2893"/>
  <c r="R66" i="2893"/>
  <c r="S66" i="2893" s="1"/>
  <c r="O66" i="2893"/>
  <c r="AA65" i="2893"/>
  <c r="W65" i="2893"/>
  <c r="R65" i="2893"/>
  <c r="S65" i="2893" s="1"/>
  <c r="O65" i="2893"/>
  <c r="AA64" i="2893"/>
  <c r="W64" i="2893"/>
  <c r="R64" i="2893"/>
  <c r="S64" i="2893" s="1"/>
  <c r="O64" i="2893"/>
  <c r="AA63" i="2893"/>
  <c r="O63" i="2893"/>
  <c r="AA62" i="2893"/>
  <c r="W62" i="2893"/>
  <c r="R62" i="2893"/>
  <c r="S62" i="2893" s="1"/>
  <c r="O62" i="2893"/>
  <c r="AA61" i="2893"/>
  <c r="W61" i="2893"/>
  <c r="R61" i="2893"/>
  <c r="S61" i="2893" s="1"/>
  <c r="O61" i="2893"/>
  <c r="AA60" i="2893"/>
  <c r="W60" i="2893"/>
  <c r="R60" i="2893"/>
  <c r="S60" i="2893" s="1"/>
  <c r="O60" i="2893"/>
  <c r="AA59" i="2893"/>
  <c r="W59" i="2893"/>
  <c r="O59" i="2893"/>
  <c r="AA58" i="2893"/>
  <c r="W58" i="2893"/>
  <c r="R58" i="2893"/>
  <c r="S58" i="2893" s="1"/>
  <c r="O58" i="2893"/>
  <c r="AA57" i="2893"/>
  <c r="W57" i="2893"/>
  <c r="R57" i="2893"/>
  <c r="S57" i="2893" s="1"/>
  <c r="O57" i="2893"/>
  <c r="AA56" i="2893"/>
  <c r="W56" i="2893"/>
  <c r="R56" i="2893"/>
  <c r="S56" i="2893" s="1"/>
  <c r="O56" i="2893"/>
  <c r="AA55" i="2893"/>
  <c r="O55" i="2893"/>
  <c r="AA54" i="2893"/>
  <c r="W54" i="2893"/>
  <c r="R54" i="2893"/>
  <c r="S54" i="2893" s="1"/>
  <c r="O54" i="2893"/>
  <c r="AA53" i="2893"/>
  <c r="W53" i="2893"/>
  <c r="R53" i="2893"/>
  <c r="S53" i="2893" s="1"/>
  <c r="O53" i="2893"/>
  <c r="AA52" i="2893"/>
  <c r="W52" i="2893"/>
  <c r="R52" i="2893"/>
  <c r="S52" i="2893" s="1"/>
  <c r="O52" i="2893"/>
  <c r="AA51" i="2893"/>
  <c r="AA85" i="2893" s="1"/>
  <c r="AB85" i="2893" s="1"/>
  <c r="W51" i="2893"/>
  <c r="R51" i="2893"/>
  <c r="S51" i="2893" s="1"/>
  <c r="O51" i="2893"/>
  <c r="Z46" i="2893"/>
  <c r="M46" i="2893"/>
  <c r="G46" i="2893"/>
  <c r="AA41" i="2893"/>
  <c r="W41" i="2893"/>
  <c r="N41" i="2893"/>
  <c r="O41" i="2893"/>
  <c r="AA40" i="2893"/>
  <c r="W40" i="2893"/>
  <c r="O40" i="2893"/>
  <c r="AA39" i="2893"/>
  <c r="W39" i="2893"/>
  <c r="N39" i="2893"/>
  <c r="O39" i="2893"/>
  <c r="AA38" i="2893"/>
  <c r="N38" i="2893"/>
  <c r="O38" i="2893"/>
  <c r="AA37" i="2893"/>
  <c r="W37" i="2893"/>
  <c r="N37" i="2893"/>
  <c r="O37" i="2893"/>
  <c r="AA36" i="2893"/>
  <c r="W36" i="2893"/>
  <c r="O36" i="2893"/>
  <c r="AA35" i="2893"/>
  <c r="W35" i="2893"/>
  <c r="N35" i="2893"/>
  <c r="O35" i="2893"/>
  <c r="AA34" i="2893"/>
  <c r="N34" i="2893"/>
  <c r="O34" i="2893"/>
  <c r="AA33" i="2893"/>
  <c r="W33" i="2893"/>
  <c r="N33" i="2893"/>
  <c r="O33" i="2893"/>
  <c r="AA32" i="2893"/>
  <c r="W32" i="2893"/>
  <c r="O32" i="2893"/>
  <c r="AA31" i="2893"/>
  <c r="W31" i="2893"/>
  <c r="N31" i="2893"/>
  <c r="O31" i="2893"/>
  <c r="AA30" i="2893"/>
  <c r="W30" i="2893"/>
  <c r="N30" i="2893"/>
  <c r="O30" i="2893"/>
  <c r="AA29" i="2893"/>
  <c r="W29" i="2893"/>
  <c r="N29" i="2893"/>
  <c r="O29" i="2893"/>
  <c r="AA28" i="2893"/>
  <c r="W28" i="2893"/>
  <c r="O28" i="2893"/>
  <c r="AA27" i="2893"/>
  <c r="W27" i="2893"/>
  <c r="N27" i="2893"/>
  <c r="O27" i="2893"/>
  <c r="AA26" i="2893"/>
  <c r="N26" i="2893"/>
  <c r="O26" i="2893"/>
  <c r="AA25" i="2893"/>
  <c r="W25" i="2893"/>
  <c r="N25" i="2893"/>
  <c r="O25" i="2893"/>
  <c r="AA24" i="2893"/>
  <c r="W24" i="2893"/>
  <c r="O24" i="2893"/>
  <c r="AA23" i="2893"/>
  <c r="W23" i="2893"/>
  <c r="R23" i="2893"/>
  <c r="S23" i="2893" s="1"/>
  <c r="O23" i="2893"/>
  <c r="AA22" i="2893"/>
  <c r="N22" i="2893"/>
  <c r="O22" i="2893"/>
  <c r="AA21" i="2893"/>
  <c r="W21" i="2893"/>
  <c r="R21" i="2893"/>
  <c r="S21" i="2893" s="1"/>
  <c r="O21" i="2893"/>
  <c r="AA20" i="2893"/>
  <c r="W20" i="2893"/>
  <c r="O20" i="2893"/>
  <c r="AA19" i="2893"/>
  <c r="W19" i="2893"/>
  <c r="R19" i="2893"/>
  <c r="S19" i="2893" s="1"/>
  <c r="O19" i="2893"/>
  <c r="AA18" i="2893"/>
  <c r="R18" i="2893"/>
  <c r="S18" i="2893" s="1"/>
  <c r="O18" i="2893"/>
  <c r="AA17" i="2893"/>
  <c r="W17" i="2893"/>
  <c r="R17" i="2893"/>
  <c r="S17" i="2893" s="1"/>
  <c r="O17" i="2893"/>
  <c r="AA16" i="2893"/>
  <c r="W16" i="2893"/>
  <c r="O16" i="2893"/>
  <c r="AA15" i="2893"/>
  <c r="W15" i="2893"/>
  <c r="R15" i="2893"/>
  <c r="S15" i="2893" s="1"/>
  <c r="O15" i="2893"/>
  <c r="AA14" i="2893"/>
  <c r="W14" i="2893"/>
  <c r="N14" i="2893"/>
  <c r="O14" i="2893"/>
  <c r="AA13" i="2893"/>
  <c r="W13" i="2893"/>
  <c r="N13" i="2893"/>
  <c r="O13" i="2893"/>
  <c r="AA12" i="2893"/>
  <c r="AA46" i="2893" s="1"/>
  <c r="AC46" i="2893" s="1"/>
  <c r="W12" i="2893"/>
  <c r="O12" i="2893"/>
  <c r="AA11" i="2893"/>
  <c r="O11" i="2893"/>
  <c r="O10" i="2893"/>
  <c r="AA4" i="2893"/>
  <c r="W4" i="2893"/>
  <c r="R4" i="2893"/>
  <c r="S4" i="2893" s="1"/>
  <c r="O4" i="2893"/>
  <c r="Z85" i="2892"/>
  <c r="M85" i="2892"/>
  <c r="G85" i="2892"/>
  <c r="AA80" i="2892"/>
  <c r="W80" i="2892"/>
  <c r="N80" i="2892"/>
  <c r="O80" i="2892"/>
  <c r="AA79" i="2892"/>
  <c r="O79" i="2892"/>
  <c r="AA78" i="2892"/>
  <c r="W78" i="2892"/>
  <c r="N78" i="2892"/>
  <c r="O78" i="2892"/>
  <c r="AA77" i="2892"/>
  <c r="W77" i="2892"/>
  <c r="O77" i="2892"/>
  <c r="AA76" i="2892"/>
  <c r="W76" i="2892"/>
  <c r="N76" i="2892"/>
  <c r="O76" i="2892"/>
  <c r="AA75" i="2892"/>
  <c r="W75" i="2892"/>
  <c r="O75" i="2892"/>
  <c r="AA74" i="2892"/>
  <c r="W74" i="2892"/>
  <c r="N74" i="2892"/>
  <c r="O74" i="2892"/>
  <c r="AA73" i="2892"/>
  <c r="W73" i="2892"/>
  <c r="O73" i="2892"/>
  <c r="AA72" i="2892"/>
  <c r="W72" i="2892"/>
  <c r="N72" i="2892"/>
  <c r="O72" i="2892"/>
  <c r="AA71" i="2892"/>
  <c r="O71" i="2892"/>
  <c r="AA70" i="2892"/>
  <c r="W70" i="2892"/>
  <c r="N70" i="2892"/>
  <c r="O70" i="2892"/>
  <c r="AA69" i="2892"/>
  <c r="W69" i="2892"/>
  <c r="O69" i="2892"/>
  <c r="AA68" i="2892"/>
  <c r="W68" i="2892"/>
  <c r="N68" i="2892"/>
  <c r="O68" i="2892"/>
  <c r="AA67" i="2892"/>
  <c r="W67" i="2892"/>
  <c r="N67" i="2892"/>
  <c r="O67" i="2892"/>
  <c r="AA66" i="2892"/>
  <c r="W66" i="2892"/>
  <c r="N66" i="2892"/>
  <c r="O66" i="2892"/>
  <c r="AA65" i="2892"/>
  <c r="W65" i="2892"/>
  <c r="O65" i="2892"/>
  <c r="AA64" i="2892"/>
  <c r="W64" i="2892"/>
  <c r="N64" i="2892"/>
  <c r="O64" i="2892"/>
  <c r="AA63" i="2892"/>
  <c r="O63" i="2892"/>
  <c r="AA62" i="2892"/>
  <c r="W62" i="2892"/>
  <c r="N62" i="2892"/>
  <c r="O62" i="2892"/>
  <c r="AA61" i="2892"/>
  <c r="W61" i="2892"/>
  <c r="O61" i="2892"/>
  <c r="AA60" i="2892"/>
  <c r="W60" i="2892"/>
  <c r="N60" i="2892"/>
  <c r="O60" i="2892"/>
  <c r="AA59" i="2892"/>
  <c r="O59" i="2892"/>
  <c r="AA58" i="2892"/>
  <c r="W58" i="2892"/>
  <c r="N58" i="2892"/>
  <c r="O58" i="2892"/>
  <c r="AA57" i="2892"/>
  <c r="W57" i="2892"/>
  <c r="O57" i="2892"/>
  <c r="AA56" i="2892"/>
  <c r="W56" i="2892"/>
  <c r="N56" i="2892"/>
  <c r="O56" i="2892"/>
  <c r="AA55" i="2892"/>
  <c r="O55" i="2892"/>
  <c r="AA54" i="2892"/>
  <c r="W54" i="2892"/>
  <c r="N54" i="2892"/>
  <c r="O54" i="2892"/>
  <c r="AA53" i="2892"/>
  <c r="W53" i="2892"/>
  <c r="R53" i="2892"/>
  <c r="S53" i="2892" s="1"/>
  <c r="O53" i="2892"/>
  <c r="AA52" i="2892"/>
  <c r="W52" i="2892"/>
  <c r="R52" i="2892"/>
  <c r="S52" i="2892" s="1"/>
  <c r="O52" i="2892"/>
  <c r="AA51" i="2892"/>
  <c r="W51" i="2892"/>
  <c r="R51" i="2892"/>
  <c r="O51" i="2892"/>
  <c r="Z46" i="2892"/>
  <c r="M46" i="2892"/>
  <c r="G46" i="2892"/>
  <c r="AA41" i="2892"/>
  <c r="W41" i="2892"/>
  <c r="N41" i="2892"/>
  <c r="O41" i="2892"/>
  <c r="AA40" i="2892"/>
  <c r="W40" i="2892"/>
  <c r="N40" i="2892"/>
  <c r="O40" i="2892"/>
  <c r="AA39" i="2892"/>
  <c r="W39" i="2892"/>
  <c r="N39" i="2892"/>
  <c r="O39" i="2892"/>
  <c r="AA38" i="2892"/>
  <c r="N38" i="2892"/>
  <c r="O38" i="2892"/>
  <c r="AA37" i="2892"/>
  <c r="W37" i="2892"/>
  <c r="N37" i="2892"/>
  <c r="O37" i="2892"/>
  <c r="AA36" i="2892"/>
  <c r="W36" i="2892"/>
  <c r="N36" i="2892"/>
  <c r="O36" i="2892"/>
  <c r="AA35" i="2892"/>
  <c r="W35" i="2892"/>
  <c r="N35" i="2892"/>
  <c r="O35" i="2892"/>
  <c r="AA34" i="2892"/>
  <c r="N34" i="2892"/>
  <c r="O34" i="2892"/>
  <c r="AA33" i="2892"/>
  <c r="W33" i="2892"/>
  <c r="N33" i="2892"/>
  <c r="O33" i="2892"/>
  <c r="AA32" i="2892"/>
  <c r="W32" i="2892"/>
  <c r="N32" i="2892"/>
  <c r="O32" i="2892"/>
  <c r="AA31" i="2892"/>
  <c r="W31" i="2892"/>
  <c r="N31" i="2892"/>
  <c r="O31" i="2892"/>
  <c r="AA30" i="2892"/>
  <c r="N30" i="2892"/>
  <c r="O30" i="2892"/>
  <c r="AA29" i="2892"/>
  <c r="W29" i="2892"/>
  <c r="N29" i="2892"/>
  <c r="O29" i="2892"/>
  <c r="AA28" i="2892"/>
  <c r="W28" i="2892"/>
  <c r="N28" i="2892"/>
  <c r="O28" i="2892"/>
  <c r="AA27" i="2892"/>
  <c r="W27" i="2892"/>
  <c r="N27" i="2892"/>
  <c r="O27" i="2892"/>
  <c r="AA26" i="2892"/>
  <c r="N26" i="2892"/>
  <c r="O26" i="2892"/>
  <c r="AA25" i="2892"/>
  <c r="W25" i="2892"/>
  <c r="N25" i="2892"/>
  <c r="O25" i="2892"/>
  <c r="AA24" i="2892"/>
  <c r="W24" i="2892"/>
  <c r="N24" i="2892"/>
  <c r="O24" i="2892"/>
  <c r="AA23" i="2892"/>
  <c r="W23" i="2892"/>
  <c r="N23" i="2892"/>
  <c r="O23" i="2892"/>
  <c r="AA22" i="2892"/>
  <c r="N22" i="2892"/>
  <c r="O22" i="2892"/>
  <c r="AA21" i="2892"/>
  <c r="W21" i="2892"/>
  <c r="N21" i="2892"/>
  <c r="O21" i="2892"/>
  <c r="AA20" i="2892"/>
  <c r="W20" i="2892"/>
  <c r="N20" i="2892"/>
  <c r="O20" i="2892"/>
  <c r="AA19" i="2892"/>
  <c r="W19" i="2892"/>
  <c r="N19" i="2892"/>
  <c r="O19" i="2892"/>
  <c r="AA18" i="2892"/>
  <c r="N18" i="2892"/>
  <c r="O18" i="2892"/>
  <c r="AA17" i="2892"/>
  <c r="W17" i="2892"/>
  <c r="N17" i="2892"/>
  <c r="O17" i="2892"/>
  <c r="AA16" i="2892"/>
  <c r="W16" i="2892"/>
  <c r="N16" i="2892"/>
  <c r="O16" i="2892"/>
  <c r="AA15" i="2892"/>
  <c r="W15" i="2892"/>
  <c r="N15" i="2892"/>
  <c r="O15" i="2892"/>
  <c r="AA14" i="2892"/>
  <c r="N14" i="2892"/>
  <c r="O14" i="2892"/>
  <c r="AA13" i="2892"/>
  <c r="W13" i="2892"/>
  <c r="N13" i="2892"/>
  <c r="O13" i="2892"/>
  <c r="AA12" i="2892"/>
  <c r="W12" i="2892"/>
  <c r="N12" i="2892"/>
  <c r="O12" i="2892"/>
  <c r="AA11" i="2892"/>
  <c r="O11" i="2892"/>
  <c r="O10" i="2892"/>
  <c r="AA4" i="2892"/>
  <c r="W4" i="2892"/>
  <c r="R4" i="2892"/>
  <c r="S4" i="2892" s="1"/>
  <c r="O4" i="2892"/>
  <c r="Z80" i="2891"/>
  <c r="M80" i="2891"/>
  <c r="G80" i="2891"/>
  <c r="AA75" i="2891"/>
  <c r="W75" i="2891"/>
  <c r="R75" i="2891"/>
  <c r="S75" i="2891" s="1"/>
  <c r="O75" i="2891"/>
  <c r="AA74" i="2891"/>
  <c r="O74" i="2891"/>
  <c r="AA73" i="2891"/>
  <c r="W73" i="2891"/>
  <c r="O73" i="2891"/>
  <c r="AA72" i="2891"/>
  <c r="W72" i="2891"/>
  <c r="O72" i="2891"/>
  <c r="AA71" i="2891"/>
  <c r="W71" i="2891"/>
  <c r="O71" i="2891"/>
  <c r="AA70" i="2891"/>
  <c r="R70" i="2891"/>
  <c r="S70" i="2891" s="1"/>
  <c r="O70" i="2891"/>
  <c r="AA69" i="2891"/>
  <c r="W69" i="2891"/>
  <c r="R69" i="2891"/>
  <c r="S69" i="2891" s="1"/>
  <c r="O69" i="2891"/>
  <c r="AA68" i="2891"/>
  <c r="W68" i="2891"/>
  <c r="R68" i="2891"/>
  <c r="S68" i="2891" s="1"/>
  <c r="O68" i="2891"/>
  <c r="AA67" i="2891"/>
  <c r="W67" i="2891"/>
  <c r="R67" i="2891"/>
  <c r="S67" i="2891" s="1"/>
  <c r="O67" i="2891"/>
  <c r="AA66" i="2891"/>
  <c r="R66" i="2891"/>
  <c r="S66" i="2891" s="1"/>
  <c r="O66" i="2891"/>
  <c r="AA65" i="2891"/>
  <c r="W65" i="2891"/>
  <c r="O65" i="2891"/>
  <c r="AA64" i="2891"/>
  <c r="W64" i="2891"/>
  <c r="O64" i="2891"/>
  <c r="AA63" i="2891"/>
  <c r="W63" i="2891"/>
  <c r="O63" i="2891"/>
  <c r="AA62" i="2891"/>
  <c r="W62" i="2891"/>
  <c r="O62" i="2891"/>
  <c r="AA61" i="2891"/>
  <c r="W61" i="2891"/>
  <c r="R61" i="2891"/>
  <c r="S61" i="2891" s="1"/>
  <c r="O61" i="2891"/>
  <c r="AA60" i="2891"/>
  <c r="W60" i="2891"/>
  <c r="R60" i="2891"/>
  <c r="S60" i="2891" s="1"/>
  <c r="O60" i="2891"/>
  <c r="AA59" i="2891"/>
  <c r="W59" i="2891"/>
  <c r="R59" i="2891"/>
  <c r="S59" i="2891" s="1"/>
  <c r="O59" i="2891"/>
  <c r="AA58" i="2891"/>
  <c r="O58" i="2891"/>
  <c r="AA57" i="2891"/>
  <c r="W57" i="2891"/>
  <c r="O57" i="2891"/>
  <c r="AA56" i="2891"/>
  <c r="W56" i="2891"/>
  <c r="R56" i="2891"/>
  <c r="S56" i="2891" s="1"/>
  <c r="O56" i="2891"/>
  <c r="AA55" i="2891"/>
  <c r="W55" i="2891"/>
  <c r="R55" i="2891"/>
  <c r="S55" i="2891" s="1"/>
  <c r="O55" i="2891"/>
  <c r="AA54" i="2891"/>
  <c r="R54" i="2891"/>
  <c r="S54" i="2891" s="1"/>
  <c r="O54" i="2891"/>
  <c r="AA53" i="2891"/>
  <c r="W53" i="2891"/>
  <c r="O53" i="2891"/>
  <c r="AA52" i="2891"/>
  <c r="W52" i="2891"/>
  <c r="R52" i="2891"/>
  <c r="S52" i="2891" s="1"/>
  <c r="O52" i="2891"/>
  <c r="AA51" i="2891"/>
  <c r="W51" i="2891"/>
  <c r="R51" i="2891"/>
  <c r="S51" i="2891" s="1"/>
  <c r="O51" i="2891"/>
  <c r="AA50" i="2891"/>
  <c r="W50" i="2891"/>
  <c r="O50" i="2891"/>
  <c r="AA49" i="2891"/>
  <c r="W49" i="2891"/>
  <c r="O49" i="2891"/>
  <c r="AA48" i="2891"/>
  <c r="W48" i="2891"/>
  <c r="R48" i="2891"/>
  <c r="S48" i="2891" s="1"/>
  <c r="O48" i="2891"/>
  <c r="AA47" i="2891"/>
  <c r="W47" i="2891"/>
  <c r="R47" i="2891"/>
  <c r="S47" i="2891" s="1"/>
  <c r="O47" i="2891"/>
  <c r="AA46" i="2891"/>
  <c r="W46" i="2891"/>
  <c r="R46" i="2891"/>
  <c r="O46" i="2891"/>
  <c r="O80" i="2891" s="1"/>
  <c r="Z41" i="2891"/>
  <c r="M41" i="2891"/>
  <c r="G41" i="2891"/>
  <c r="AA36" i="2891"/>
  <c r="W36" i="2891"/>
  <c r="O36" i="2891"/>
  <c r="AA35" i="2891"/>
  <c r="W35" i="2891"/>
  <c r="N35" i="2891"/>
  <c r="O35" i="2891"/>
  <c r="AA34" i="2891"/>
  <c r="W34" i="2891"/>
  <c r="N34" i="2891"/>
  <c r="O34" i="2891"/>
  <c r="AA33" i="2891"/>
  <c r="N33" i="2891"/>
  <c r="O33" i="2891"/>
  <c r="AA32" i="2891"/>
  <c r="W32" i="2891"/>
  <c r="O32" i="2891"/>
  <c r="AA31" i="2891"/>
  <c r="W31" i="2891"/>
  <c r="N31" i="2891"/>
  <c r="O31" i="2891"/>
  <c r="AA30" i="2891"/>
  <c r="W30" i="2891"/>
  <c r="N30" i="2891"/>
  <c r="O30" i="2891"/>
  <c r="AA29" i="2891"/>
  <c r="N29" i="2891"/>
  <c r="O29" i="2891"/>
  <c r="AA28" i="2891"/>
  <c r="W28" i="2891"/>
  <c r="O28" i="2891"/>
  <c r="AA27" i="2891"/>
  <c r="W27" i="2891"/>
  <c r="O27" i="2891"/>
  <c r="AA26" i="2891"/>
  <c r="W26" i="2891"/>
  <c r="N26" i="2891"/>
  <c r="O26" i="2891"/>
  <c r="AA25" i="2891"/>
  <c r="N25" i="2891"/>
  <c r="O25" i="2891"/>
  <c r="AA24" i="2891"/>
  <c r="W24" i="2891"/>
  <c r="O24" i="2891"/>
  <c r="AA23" i="2891"/>
  <c r="W23" i="2891"/>
  <c r="N23" i="2891"/>
  <c r="O23" i="2891"/>
  <c r="AA22" i="2891"/>
  <c r="W22" i="2891"/>
  <c r="N22" i="2891"/>
  <c r="O22" i="2891"/>
  <c r="AA21" i="2891"/>
  <c r="N21" i="2891"/>
  <c r="O21" i="2891"/>
  <c r="AA20" i="2891"/>
  <c r="W20" i="2891"/>
  <c r="O20" i="2891"/>
  <c r="AA19" i="2891"/>
  <c r="W19" i="2891"/>
  <c r="R19" i="2891"/>
  <c r="S19" i="2891" s="1"/>
  <c r="O19" i="2891"/>
  <c r="AA18" i="2891"/>
  <c r="W18" i="2891"/>
  <c r="N18" i="2891"/>
  <c r="O18" i="2891"/>
  <c r="AA17" i="2891"/>
  <c r="R17" i="2891"/>
  <c r="S17" i="2891" s="1"/>
  <c r="O17" i="2891"/>
  <c r="AA16" i="2891"/>
  <c r="W16" i="2891"/>
  <c r="O16" i="2891"/>
  <c r="AA15" i="2891"/>
  <c r="W15" i="2891"/>
  <c r="O15" i="2891"/>
  <c r="AA14" i="2891"/>
  <c r="W14" i="2891"/>
  <c r="N14" i="2891"/>
  <c r="O14" i="2891"/>
  <c r="AA13" i="2891"/>
  <c r="N13" i="2891"/>
  <c r="O13" i="2891"/>
  <c r="AA12" i="2891"/>
  <c r="W12" i="2891"/>
  <c r="O12" i="2891"/>
  <c r="AA11" i="2891"/>
  <c r="W11" i="2891"/>
  <c r="N11" i="2891"/>
  <c r="O11" i="2891"/>
  <c r="AA10" i="2891"/>
  <c r="W10" i="2891"/>
  <c r="N10" i="2891"/>
  <c r="O10" i="2891"/>
  <c r="AA9" i="2891"/>
  <c r="N9" i="2891"/>
  <c r="O9" i="2891"/>
  <c r="AA8" i="2891"/>
  <c r="W8" i="2891"/>
  <c r="O8" i="2891"/>
  <c r="AA7" i="2891"/>
  <c r="AA41" i="2891" s="1"/>
  <c r="AC41" i="2891" s="1"/>
  <c r="W7" i="2891"/>
  <c r="N7" i="2891"/>
  <c r="O7" i="2891"/>
  <c r="AA6" i="2891"/>
  <c r="O6" i="2891"/>
  <c r="O5" i="2891"/>
  <c r="AA4" i="2891"/>
  <c r="W4" i="2891"/>
  <c r="R4" i="2891"/>
  <c r="S4" i="2891" s="1"/>
  <c r="O4" i="2891"/>
  <c r="O5" i="2890"/>
  <c r="O6" i="2890"/>
  <c r="O7" i="2890"/>
  <c r="O8" i="2890"/>
  <c r="O9" i="2890"/>
  <c r="O10" i="2890"/>
  <c r="Z84" i="2890"/>
  <c r="M84" i="2890"/>
  <c r="G84" i="2890"/>
  <c r="AA79" i="2890"/>
  <c r="W79" i="2890"/>
  <c r="N79" i="2890"/>
  <c r="O79" i="2890"/>
  <c r="AA78" i="2890"/>
  <c r="O78" i="2890"/>
  <c r="AA77" i="2890"/>
  <c r="W77" i="2890"/>
  <c r="R77" i="2890"/>
  <c r="S77" i="2890" s="1"/>
  <c r="O77" i="2890"/>
  <c r="AA76" i="2890"/>
  <c r="W76" i="2890"/>
  <c r="R76" i="2890"/>
  <c r="S76" i="2890" s="1"/>
  <c r="O76" i="2890"/>
  <c r="AA75" i="2890"/>
  <c r="W75" i="2890"/>
  <c r="R75" i="2890"/>
  <c r="S75" i="2890" s="1"/>
  <c r="O75" i="2890"/>
  <c r="AA74" i="2890"/>
  <c r="O74" i="2890"/>
  <c r="AA73" i="2890"/>
  <c r="W73" i="2890"/>
  <c r="O73" i="2890"/>
  <c r="AA72" i="2890"/>
  <c r="W72" i="2890"/>
  <c r="R72" i="2890"/>
  <c r="S72" i="2890" s="1"/>
  <c r="O72" i="2890"/>
  <c r="AA71" i="2890"/>
  <c r="W71" i="2890"/>
  <c r="R71" i="2890"/>
  <c r="S71" i="2890" s="1"/>
  <c r="O71" i="2890"/>
  <c r="AA70" i="2890"/>
  <c r="O70" i="2890"/>
  <c r="AA69" i="2890"/>
  <c r="W69" i="2890"/>
  <c r="O69" i="2890"/>
  <c r="AA68" i="2890"/>
  <c r="W68" i="2890"/>
  <c r="R68" i="2890"/>
  <c r="S68" i="2890" s="1"/>
  <c r="O68" i="2890"/>
  <c r="AA67" i="2890"/>
  <c r="W67" i="2890"/>
  <c r="R67" i="2890"/>
  <c r="S67" i="2890" s="1"/>
  <c r="O67" i="2890"/>
  <c r="AA66" i="2890"/>
  <c r="O66" i="2890"/>
  <c r="AA65" i="2890"/>
  <c r="W65" i="2890"/>
  <c r="O65" i="2890"/>
  <c r="AA64" i="2890"/>
  <c r="W64" i="2890"/>
  <c r="R64" i="2890"/>
  <c r="S64" i="2890" s="1"/>
  <c r="O64" i="2890"/>
  <c r="AA63" i="2890"/>
  <c r="W63" i="2890"/>
  <c r="R63" i="2890"/>
  <c r="S63" i="2890" s="1"/>
  <c r="O63" i="2890"/>
  <c r="AA62" i="2890"/>
  <c r="O62" i="2890"/>
  <c r="AA61" i="2890"/>
  <c r="W61" i="2890"/>
  <c r="O61" i="2890"/>
  <c r="AA60" i="2890"/>
  <c r="W60" i="2890"/>
  <c r="R60" i="2890"/>
  <c r="S60" i="2890" s="1"/>
  <c r="O60" i="2890"/>
  <c r="AA59" i="2890"/>
  <c r="W59" i="2890"/>
  <c r="R59" i="2890"/>
  <c r="S59" i="2890" s="1"/>
  <c r="O59" i="2890"/>
  <c r="AA58" i="2890"/>
  <c r="O58" i="2890"/>
  <c r="AA57" i="2890"/>
  <c r="W57" i="2890"/>
  <c r="O57" i="2890"/>
  <c r="AA56" i="2890"/>
  <c r="W56" i="2890"/>
  <c r="R56" i="2890"/>
  <c r="S56" i="2890" s="1"/>
  <c r="O56" i="2890"/>
  <c r="AA55" i="2890"/>
  <c r="W55" i="2890"/>
  <c r="R55" i="2890"/>
  <c r="S55" i="2890" s="1"/>
  <c r="O55" i="2890"/>
  <c r="AA54" i="2890"/>
  <c r="O54" i="2890"/>
  <c r="AA53" i="2890"/>
  <c r="W53" i="2890"/>
  <c r="O53" i="2890"/>
  <c r="AA52" i="2890"/>
  <c r="W52" i="2890"/>
  <c r="R52" i="2890"/>
  <c r="S52" i="2890" s="1"/>
  <c r="O52" i="2890"/>
  <c r="AA51" i="2890"/>
  <c r="W51" i="2890"/>
  <c r="R51" i="2890"/>
  <c r="S51" i="2890" s="1"/>
  <c r="O51" i="2890"/>
  <c r="AA50" i="2890"/>
  <c r="W50" i="2890"/>
  <c r="R50" i="2890"/>
  <c r="O50" i="2890"/>
  <c r="O84" i="2890" s="1"/>
  <c r="Z45" i="2890"/>
  <c r="M45" i="2890"/>
  <c r="G45" i="2890"/>
  <c r="AA40" i="2890"/>
  <c r="W40" i="2890"/>
  <c r="O40" i="2890"/>
  <c r="AA39" i="2890"/>
  <c r="W39" i="2890"/>
  <c r="O39" i="2890"/>
  <c r="AA38" i="2890"/>
  <c r="W38" i="2890"/>
  <c r="N38" i="2890"/>
  <c r="O38" i="2890"/>
  <c r="AA37" i="2890"/>
  <c r="W37" i="2890"/>
  <c r="N37" i="2890"/>
  <c r="O37" i="2890"/>
  <c r="AA36" i="2890"/>
  <c r="W36" i="2890"/>
  <c r="O36" i="2890"/>
  <c r="AA35" i="2890"/>
  <c r="W35" i="2890"/>
  <c r="N35" i="2890"/>
  <c r="O35" i="2890"/>
  <c r="AA34" i="2890"/>
  <c r="N34" i="2890"/>
  <c r="O34" i="2890"/>
  <c r="AA33" i="2890"/>
  <c r="W33" i="2890"/>
  <c r="N33" i="2890"/>
  <c r="O33" i="2890"/>
  <c r="AA32" i="2890"/>
  <c r="W32" i="2890"/>
  <c r="O32" i="2890"/>
  <c r="AA31" i="2890"/>
  <c r="W31" i="2890"/>
  <c r="O31" i="2890"/>
  <c r="AA30" i="2890"/>
  <c r="N30" i="2890"/>
  <c r="O30" i="2890"/>
  <c r="AA29" i="2890"/>
  <c r="N29" i="2890"/>
  <c r="O29" i="2890"/>
  <c r="AA28" i="2890"/>
  <c r="W28" i="2890"/>
  <c r="O28" i="2890"/>
  <c r="AA27" i="2890"/>
  <c r="W27" i="2890"/>
  <c r="O27" i="2890"/>
  <c r="AA26" i="2890"/>
  <c r="N26" i="2890"/>
  <c r="O26" i="2890"/>
  <c r="AA25" i="2890"/>
  <c r="W25" i="2890"/>
  <c r="N25" i="2890"/>
  <c r="O25" i="2890"/>
  <c r="AA24" i="2890"/>
  <c r="W24" i="2890"/>
  <c r="O24" i="2890"/>
  <c r="AA23" i="2890"/>
  <c r="W23" i="2890"/>
  <c r="O23" i="2890"/>
  <c r="AA22" i="2890"/>
  <c r="R22" i="2890"/>
  <c r="S22" i="2890" s="1"/>
  <c r="O22" i="2890"/>
  <c r="AA21" i="2890"/>
  <c r="R21" i="2890"/>
  <c r="S21" i="2890" s="1"/>
  <c r="O21" i="2890"/>
  <c r="AA20" i="2890"/>
  <c r="W20" i="2890"/>
  <c r="O20" i="2890"/>
  <c r="AA19" i="2890"/>
  <c r="W19" i="2890"/>
  <c r="O19" i="2890"/>
  <c r="AA18" i="2890"/>
  <c r="R18" i="2890"/>
  <c r="S18" i="2890" s="1"/>
  <c r="O18" i="2890"/>
  <c r="AA17" i="2890"/>
  <c r="W17" i="2890"/>
  <c r="R17" i="2890"/>
  <c r="S17" i="2890" s="1"/>
  <c r="O17" i="2890"/>
  <c r="AA16" i="2890"/>
  <c r="W16" i="2890"/>
  <c r="O16" i="2890"/>
  <c r="AA15" i="2890"/>
  <c r="W15" i="2890"/>
  <c r="R15" i="2890"/>
  <c r="S15" i="2890" s="1"/>
  <c r="O15" i="2890"/>
  <c r="AA14" i="2890"/>
  <c r="R14" i="2890"/>
  <c r="S14" i="2890" s="1"/>
  <c r="O14" i="2890"/>
  <c r="AA13" i="2890"/>
  <c r="R13" i="2890"/>
  <c r="S13" i="2890" s="1"/>
  <c r="O13" i="2890"/>
  <c r="AA12" i="2890"/>
  <c r="W12" i="2890"/>
  <c r="O12" i="2890"/>
  <c r="AA11" i="2890"/>
  <c r="W11" i="2890"/>
  <c r="O11" i="2890"/>
  <c r="AA10" i="2890"/>
  <c r="AA9" i="2890"/>
  <c r="AA8" i="2890"/>
  <c r="AA7" i="2890"/>
  <c r="AA4" i="2890"/>
  <c r="W4" i="2890"/>
  <c r="O4" i="2890"/>
  <c r="Z82" i="2889"/>
  <c r="M82" i="2889"/>
  <c r="G82" i="2889"/>
  <c r="AA77" i="2889"/>
  <c r="W77" i="2889"/>
  <c r="N77" i="2889"/>
  <c r="O77" i="2889"/>
  <c r="AA76" i="2889"/>
  <c r="O76" i="2889"/>
  <c r="AA75" i="2889"/>
  <c r="W75" i="2889"/>
  <c r="R75" i="2889"/>
  <c r="S75" i="2889" s="1"/>
  <c r="O75" i="2889"/>
  <c r="AA74" i="2889"/>
  <c r="W74" i="2889"/>
  <c r="R74" i="2889"/>
  <c r="S74" i="2889" s="1"/>
  <c r="O74" i="2889"/>
  <c r="AA73" i="2889"/>
  <c r="W73" i="2889"/>
  <c r="R73" i="2889"/>
  <c r="S73" i="2889" s="1"/>
  <c r="O73" i="2889"/>
  <c r="AA72" i="2889"/>
  <c r="O72" i="2889"/>
  <c r="AA71" i="2889"/>
  <c r="W71" i="2889"/>
  <c r="R71" i="2889"/>
  <c r="S71" i="2889" s="1"/>
  <c r="O71" i="2889"/>
  <c r="AA70" i="2889"/>
  <c r="W70" i="2889"/>
  <c r="R70" i="2889"/>
  <c r="S70" i="2889" s="1"/>
  <c r="O70" i="2889"/>
  <c r="AA69" i="2889"/>
  <c r="W69" i="2889"/>
  <c r="R69" i="2889"/>
  <c r="S69" i="2889" s="1"/>
  <c r="O69" i="2889"/>
  <c r="AA68" i="2889"/>
  <c r="O68" i="2889"/>
  <c r="AA67" i="2889"/>
  <c r="W67" i="2889"/>
  <c r="R67" i="2889"/>
  <c r="S67" i="2889" s="1"/>
  <c r="O67" i="2889"/>
  <c r="AA66" i="2889"/>
  <c r="W66" i="2889"/>
  <c r="R66" i="2889"/>
  <c r="S66" i="2889" s="1"/>
  <c r="O66" i="2889"/>
  <c r="AA65" i="2889"/>
  <c r="W65" i="2889"/>
  <c r="R65" i="2889"/>
  <c r="S65" i="2889" s="1"/>
  <c r="O65" i="2889"/>
  <c r="AA64" i="2889"/>
  <c r="W64" i="2889"/>
  <c r="O64" i="2889"/>
  <c r="AA63" i="2889"/>
  <c r="W63" i="2889"/>
  <c r="R63" i="2889"/>
  <c r="S63" i="2889" s="1"/>
  <c r="O63" i="2889"/>
  <c r="AA62" i="2889"/>
  <c r="W62" i="2889"/>
  <c r="R62" i="2889"/>
  <c r="S62" i="2889" s="1"/>
  <c r="O62" i="2889"/>
  <c r="AA61" i="2889"/>
  <c r="W61" i="2889"/>
  <c r="R61" i="2889"/>
  <c r="S61" i="2889" s="1"/>
  <c r="O61" i="2889"/>
  <c r="AA60" i="2889"/>
  <c r="O60" i="2889"/>
  <c r="AA59" i="2889"/>
  <c r="W59" i="2889"/>
  <c r="R59" i="2889"/>
  <c r="S59" i="2889" s="1"/>
  <c r="O59" i="2889"/>
  <c r="AA58" i="2889"/>
  <c r="W58" i="2889"/>
  <c r="R58" i="2889"/>
  <c r="S58" i="2889" s="1"/>
  <c r="O58" i="2889"/>
  <c r="AA57" i="2889"/>
  <c r="W57" i="2889"/>
  <c r="R57" i="2889"/>
  <c r="S57" i="2889" s="1"/>
  <c r="O57" i="2889"/>
  <c r="AA56" i="2889"/>
  <c r="O56" i="2889"/>
  <c r="AA55" i="2889"/>
  <c r="W55" i="2889"/>
  <c r="R55" i="2889"/>
  <c r="S55" i="2889" s="1"/>
  <c r="O55" i="2889"/>
  <c r="AA54" i="2889"/>
  <c r="W54" i="2889"/>
  <c r="R54" i="2889"/>
  <c r="S54" i="2889" s="1"/>
  <c r="O54" i="2889"/>
  <c r="AA53" i="2889"/>
  <c r="W53" i="2889"/>
  <c r="R53" i="2889"/>
  <c r="S53" i="2889" s="1"/>
  <c r="O53" i="2889"/>
  <c r="AA52" i="2889"/>
  <c r="O52" i="2889"/>
  <c r="AA51" i="2889"/>
  <c r="W51" i="2889"/>
  <c r="R51" i="2889"/>
  <c r="S51" i="2889" s="1"/>
  <c r="O51" i="2889"/>
  <c r="AA50" i="2889"/>
  <c r="W50" i="2889"/>
  <c r="R50" i="2889"/>
  <c r="S50" i="2889" s="1"/>
  <c r="O50" i="2889"/>
  <c r="AA49" i="2889"/>
  <c r="W49" i="2889"/>
  <c r="R49" i="2889"/>
  <c r="S49" i="2889" s="1"/>
  <c r="O49" i="2889"/>
  <c r="AA48" i="2889"/>
  <c r="W48" i="2889"/>
  <c r="R48" i="2889"/>
  <c r="S48" i="2889" s="1"/>
  <c r="O48" i="2889"/>
  <c r="O82" i="2889" s="1"/>
  <c r="Z43" i="2889"/>
  <c r="M43" i="2889"/>
  <c r="G43" i="2889"/>
  <c r="AA38" i="2889"/>
  <c r="W38" i="2889"/>
  <c r="R38" i="2889"/>
  <c r="S38" i="2889" s="1"/>
  <c r="O38" i="2889"/>
  <c r="AA37" i="2889"/>
  <c r="W37" i="2889"/>
  <c r="N37" i="2889"/>
  <c r="O37" i="2889"/>
  <c r="AA36" i="2889"/>
  <c r="N36" i="2889"/>
  <c r="O36" i="2889"/>
  <c r="AA35" i="2889"/>
  <c r="W35" i="2889"/>
  <c r="O35" i="2889"/>
  <c r="AA34" i="2889"/>
  <c r="W34" i="2889"/>
  <c r="N34" i="2889"/>
  <c r="O34" i="2889"/>
  <c r="AA33" i="2889"/>
  <c r="W33" i="2889"/>
  <c r="N33" i="2889"/>
  <c r="O33" i="2889"/>
  <c r="AA32" i="2889"/>
  <c r="W32" i="2889"/>
  <c r="N32" i="2889"/>
  <c r="O32" i="2889"/>
  <c r="AA31" i="2889"/>
  <c r="W31" i="2889"/>
  <c r="O31" i="2889"/>
  <c r="AA30" i="2889"/>
  <c r="W30" i="2889"/>
  <c r="N30" i="2889"/>
  <c r="O30" i="2889"/>
  <c r="AA29" i="2889"/>
  <c r="W29" i="2889"/>
  <c r="N29" i="2889"/>
  <c r="O29" i="2889"/>
  <c r="AA28" i="2889"/>
  <c r="N28" i="2889"/>
  <c r="O28" i="2889"/>
  <c r="AA27" i="2889"/>
  <c r="W27" i="2889"/>
  <c r="O27" i="2889"/>
  <c r="AA26" i="2889"/>
  <c r="W26" i="2889"/>
  <c r="N26" i="2889"/>
  <c r="O26" i="2889"/>
  <c r="AA25" i="2889"/>
  <c r="W25" i="2889"/>
  <c r="N25" i="2889"/>
  <c r="O25" i="2889"/>
  <c r="AA24" i="2889"/>
  <c r="N24" i="2889"/>
  <c r="O24" i="2889"/>
  <c r="AA23" i="2889"/>
  <c r="W23" i="2889"/>
  <c r="O23" i="2889"/>
  <c r="AA22" i="2889"/>
  <c r="W22" i="2889"/>
  <c r="N22" i="2889"/>
  <c r="O22" i="2889"/>
  <c r="AA21" i="2889"/>
  <c r="W21" i="2889"/>
  <c r="N21" i="2889"/>
  <c r="O21" i="2889"/>
  <c r="AA20" i="2889"/>
  <c r="R20" i="2889"/>
  <c r="S20" i="2889" s="1"/>
  <c r="O20" i="2889"/>
  <c r="AA19" i="2889"/>
  <c r="W19" i="2889"/>
  <c r="O19" i="2889"/>
  <c r="AA18" i="2889"/>
  <c r="W18" i="2889"/>
  <c r="N18" i="2889"/>
  <c r="O18" i="2889"/>
  <c r="AA17" i="2889"/>
  <c r="W17" i="2889"/>
  <c r="N17" i="2889"/>
  <c r="O17" i="2889"/>
  <c r="AA16" i="2889"/>
  <c r="W16" i="2889"/>
  <c r="O16" i="2889"/>
  <c r="AA15" i="2889"/>
  <c r="W15" i="2889"/>
  <c r="O15" i="2889"/>
  <c r="AA14" i="2889"/>
  <c r="W14" i="2889"/>
  <c r="N14" i="2889"/>
  <c r="O14" i="2889"/>
  <c r="AA13" i="2889"/>
  <c r="W13" i="2889"/>
  <c r="N13" i="2889"/>
  <c r="O13" i="2889"/>
  <c r="AA12" i="2889"/>
  <c r="N12" i="2889"/>
  <c r="O12" i="2889"/>
  <c r="AA11" i="2889"/>
  <c r="W11" i="2889"/>
  <c r="O11" i="2889"/>
  <c r="AA10" i="2889"/>
  <c r="W10" i="2889"/>
  <c r="N10" i="2889"/>
  <c r="O10" i="2889"/>
  <c r="AA9" i="2889"/>
  <c r="W9" i="2889"/>
  <c r="N9" i="2889"/>
  <c r="O9" i="2889"/>
  <c r="AA8" i="2889"/>
  <c r="O8" i="2889"/>
  <c r="AA7" i="2889"/>
  <c r="O7" i="2889"/>
  <c r="AA6" i="2889"/>
  <c r="O6" i="2889"/>
  <c r="AA5" i="2889"/>
  <c r="O5" i="2889"/>
  <c r="AA4" i="2889"/>
  <c r="W4" i="2889"/>
  <c r="R4" i="2889"/>
  <c r="S4" i="2889" s="1"/>
  <c r="O4" i="2889"/>
  <c r="Z86" i="2888"/>
  <c r="M86" i="2888"/>
  <c r="G86" i="2888"/>
  <c r="AA81" i="2888"/>
  <c r="W81" i="2888"/>
  <c r="N81" i="2888"/>
  <c r="O81" i="2888"/>
  <c r="AA80" i="2888"/>
  <c r="W80" i="2888"/>
  <c r="O80" i="2888"/>
  <c r="AA79" i="2888"/>
  <c r="W79" i="2888"/>
  <c r="R79" i="2888"/>
  <c r="S79" i="2888" s="1"/>
  <c r="O79" i="2888"/>
  <c r="AA78" i="2888"/>
  <c r="W78" i="2888"/>
  <c r="R78" i="2888"/>
  <c r="S78" i="2888" s="1"/>
  <c r="O78" i="2888"/>
  <c r="AA77" i="2888"/>
  <c r="W77" i="2888"/>
  <c r="R77" i="2888"/>
  <c r="S77" i="2888" s="1"/>
  <c r="O77" i="2888"/>
  <c r="AA76" i="2888"/>
  <c r="O76" i="2888"/>
  <c r="AA75" i="2888"/>
  <c r="W75" i="2888"/>
  <c r="R75" i="2888"/>
  <c r="S75" i="2888" s="1"/>
  <c r="O75" i="2888"/>
  <c r="AA74" i="2888"/>
  <c r="W74" i="2888"/>
  <c r="R74" i="2888"/>
  <c r="S74" i="2888" s="1"/>
  <c r="O74" i="2888"/>
  <c r="AA73" i="2888"/>
  <c r="W73" i="2888"/>
  <c r="R73" i="2888"/>
  <c r="S73" i="2888" s="1"/>
  <c r="O73" i="2888"/>
  <c r="AA72" i="2888"/>
  <c r="O72" i="2888"/>
  <c r="AA71" i="2888"/>
  <c r="W71" i="2888"/>
  <c r="R71" i="2888"/>
  <c r="S71" i="2888" s="1"/>
  <c r="O71" i="2888"/>
  <c r="AA70" i="2888"/>
  <c r="W70" i="2888"/>
  <c r="R70" i="2888"/>
  <c r="S70" i="2888" s="1"/>
  <c r="O70" i="2888"/>
  <c r="AA69" i="2888"/>
  <c r="W69" i="2888"/>
  <c r="R69" i="2888"/>
  <c r="S69" i="2888" s="1"/>
  <c r="O69" i="2888"/>
  <c r="AA68" i="2888"/>
  <c r="O68" i="2888"/>
  <c r="AA67" i="2888"/>
  <c r="W67" i="2888"/>
  <c r="R67" i="2888"/>
  <c r="S67" i="2888" s="1"/>
  <c r="O67" i="2888"/>
  <c r="AA66" i="2888"/>
  <c r="W66" i="2888"/>
  <c r="R66" i="2888"/>
  <c r="S66" i="2888" s="1"/>
  <c r="O66" i="2888"/>
  <c r="AA65" i="2888"/>
  <c r="W65" i="2888"/>
  <c r="R65" i="2888"/>
  <c r="S65" i="2888" s="1"/>
  <c r="O65" i="2888"/>
  <c r="AA64" i="2888"/>
  <c r="W64" i="2888"/>
  <c r="O64" i="2888"/>
  <c r="AA63" i="2888"/>
  <c r="W63" i="2888"/>
  <c r="R63" i="2888"/>
  <c r="S63" i="2888" s="1"/>
  <c r="O63" i="2888"/>
  <c r="AA62" i="2888"/>
  <c r="W62" i="2888"/>
  <c r="R62" i="2888"/>
  <c r="S62" i="2888" s="1"/>
  <c r="O62" i="2888"/>
  <c r="AA61" i="2888"/>
  <c r="W61" i="2888"/>
  <c r="R61" i="2888"/>
  <c r="S61" i="2888" s="1"/>
  <c r="O61" i="2888"/>
  <c r="AA60" i="2888"/>
  <c r="O60" i="2888"/>
  <c r="AA59" i="2888"/>
  <c r="W59" i="2888"/>
  <c r="R59" i="2888"/>
  <c r="S59" i="2888" s="1"/>
  <c r="O59" i="2888"/>
  <c r="AA58" i="2888"/>
  <c r="W58" i="2888"/>
  <c r="R58" i="2888"/>
  <c r="S58" i="2888" s="1"/>
  <c r="O58" i="2888"/>
  <c r="AA57" i="2888"/>
  <c r="W57" i="2888"/>
  <c r="R57" i="2888"/>
  <c r="S57" i="2888" s="1"/>
  <c r="O57" i="2888"/>
  <c r="AA56" i="2888"/>
  <c r="O56" i="2888"/>
  <c r="AA55" i="2888"/>
  <c r="W55" i="2888"/>
  <c r="R55" i="2888"/>
  <c r="S55" i="2888" s="1"/>
  <c r="O55" i="2888"/>
  <c r="AA54" i="2888"/>
  <c r="W54" i="2888"/>
  <c r="R54" i="2888"/>
  <c r="S54" i="2888" s="1"/>
  <c r="O54" i="2888"/>
  <c r="AA53" i="2888"/>
  <c r="W53" i="2888"/>
  <c r="R53" i="2888"/>
  <c r="S53" i="2888" s="1"/>
  <c r="O53" i="2888"/>
  <c r="AA52" i="2888"/>
  <c r="AA86" i="2888" s="1"/>
  <c r="AB86" i="2888" s="1"/>
  <c r="W52" i="2888"/>
  <c r="R52" i="2888"/>
  <c r="S52" i="2888" s="1"/>
  <c r="O52" i="2888"/>
  <c r="Z47" i="2888"/>
  <c r="M47" i="2888"/>
  <c r="G47" i="2888"/>
  <c r="AA42" i="2888"/>
  <c r="N42" i="2888"/>
  <c r="O42" i="2888"/>
  <c r="AA41" i="2888"/>
  <c r="W41" i="2888"/>
  <c r="N41" i="2888"/>
  <c r="O41" i="2888"/>
  <c r="AA40" i="2888"/>
  <c r="W40" i="2888"/>
  <c r="O40" i="2888"/>
  <c r="AA39" i="2888"/>
  <c r="W39" i="2888"/>
  <c r="N39" i="2888"/>
  <c r="O39" i="2888"/>
  <c r="AA38" i="2888"/>
  <c r="N38" i="2888"/>
  <c r="O38" i="2888"/>
  <c r="AA37" i="2888"/>
  <c r="W37" i="2888"/>
  <c r="N37" i="2888"/>
  <c r="O37" i="2888"/>
  <c r="AA36" i="2888"/>
  <c r="W36" i="2888"/>
  <c r="O36" i="2888"/>
  <c r="AA35" i="2888"/>
  <c r="W35" i="2888"/>
  <c r="N35" i="2888"/>
  <c r="O35" i="2888"/>
  <c r="AA34" i="2888"/>
  <c r="W34" i="2888"/>
  <c r="N34" i="2888"/>
  <c r="O34" i="2888"/>
  <c r="AA33" i="2888"/>
  <c r="W33" i="2888"/>
  <c r="N33" i="2888"/>
  <c r="O33" i="2888"/>
  <c r="AA32" i="2888"/>
  <c r="W32" i="2888"/>
  <c r="O32" i="2888"/>
  <c r="AA31" i="2888"/>
  <c r="W31" i="2888"/>
  <c r="N31" i="2888"/>
  <c r="O31" i="2888"/>
  <c r="AA30" i="2888"/>
  <c r="N30" i="2888"/>
  <c r="O30" i="2888"/>
  <c r="AA29" i="2888"/>
  <c r="W29" i="2888"/>
  <c r="N29" i="2888"/>
  <c r="O29" i="2888"/>
  <c r="AA28" i="2888"/>
  <c r="W28" i="2888"/>
  <c r="O28" i="2888"/>
  <c r="AA27" i="2888"/>
  <c r="W27" i="2888"/>
  <c r="N27" i="2888"/>
  <c r="O27" i="2888"/>
  <c r="AA26" i="2888"/>
  <c r="N26" i="2888"/>
  <c r="O26" i="2888"/>
  <c r="AA25" i="2888"/>
  <c r="W25" i="2888"/>
  <c r="R25" i="2888"/>
  <c r="S25" i="2888" s="1"/>
  <c r="O25" i="2888"/>
  <c r="AA24" i="2888"/>
  <c r="W24" i="2888"/>
  <c r="O24" i="2888"/>
  <c r="AA23" i="2888"/>
  <c r="W23" i="2888"/>
  <c r="R23" i="2888"/>
  <c r="S23" i="2888" s="1"/>
  <c r="O23" i="2888"/>
  <c r="AA22" i="2888"/>
  <c r="R22" i="2888"/>
  <c r="S22" i="2888" s="1"/>
  <c r="O22" i="2888"/>
  <c r="AA21" i="2888"/>
  <c r="W21" i="2888"/>
  <c r="R21" i="2888"/>
  <c r="S21" i="2888" s="1"/>
  <c r="O21" i="2888"/>
  <c r="AA20" i="2888"/>
  <c r="W20" i="2888"/>
  <c r="O20" i="2888"/>
  <c r="AA19" i="2888"/>
  <c r="W19" i="2888"/>
  <c r="R19" i="2888"/>
  <c r="S19" i="2888" s="1"/>
  <c r="O19" i="2888"/>
  <c r="AA18" i="2888"/>
  <c r="W18" i="2888"/>
  <c r="R18" i="2888"/>
  <c r="S18" i="2888" s="1"/>
  <c r="O18" i="2888"/>
  <c r="AA17" i="2888"/>
  <c r="W17" i="2888"/>
  <c r="R17" i="2888"/>
  <c r="S17" i="2888" s="1"/>
  <c r="O17" i="2888"/>
  <c r="AA16" i="2888"/>
  <c r="W16" i="2888"/>
  <c r="O16" i="2888"/>
  <c r="AA15" i="2888"/>
  <c r="W15" i="2888"/>
  <c r="R15" i="2888"/>
  <c r="S15" i="2888" s="1"/>
  <c r="O15" i="2888"/>
  <c r="AA14" i="2888"/>
  <c r="R14" i="2888"/>
  <c r="S14" i="2888" s="1"/>
  <c r="O14" i="2888"/>
  <c r="AA13" i="2888"/>
  <c r="W13" i="2888"/>
  <c r="R13" i="2888"/>
  <c r="O13" i="2888"/>
  <c r="AA12" i="2888"/>
  <c r="O12" i="2888"/>
  <c r="AA11" i="2888"/>
  <c r="O11" i="2888"/>
  <c r="AA8" i="2888"/>
  <c r="O8" i="2888"/>
  <c r="AA7" i="2888"/>
  <c r="O7" i="2888"/>
  <c r="AA6" i="2888"/>
  <c r="O6" i="2888"/>
  <c r="AA5" i="2888"/>
  <c r="O5" i="2888"/>
  <c r="AA4" i="2888"/>
  <c r="W4" i="2888"/>
  <c r="R4" i="2888"/>
  <c r="S4" i="2888" s="1"/>
  <c r="O4" i="2888"/>
  <c r="O11" i="2887"/>
  <c r="AA11" i="2887"/>
  <c r="O12" i="2887"/>
  <c r="AA12" i="2887"/>
  <c r="O14" i="2887"/>
  <c r="AA14" i="2887"/>
  <c r="Z88" i="2887"/>
  <c r="M88" i="2887"/>
  <c r="G88" i="2887"/>
  <c r="AA83" i="2887"/>
  <c r="W83" i="2887"/>
  <c r="R83" i="2887"/>
  <c r="S83" i="2887" s="1"/>
  <c r="O83" i="2887"/>
  <c r="AA82" i="2887"/>
  <c r="O82" i="2887"/>
  <c r="AA81" i="2887"/>
  <c r="W81" i="2887"/>
  <c r="R81" i="2887"/>
  <c r="S81" i="2887" s="1"/>
  <c r="O81" i="2887"/>
  <c r="AA80" i="2887"/>
  <c r="W80" i="2887"/>
  <c r="R80" i="2887"/>
  <c r="S80" i="2887" s="1"/>
  <c r="O80" i="2887"/>
  <c r="AA79" i="2887"/>
  <c r="W79" i="2887"/>
  <c r="R79" i="2887"/>
  <c r="S79" i="2887" s="1"/>
  <c r="O79" i="2887"/>
  <c r="AA78" i="2887"/>
  <c r="W78" i="2887"/>
  <c r="O78" i="2887"/>
  <c r="AA77" i="2887"/>
  <c r="W77" i="2887"/>
  <c r="R77" i="2887"/>
  <c r="S77" i="2887" s="1"/>
  <c r="O77" i="2887"/>
  <c r="AA76" i="2887"/>
  <c r="W76" i="2887"/>
  <c r="R76" i="2887"/>
  <c r="S76" i="2887" s="1"/>
  <c r="O76" i="2887"/>
  <c r="AA75" i="2887"/>
  <c r="W75" i="2887"/>
  <c r="R75" i="2887"/>
  <c r="S75" i="2887" s="1"/>
  <c r="O75" i="2887"/>
  <c r="AA74" i="2887"/>
  <c r="O74" i="2887"/>
  <c r="AA73" i="2887"/>
  <c r="W73" i="2887"/>
  <c r="R73" i="2887"/>
  <c r="S73" i="2887" s="1"/>
  <c r="O73" i="2887"/>
  <c r="AA72" i="2887"/>
  <c r="W72" i="2887"/>
  <c r="R72" i="2887"/>
  <c r="S72" i="2887" s="1"/>
  <c r="O72" i="2887"/>
  <c r="AA71" i="2887"/>
  <c r="W71" i="2887"/>
  <c r="R71" i="2887"/>
  <c r="S71" i="2887" s="1"/>
  <c r="O71" i="2887"/>
  <c r="AA70" i="2887"/>
  <c r="O70" i="2887"/>
  <c r="AA69" i="2887"/>
  <c r="W69" i="2887"/>
  <c r="R69" i="2887"/>
  <c r="S69" i="2887" s="1"/>
  <c r="O69" i="2887"/>
  <c r="AA68" i="2887"/>
  <c r="W68" i="2887"/>
  <c r="R68" i="2887"/>
  <c r="S68" i="2887" s="1"/>
  <c r="O68" i="2887"/>
  <c r="AA67" i="2887"/>
  <c r="W67" i="2887"/>
  <c r="R67" i="2887"/>
  <c r="S67" i="2887" s="1"/>
  <c r="O67" i="2887"/>
  <c r="AA66" i="2887"/>
  <c r="O66" i="2887"/>
  <c r="AA65" i="2887"/>
  <c r="W65" i="2887"/>
  <c r="R65" i="2887"/>
  <c r="S65" i="2887" s="1"/>
  <c r="O65" i="2887"/>
  <c r="AA64" i="2887"/>
  <c r="W64" i="2887"/>
  <c r="R64" i="2887"/>
  <c r="S64" i="2887" s="1"/>
  <c r="O64" i="2887"/>
  <c r="AA63" i="2887"/>
  <c r="W63" i="2887"/>
  <c r="R63" i="2887"/>
  <c r="S63" i="2887" s="1"/>
  <c r="O63" i="2887"/>
  <c r="AA62" i="2887"/>
  <c r="W62" i="2887"/>
  <c r="O62" i="2887"/>
  <c r="AA61" i="2887"/>
  <c r="W61" i="2887"/>
  <c r="R61" i="2887"/>
  <c r="S61" i="2887" s="1"/>
  <c r="O61" i="2887"/>
  <c r="AA60" i="2887"/>
  <c r="W60" i="2887"/>
  <c r="R60" i="2887"/>
  <c r="S60" i="2887" s="1"/>
  <c r="O60" i="2887"/>
  <c r="AA59" i="2887"/>
  <c r="W59" i="2887"/>
  <c r="R59" i="2887"/>
  <c r="S59" i="2887" s="1"/>
  <c r="O59" i="2887"/>
  <c r="AA58" i="2887"/>
  <c r="O58" i="2887"/>
  <c r="AA57" i="2887"/>
  <c r="W57" i="2887"/>
  <c r="R57" i="2887"/>
  <c r="S57" i="2887" s="1"/>
  <c r="O57" i="2887"/>
  <c r="AA56" i="2887"/>
  <c r="W56" i="2887"/>
  <c r="R56" i="2887"/>
  <c r="S56" i="2887" s="1"/>
  <c r="O56" i="2887"/>
  <c r="AA55" i="2887"/>
  <c r="W55" i="2887"/>
  <c r="R55" i="2887"/>
  <c r="S55" i="2887" s="1"/>
  <c r="O55" i="2887"/>
  <c r="AA54" i="2887"/>
  <c r="W54" i="2887"/>
  <c r="R54" i="2887"/>
  <c r="S54" i="2887" s="1"/>
  <c r="O54" i="2887"/>
  <c r="Z49" i="2887"/>
  <c r="M49" i="2887"/>
  <c r="G49" i="2887"/>
  <c r="AA44" i="2887"/>
  <c r="W44" i="2887"/>
  <c r="O44" i="2887"/>
  <c r="AA43" i="2887"/>
  <c r="W43" i="2887"/>
  <c r="N43" i="2887"/>
  <c r="O43" i="2887"/>
  <c r="AA42" i="2887"/>
  <c r="W42" i="2887"/>
  <c r="N42" i="2887"/>
  <c r="O42" i="2887"/>
  <c r="AA41" i="2887"/>
  <c r="N41" i="2887"/>
  <c r="O41" i="2887"/>
  <c r="AA40" i="2887"/>
  <c r="W40" i="2887"/>
  <c r="O40" i="2887"/>
  <c r="AA39" i="2887"/>
  <c r="W39" i="2887"/>
  <c r="N39" i="2887"/>
  <c r="O39" i="2887"/>
  <c r="AA38" i="2887"/>
  <c r="W38" i="2887"/>
  <c r="N38" i="2887"/>
  <c r="O38" i="2887"/>
  <c r="AA37" i="2887"/>
  <c r="N37" i="2887"/>
  <c r="O37" i="2887"/>
  <c r="AA36" i="2887"/>
  <c r="W36" i="2887"/>
  <c r="O36" i="2887"/>
  <c r="AA35" i="2887"/>
  <c r="W35" i="2887"/>
  <c r="N35" i="2887"/>
  <c r="O35" i="2887"/>
  <c r="AA34" i="2887"/>
  <c r="W34" i="2887"/>
  <c r="N34" i="2887"/>
  <c r="O34" i="2887"/>
  <c r="AA33" i="2887"/>
  <c r="W33" i="2887"/>
  <c r="N33" i="2887"/>
  <c r="O33" i="2887"/>
  <c r="AA32" i="2887"/>
  <c r="W32" i="2887"/>
  <c r="O32" i="2887"/>
  <c r="AA31" i="2887"/>
  <c r="W31" i="2887"/>
  <c r="N31" i="2887"/>
  <c r="O31" i="2887"/>
  <c r="AA30" i="2887"/>
  <c r="W30" i="2887"/>
  <c r="N30" i="2887"/>
  <c r="O30" i="2887"/>
  <c r="AA29" i="2887"/>
  <c r="N29" i="2887"/>
  <c r="O29" i="2887"/>
  <c r="AA28" i="2887"/>
  <c r="W28" i="2887"/>
  <c r="O28" i="2887"/>
  <c r="AA27" i="2887"/>
  <c r="W27" i="2887"/>
  <c r="N27" i="2887"/>
  <c r="O27" i="2887"/>
  <c r="AA26" i="2887"/>
  <c r="W26" i="2887"/>
  <c r="N26" i="2887"/>
  <c r="O26" i="2887"/>
  <c r="AA25" i="2887"/>
  <c r="N25" i="2887"/>
  <c r="O25" i="2887"/>
  <c r="AA24" i="2887"/>
  <c r="W24" i="2887"/>
  <c r="O24" i="2887"/>
  <c r="AA23" i="2887"/>
  <c r="W23" i="2887"/>
  <c r="N23" i="2887"/>
  <c r="O23" i="2887"/>
  <c r="AA22" i="2887"/>
  <c r="W22" i="2887"/>
  <c r="N22" i="2887"/>
  <c r="O22" i="2887"/>
  <c r="AA21" i="2887"/>
  <c r="N21" i="2887"/>
  <c r="O21" i="2887"/>
  <c r="AA20" i="2887"/>
  <c r="W20" i="2887"/>
  <c r="O20" i="2887"/>
  <c r="AA19" i="2887"/>
  <c r="W19" i="2887"/>
  <c r="N19" i="2887"/>
  <c r="O19" i="2887"/>
  <c r="AA18" i="2887"/>
  <c r="W18" i="2887"/>
  <c r="N18" i="2887"/>
  <c r="O18" i="2887"/>
  <c r="AA17" i="2887"/>
  <c r="W17" i="2887"/>
  <c r="N17" i="2887"/>
  <c r="O17" i="2887"/>
  <c r="AA16" i="2887"/>
  <c r="W16" i="2887"/>
  <c r="O16" i="2887"/>
  <c r="AA15" i="2887"/>
  <c r="W15" i="2887"/>
  <c r="N15" i="2887"/>
  <c r="O15" i="2887"/>
  <c r="AA8" i="2887"/>
  <c r="O8" i="2887"/>
  <c r="AA7" i="2887"/>
  <c r="O7" i="2887"/>
  <c r="AA6" i="2887"/>
  <c r="O6" i="2887"/>
  <c r="AA5" i="2887"/>
  <c r="O5" i="2887"/>
  <c r="AA4" i="2887"/>
  <c r="W4" i="2887"/>
  <c r="R4" i="2887"/>
  <c r="S4" i="2887" s="1"/>
  <c r="O4" i="2887"/>
  <c r="Z92" i="2886"/>
  <c r="M92" i="2886"/>
  <c r="G92" i="2886"/>
  <c r="AA87" i="2886"/>
  <c r="W87" i="2886"/>
  <c r="N87" i="2886"/>
  <c r="O87" i="2886"/>
  <c r="AA86" i="2886"/>
  <c r="O86" i="2886"/>
  <c r="AA85" i="2886"/>
  <c r="W85" i="2886"/>
  <c r="N85" i="2886"/>
  <c r="O85" i="2886"/>
  <c r="AA84" i="2886"/>
  <c r="W84" i="2886"/>
  <c r="N84" i="2886"/>
  <c r="O84" i="2886"/>
  <c r="AA83" i="2886"/>
  <c r="W83" i="2886"/>
  <c r="N83" i="2886"/>
  <c r="O83" i="2886"/>
  <c r="AA82" i="2886"/>
  <c r="W82" i="2886"/>
  <c r="O82" i="2886"/>
  <c r="AA81" i="2886"/>
  <c r="W81" i="2886"/>
  <c r="N81" i="2886"/>
  <c r="O81" i="2886"/>
  <c r="AA80" i="2886"/>
  <c r="W80" i="2886"/>
  <c r="N80" i="2886"/>
  <c r="O80" i="2886"/>
  <c r="AA79" i="2886"/>
  <c r="W79" i="2886"/>
  <c r="N79" i="2886"/>
  <c r="O79" i="2886"/>
  <c r="AA78" i="2886"/>
  <c r="O78" i="2886"/>
  <c r="AA77" i="2886"/>
  <c r="W77" i="2886"/>
  <c r="N77" i="2886"/>
  <c r="O77" i="2886"/>
  <c r="AA76" i="2886"/>
  <c r="W76" i="2886"/>
  <c r="N76" i="2886"/>
  <c r="O76" i="2886"/>
  <c r="AA75" i="2886"/>
  <c r="W75" i="2886"/>
  <c r="N75" i="2886"/>
  <c r="O75" i="2886"/>
  <c r="AA74" i="2886"/>
  <c r="O74" i="2886"/>
  <c r="AA73" i="2886"/>
  <c r="W73" i="2886"/>
  <c r="N73" i="2886"/>
  <c r="O73" i="2886"/>
  <c r="AA72" i="2886"/>
  <c r="W72" i="2886"/>
  <c r="N72" i="2886"/>
  <c r="O72" i="2886"/>
  <c r="AA71" i="2886"/>
  <c r="W71" i="2886"/>
  <c r="N71" i="2886"/>
  <c r="O71" i="2886"/>
  <c r="AA70" i="2886"/>
  <c r="O70" i="2886"/>
  <c r="AA69" i="2886"/>
  <c r="W69" i="2886"/>
  <c r="N69" i="2886"/>
  <c r="O69" i="2886"/>
  <c r="AA68" i="2886"/>
  <c r="W68" i="2886"/>
  <c r="N68" i="2886"/>
  <c r="O68" i="2886"/>
  <c r="AA67" i="2886"/>
  <c r="W67" i="2886"/>
  <c r="N67" i="2886"/>
  <c r="O67" i="2886"/>
  <c r="AA66" i="2886"/>
  <c r="W66" i="2886"/>
  <c r="O66" i="2886"/>
  <c r="AA65" i="2886"/>
  <c r="W65" i="2886"/>
  <c r="N65" i="2886"/>
  <c r="O65" i="2886"/>
  <c r="AA64" i="2886"/>
  <c r="W64" i="2886"/>
  <c r="N64" i="2886"/>
  <c r="O64" i="2886"/>
  <c r="AA63" i="2886"/>
  <c r="W63" i="2886"/>
  <c r="N63" i="2886"/>
  <c r="O63" i="2886"/>
  <c r="AA62" i="2886"/>
  <c r="O62" i="2886"/>
  <c r="AA61" i="2886"/>
  <c r="W61" i="2886"/>
  <c r="N61" i="2886"/>
  <c r="O61" i="2886"/>
  <c r="AA60" i="2886"/>
  <c r="W60" i="2886"/>
  <c r="R60" i="2886"/>
  <c r="S60" i="2886" s="1"/>
  <c r="O60" i="2886"/>
  <c r="AA59" i="2886"/>
  <c r="W59" i="2886"/>
  <c r="R59" i="2886"/>
  <c r="S59" i="2886" s="1"/>
  <c r="O59" i="2886"/>
  <c r="AA58" i="2886"/>
  <c r="W58" i="2886"/>
  <c r="R58" i="2886"/>
  <c r="S58" i="2886" s="1"/>
  <c r="O58" i="2886"/>
  <c r="Z53" i="2886"/>
  <c r="M53" i="2886"/>
  <c r="G53" i="2886"/>
  <c r="AA48" i="2886"/>
  <c r="W48" i="2886"/>
  <c r="N48" i="2886"/>
  <c r="O48" i="2886"/>
  <c r="AA47" i="2886"/>
  <c r="W47" i="2886"/>
  <c r="N47" i="2886"/>
  <c r="O47" i="2886"/>
  <c r="AA46" i="2886"/>
  <c r="W46" i="2886"/>
  <c r="N46" i="2886"/>
  <c r="O46" i="2886"/>
  <c r="AA45" i="2886"/>
  <c r="N45" i="2886"/>
  <c r="O45" i="2886"/>
  <c r="AA44" i="2886"/>
  <c r="W44" i="2886"/>
  <c r="N44" i="2886"/>
  <c r="O44" i="2886"/>
  <c r="AA43" i="2886"/>
  <c r="W43" i="2886"/>
  <c r="N43" i="2886"/>
  <c r="O43" i="2886"/>
  <c r="AA42" i="2886"/>
  <c r="W42" i="2886"/>
  <c r="N42" i="2886"/>
  <c r="O42" i="2886"/>
  <c r="AA41" i="2886"/>
  <c r="N41" i="2886"/>
  <c r="O41" i="2886"/>
  <c r="AA40" i="2886"/>
  <c r="W40" i="2886"/>
  <c r="N40" i="2886"/>
  <c r="O40" i="2886"/>
  <c r="AA39" i="2886"/>
  <c r="W39" i="2886"/>
  <c r="N39" i="2886"/>
  <c r="O39" i="2886"/>
  <c r="AA38" i="2886"/>
  <c r="W38" i="2886"/>
  <c r="N38" i="2886"/>
  <c r="O38" i="2886"/>
  <c r="AA37" i="2886"/>
  <c r="N37" i="2886"/>
  <c r="O37" i="2886"/>
  <c r="AA36" i="2886"/>
  <c r="W36" i="2886"/>
  <c r="N36" i="2886"/>
  <c r="O36" i="2886"/>
  <c r="AA35" i="2886"/>
  <c r="W35" i="2886"/>
  <c r="N35" i="2886"/>
  <c r="O35" i="2886"/>
  <c r="AA34" i="2886"/>
  <c r="W34" i="2886"/>
  <c r="N34" i="2886"/>
  <c r="O34" i="2886"/>
  <c r="AA33" i="2886"/>
  <c r="N33" i="2886"/>
  <c r="O33" i="2886"/>
  <c r="AA32" i="2886"/>
  <c r="W32" i="2886"/>
  <c r="N32" i="2886"/>
  <c r="O32" i="2886"/>
  <c r="AA31" i="2886"/>
  <c r="W31" i="2886"/>
  <c r="N31" i="2886"/>
  <c r="O31" i="2886"/>
  <c r="AA30" i="2886"/>
  <c r="W30" i="2886"/>
  <c r="N30" i="2886"/>
  <c r="O30" i="2886"/>
  <c r="AA29" i="2886"/>
  <c r="R29" i="2886"/>
  <c r="S29" i="2886" s="1"/>
  <c r="O29" i="2886"/>
  <c r="AA28" i="2886"/>
  <c r="W28" i="2886"/>
  <c r="R28" i="2886"/>
  <c r="S28" i="2886" s="1"/>
  <c r="O28" i="2886"/>
  <c r="AA27" i="2886"/>
  <c r="W27" i="2886"/>
  <c r="R27" i="2886"/>
  <c r="S27" i="2886" s="1"/>
  <c r="O27" i="2886"/>
  <c r="AA26" i="2886"/>
  <c r="W26" i="2886"/>
  <c r="R26" i="2886"/>
  <c r="S26" i="2886" s="1"/>
  <c r="O26" i="2886"/>
  <c r="AA25" i="2886"/>
  <c r="R25" i="2886"/>
  <c r="S25" i="2886" s="1"/>
  <c r="O25" i="2886"/>
  <c r="AA24" i="2886"/>
  <c r="W24" i="2886"/>
  <c r="R24" i="2886"/>
  <c r="S24" i="2886" s="1"/>
  <c r="O24" i="2886"/>
  <c r="AA23" i="2886"/>
  <c r="W23" i="2886"/>
  <c r="R23" i="2886"/>
  <c r="S23" i="2886" s="1"/>
  <c r="O23" i="2886"/>
  <c r="AA22" i="2886"/>
  <c r="W22" i="2886"/>
  <c r="R22" i="2886"/>
  <c r="S22" i="2886" s="1"/>
  <c r="O22" i="2886"/>
  <c r="AA21" i="2886"/>
  <c r="R21" i="2886"/>
  <c r="S21" i="2886" s="1"/>
  <c r="O21" i="2886"/>
  <c r="AA20" i="2886"/>
  <c r="W20" i="2886"/>
  <c r="R20" i="2886"/>
  <c r="S20" i="2886" s="1"/>
  <c r="O20" i="2886"/>
  <c r="AA19" i="2886"/>
  <c r="W19" i="2886"/>
  <c r="R19" i="2886"/>
  <c r="O19" i="2886"/>
  <c r="AA18" i="2886"/>
  <c r="O18" i="2886"/>
  <c r="AA16" i="2886"/>
  <c r="O16" i="2886"/>
  <c r="AA15" i="2886"/>
  <c r="O15" i="2886"/>
  <c r="AA8" i="2886"/>
  <c r="O8" i="2886"/>
  <c r="AA7" i="2886"/>
  <c r="O7" i="2886"/>
  <c r="AA6" i="2886"/>
  <c r="O6" i="2886"/>
  <c r="AA5" i="2886"/>
  <c r="O5" i="2886"/>
  <c r="AA4" i="2886"/>
  <c r="W4" i="2886"/>
  <c r="R4" i="2886"/>
  <c r="S4" i="2886" s="1"/>
  <c r="O4" i="2886"/>
  <c r="Z86" i="2885"/>
  <c r="M86" i="2885"/>
  <c r="G86" i="2885"/>
  <c r="AA81" i="2885"/>
  <c r="W81" i="2885"/>
  <c r="N81" i="2885"/>
  <c r="O81" i="2885"/>
  <c r="AA80" i="2885"/>
  <c r="O80" i="2885"/>
  <c r="AA79" i="2885"/>
  <c r="W79" i="2885"/>
  <c r="N79" i="2885"/>
  <c r="O79" i="2885"/>
  <c r="AA78" i="2885"/>
  <c r="W78" i="2885"/>
  <c r="N78" i="2885"/>
  <c r="O78" i="2885"/>
  <c r="AA77" i="2885"/>
  <c r="W77" i="2885"/>
  <c r="N77" i="2885"/>
  <c r="O77" i="2885"/>
  <c r="AA76" i="2885"/>
  <c r="O76" i="2885"/>
  <c r="AA75" i="2885"/>
  <c r="W75" i="2885"/>
  <c r="N75" i="2885"/>
  <c r="O75" i="2885"/>
  <c r="AA74" i="2885"/>
  <c r="W74" i="2885"/>
  <c r="N74" i="2885"/>
  <c r="O74" i="2885"/>
  <c r="AA73" i="2885"/>
  <c r="W73" i="2885"/>
  <c r="N73" i="2885"/>
  <c r="O73" i="2885"/>
  <c r="AA72" i="2885"/>
  <c r="O72" i="2885"/>
  <c r="AA71" i="2885"/>
  <c r="W71" i="2885"/>
  <c r="N71" i="2885"/>
  <c r="O71" i="2885"/>
  <c r="AA70" i="2885"/>
  <c r="W70" i="2885"/>
  <c r="N70" i="2885"/>
  <c r="O70" i="2885"/>
  <c r="AA69" i="2885"/>
  <c r="W69" i="2885"/>
  <c r="N69" i="2885"/>
  <c r="O69" i="2885"/>
  <c r="AA68" i="2885"/>
  <c r="W68" i="2885"/>
  <c r="O68" i="2885"/>
  <c r="AA67" i="2885"/>
  <c r="W67" i="2885"/>
  <c r="N67" i="2885"/>
  <c r="O67" i="2885"/>
  <c r="AA66" i="2885"/>
  <c r="W66" i="2885"/>
  <c r="N66" i="2885"/>
  <c r="O66" i="2885"/>
  <c r="AA65" i="2885"/>
  <c r="W65" i="2885"/>
  <c r="N65" i="2885"/>
  <c r="O65" i="2885"/>
  <c r="AA64" i="2885"/>
  <c r="O64" i="2885"/>
  <c r="AA63" i="2885"/>
  <c r="W63" i="2885"/>
  <c r="N63" i="2885"/>
  <c r="O63" i="2885"/>
  <c r="AA62" i="2885"/>
  <c r="W62" i="2885"/>
  <c r="N62" i="2885"/>
  <c r="O62" i="2885"/>
  <c r="AA61" i="2885"/>
  <c r="W61" i="2885"/>
  <c r="N61" i="2885"/>
  <c r="O61" i="2885"/>
  <c r="AA60" i="2885"/>
  <c r="O60" i="2885"/>
  <c r="AA59" i="2885"/>
  <c r="W59" i="2885"/>
  <c r="N59" i="2885"/>
  <c r="O59" i="2885"/>
  <c r="AA58" i="2885"/>
  <c r="W58" i="2885"/>
  <c r="N58" i="2885"/>
  <c r="O58" i="2885"/>
  <c r="AA57" i="2885"/>
  <c r="W57" i="2885"/>
  <c r="N57" i="2885"/>
  <c r="O57" i="2885"/>
  <c r="AA56" i="2885"/>
  <c r="O56" i="2885"/>
  <c r="AA55" i="2885"/>
  <c r="W55" i="2885"/>
  <c r="N55" i="2885"/>
  <c r="O55" i="2885"/>
  <c r="AA54" i="2885"/>
  <c r="W54" i="2885"/>
  <c r="N54" i="2885"/>
  <c r="O54" i="2885"/>
  <c r="AA53" i="2885"/>
  <c r="W53" i="2885"/>
  <c r="N53" i="2885"/>
  <c r="O53" i="2885"/>
  <c r="AA52" i="2885"/>
  <c r="AA86" i="2885" s="1"/>
  <c r="AC86" i="2885" s="1"/>
  <c r="W52" i="2885"/>
  <c r="R52" i="2885"/>
  <c r="O52" i="2885"/>
  <c r="Z47" i="2885"/>
  <c r="M47" i="2885"/>
  <c r="G47" i="2885"/>
  <c r="AA42" i="2885"/>
  <c r="W42" i="2885"/>
  <c r="N42" i="2885"/>
  <c r="O42" i="2885"/>
  <c r="AA41" i="2885"/>
  <c r="W41" i="2885"/>
  <c r="N41" i="2885"/>
  <c r="O41" i="2885"/>
  <c r="AA40" i="2885"/>
  <c r="N40" i="2885"/>
  <c r="O40" i="2885"/>
  <c r="AA39" i="2885"/>
  <c r="W39" i="2885"/>
  <c r="N39" i="2885"/>
  <c r="O39" i="2885"/>
  <c r="AA38" i="2885"/>
  <c r="W38" i="2885"/>
  <c r="N38" i="2885"/>
  <c r="O38" i="2885"/>
  <c r="AA37" i="2885"/>
  <c r="W37" i="2885"/>
  <c r="N37" i="2885"/>
  <c r="O37" i="2885"/>
  <c r="AA36" i="2885"/>
  <c r="N36" i="2885"/>
  <c r="O36" i="2885"/>
  <c r="AA35" i="2885"/>
  <c r="W35" i="2885"/>
  <c r="N35" i="2885"/>
  <c r="O35" i="2885"/>
  <c r="AA34" i="2885"/>
  <c r="W34" i="2885"/>
  <c r="N34" i="2885"/>
  <c r="O34" i="2885"/>
  <c r="AA33" i="2885"/>
  <c r="W33" i="2885"/>
  <c r="N33" i="2885"/>
  <c r="O33" i="2885"/>
  <c r="AA32" i="2885"/>
  <c r="N32" i="2885"/>
  <c r="O32" i="2885"/>
  <c r="AA31" i="2885"/>
  <c r="W31" i="2885"/>
  <c r="N31" i="2885"/>
  <c r="O31" i="2885"/>
  <c r="AA30" i="2885"/>
  <c r="W30" i="2885"/>
  <c r="N30" i="2885"/>
  <c r="O30" i="2885"/>
  <c r="AA29" i="2885"/>
  <c r="W29" i="2885"/>
  <c r="N29" i="2885"/>
  <c r="O29" i="2885"/>
  <c r="AA28" i="2885"/>
  <c r="N28" i="2885"/>
  <c r="O28" i="2885"/>
  <c r="AA27" i="2885"/>
  <c r="W27" i="2885"/>
  <c r="N27" i="2885"/>
  <c r="O27" i="2885"/>
  <c r="AA26" i="2885"/>
  <c r="W26" i="2885"/>
  <c r="N26" i="2885"/>
  <c r="O26" i="2885"/>
  <c r="AA25" i="2885"/>
  <c r="W25" i="2885"/>
  <c r="N25" i="2885"/>
  <c r="O25" i="2885"/>
  <c r="AA24" i="2885"/>
  <c r="N24" i="2885"/>
  <c r="O24" i="2885"/>
  <c r="AA23" i="2885"/>
  <c r="W23" i="2885"/>
  <c r="N23" i="2885"/>
  <c r="O23" i="2885"/>
  <c r="AA22" i="2885"/>
  <c r="W22" i="2885"/>
  <c r="N22" i="2885"/>
  <c r="O22" i="2885"/>
  <c r="AA21" i="2885"/>
  <c r="W21" i="2885"/>
  <c r="N21" i="2885"/>
  <c r="O21" i="2885"/>
  <c r="AA20" i="2885"/>
  <c r="N20" i="2885"/>
  <c r="O20" i="2885"/>
  <c r="AA19" i="2885"/>
  <c r="W19" i="2885"/>
  <c r="N19" i="2885"/>
  <c r="O19" i="2885"/>
  <c r="AA18" i="2885"/>
  <c r="W18" i="2885"/>
  <c r="N18" i="2885"/>
  <c r="O18" i="2885"/>
  <c r="AA17" i="2885"/>
  <c r="W17" i="2885"/>
  <c r="N17" i="2885"/>
  <c r="O17" i="2885"/>
  <c r="AA16" i="2885"/>
  <c r="N16" i="2885"/>
  <c r="O16" i="2885"/>
  <c r="AA15" i="2885"/>
  <c r="W15" i="2885"/>
  <c r="N15" i="2885"/>
  <c r="O15" i="2885"/>
  <c r="AA14" i="2885"/>
  <c r="W14" i="2885"/>
  <c r="N14" i="2885"/>
  <c r="O14" i="2885"/>
  <c r="AA13" i="2885"/>
  <c r="AA47" i="2885" s="1"/>
  <c r="W13" i="2885"/>
  <c r="N13" i="2885"/>
  <c r="O13" i="2885"/>
  <c r="O47" i="2885" s="1"/>
  <c r="AA12" i="2885"/>
  <c r="O12" i="2885"/>
  <c r="AA10" i="2885"/>
  <c r="O10" i="2885"/>
  <c r="AA9" i="2885"/>
  <c r="O9" i="2885"/>
  <c r="AA8" i="2885"/>
  <c r="O8" i="2885"/>
  <c r="AA7" i="2885"/>
  <c r="O7" i="2885"/>
  <c r="AA6" i="2885"/>
  <c r="O6" i="2885"/>
  <c r="AA5" i="2885"/>
  <c r="O5" i="2885"/>
  <c r="AA4" i="2885"/>
  <c r="W4" i="2885"/>
  <c r="R4" i="2885"/>
  <c r="S4" i="2885" s="1"/>
  <c r="O4" i="2885"/>
  <c r="O9" i="2884"/>
  <c r="O10" i="2884"/>
  <c r="AA5" i="2884"/>
  <c r="AA6" i="2884"/>
  <c r="AA7" i="2884"/>
  <c r="AA8" i="2884"/>
  <c r="AA9" i="2884"/>
  <c r="AA10" i="2884"/>
  <c r="AA11" i="2884"/>
  <c r="Z85" i="2884"/>
  <c r="M85" i="2884"/>
  <c r="G85" i="2884"/>
  <c r="AA80" i="2884"/>
  <c r="W80" i="2884"/>
  <c r="O80" i="2884"/>
  <c r="AA79" i="2884"/>
  <c r="O79" i="2884"/>
  <c r="AA78" i="2884"/>
  <c r="W78" i="2884"/>
  <c r="N78" i="2884"/>
  <c r="O78" i="2884"/>
  <c r="AA77" i="2884"/>
  <c r="W77" i="2884"/>
  <c r="N77" i="2884"/>
  <c r="O77" i="2884"/>
  <c r="AA76" i="2884"/>
  <c r="W76" i="2884"/>
  <c r="N76" i="2884"/>
  <c r="O76" i="2884"/>
  <c r="AA75" i="2884"/>
  <c r="W75" i="2884"/>
  <c r="O75" i="2884"/>
  <c r="AA74" i="2884"/>
  <c r="W74" i="2884"/>
  <c r="N74" i="2884"/>
  <c r="O74" i="2884"/>
  <c r="AA73" i="2884"/>
  <c r="W73" i="2884"/>
  <c r="N73" i="2884"/>
  <c r="O73" i="2884"/>
  <c r="AA72" i="2884"/>
  <c r="W72" i="2884"/>
  <c r="N72" i="2884"/>
  <c r="O72" i="2884"/>
  <c r="AA71" i="2884"/>
  <c r="O71" i="2884"/>
  <c r="AA70" i="2884"/>
  <c r="W70" i="2884"/>
  <c r="N70" i="2884"/>
  <c r="O70" i="2884"/>
  <c r="AA69" i="2884"/>
  <c r="W69" i="2884"/>
  <c r="N69" i="2884"/>
  <c r="O69" i="2884"/>
  <c r="AA68" i="2884"/>
  <c r="W68" i="2884"/>
  <c r="N68" i="2884"/>
  <c r="O68" i="2884"/>
  <c r="AA67" i="2884"/>
  <c r="O67" i="2884"/>
  <c r="AA66" i="2884"/>
  <c r="W66" i="2884"/>
  <c r="N66" i="2884"/>
  <c r="O66" i="2884"/>
  <c r="AA65" i="2884"/>
  <c r="W65" i="2884"/>
  <c r="N65" i="2884"/>
  <c r="O65" i="2884"/>
  <c r="AA64" i="2884"/>
  <c r="W64" i="2884"/>
  <c r="N64" i="2884"/>
  <c r="O64" i="2884"/>
  <c r="AA63" i="2884"/>
  <c r="O63" i="2884"/>
  <c r="AA62" i="2884"/>
  <c r="W62" i="2884"/>
  <c r="N62" i="2884"/>
  <c r="O62" i="2884"/>
  <c r="AA61" i="2884"/>
  <c r="W61" i="2884"/>
  <c r="N61" i="2884"/>
  <c r="O61" i="2884"/>
  <c r="AA60" i="2884"/>
  <c r="W60" i="2884"/>
  <c r="N60" i="2884"/>
  <c r="O60" i="2884"/>
  <c r="AA59" i="2884"/>
  <c r="W59" i="2884"/>
  <c r="O59" i="2884"/>
  <c r="AA58" i="2884"/>
  <c r="W58" i="2884"/>
  <c r="N58" i="2884"/>
  <c r="O58" i="2884"/>
  <c r="AA57" i="2884"/>
  <c r="W57" i="2884"/>
  <c r="N57" i="2884"/>
  <c r="O57" i="2884"/>
  <c r="AA56" i="2884"/>
  <c r="W56" i="2884"/>
  <c r="N56" i="2884"/>
  <c r="O56" i="2884"/>
  <c r="AA55" i="2884"/>
  <c r="O55" i="2884"/>
  <c r="AA54" i="2884"/>
  <c r="W54" i="2884"/>
  <c r="N54" i="2884"/>
  <c r="O54" i="2884"/>
  <c r="AA53" i="2884"/>
  <c r="W53" i="2884"/>
  <c r="R53" i="2884"/>
  <c r="S53" i="2884" s="1"/>
  <c r="O53" i="2884"/>
  <c r="AA52" i="2884"/>
  <c r="W52" i="2884"/>
  <c r="N52" i="2884"/>
  <c r="O52" i="2884"/>
  <c r="AA51" i="2884"/>
  <c r="W51" i="2884"/>
  <c r="R51" i="2884"/>
  <c r="S51" i="2884" s="1"/>
  <c r="O51" i="2884"/>
  <c r="Z46" i="2884"/>
  <c r="M46" i="2884"/>
  <c r="G46" i="2884"/>
  <c r="AA41" i="2884"/>
  <c r="W41" i="2884"/>
  <c r="N41" i="2884"/>
  <c r="O41" i="2884"/>
  <c r="AA40" i="2884"/>
  <c r="O40" i="2884"/>
  <c r="AA39" i="2884"/>
  <c r="W39" i="2884"/>
  <c r="N39" i="2884"/>
  <c r="O39" i="2884"/>
  <c r="AA38" i="2884"/>
  <c r="W38" i="2884"/>
  <c r="N38" i="2884"/>
  <c r="O38" i="2884"/>
  <c r="AA37" i="2884"/>
  <c r="W37" i="2884"/>
  <c r="N37" i="2884"/>
  <c r="O37" i="2884"/>
  <c r="AA36" i="2884"/>
  <c r="O36" i="2884"/>
  <c r="AA35" i="2884"/>
  <c r="W35" i="2884"/>
  <c r="N35" i="2884"/>
  <c r="O35" i="2884"/>
  <c r="AA34" i="2884"/>
  <c r="W34" i="2884"/>
  <c r="N34" i="2884"/>
  <c r="O34" i="2884"/>
  <c r="AA33" i="2884"/>
  <c r="W33" i="2884"/>
  <c r="N33" i="2884"/>
  <c r="O33" i="2884"/>
  <c r="AA32" i="2884"/>
  <c r="O32" i="2884"/>
  <c r="AA31" i="2884"/>
  <c r="W31" i="2884"/>
  <c r="N31" i="2884"/>
  <c r="O31" i="2884"/>
  <c r="AA30" i="2884"/>
  <c r="W30" i="2884"/>
  <c r="N30" i="2884"/>
  <c r="O30" i="2884"/>
  <c r="AA29" i="2884"/>
  <c r="W29" i="2884"/>
  <c r="N29" i="2884"/>
  <c r="O29" i="2884"/>
  <c r="AA28" i="2884"/>
  <c r="W28" i="2884"/>
  <c r="O28" i="2884"/>
  <c r="AA27" i="2884"/>
  <c r="W27" i="2884"/>
  <c r="N27" i="2884"/>
  <c r="O27" i="2884"/>
  <c r="AA26" i="2884"/>
  <c r="W26" i="2884"/>
  <c r="N26" i="2884"/>
  <c r="O26" i="2884"/>
  <c r="AA25" i="2884"/>
  <c r="W25" i="2884"/>
  <c r="N25" i="2884"/>
  <c r="O25" i="2884"/>
  <c r="AA24" i="2884"/>
  <c r="O24" i="2884"/>
  <c r="AA23" i="2884"/>
  <c r="W23" i="2884"/>
  <c r="N23" i="2884"/>
  <c r="O23" i="2884"/>
  <c r="AA22" i="2884"/>
  <c r="W22" i="2884"/>
  <c r="N22" i="2884"/>
  <c r="O22" i="2884"/>
  <c r="AA21" i="2884"/>
  <c r="W21" i="2884"/>
  <c r="N21" i="2884"/>
  <c r="O21" i="2884"/>
  <c r="AA20" i="2884"/>
  <c r="O20" i="2884"/>
  <c r="AA19" i="2884"/>
  <c r="W19" i="2884"/>
  <c r="N19" i="2884"/>
  <c r="O19" i="2884"/>
  <c r="AA18" i="2884"/>
  <c r="W18" i="2884"/>
  <c r="N18" i="2884"/>
  <c r="O18" i="2884"/>
  <c r="AA17" i="2884"/>
  <c r="W17" i="2884"/>
  <c r="N17" i="2884"/>
  <c r="O17" i="2884"/>
  <c r="AA16" i="2884"/>
  <c r="O16" i="2884"/>
  <c r="AA15" i="2884"/>
  <c r="W15" i="2884"/>
  <c r="N15" i="2884"/>
  <c r="O15" i="2884"/>
  <c r="AA14" i="2884"/>
  <c r="W14" i="2884"/>
  <c r="N14" i="2884"/>
  <c r="O14" i="2884"/>
  <c r="AA13" i="2884"/>
  <c r="W13" i="2884"/>
  <c r="N13" i="2884"/>
  <c r="O13" i="2884"/>
  <c r="AA12" i="2884"/>
  <c r="AA46" i="2884" s="1"/>
  <c r="W12" i="2884"/>
  <c r="O12" i="2884"/>
  <c r="O11" i="2884"/>
  <c r="O8" i="2884"/>
  <c r="O7" i="2884"/>
  <c r="O6" i="2884"/>
  <c r="O5" i="2884"/>
  <c r="AA4" i="2884"/>
  <c r="W4" i="2884"/>
  <c r="R4" i="2884"/>
  <c r="S4" i="2884" s="1"/>
  <c r="O4" i="2884"/>
  <c r="K169" i="2883"/>
  <c r="K168" i="2883"/>
  <c r="S7" i="2876" s="1"/>
  <c r="T7" i="2876" s="1"/>
  <c r="K167" i="2883"/>
  <c r="K166" i="2883"/>
  <c r="K165" i="2883"/>
  <c r="S6" i="2876" s="1"/>
  <c r="T6" i="2876" s="1"/>
  <c r="K164" i="2883"/>
  <c r="K163" i="2883"/>
  <c r="K162" i="2883"/>
  <c r="S5" i="2876" s="1"/>
  <c r="T5" i="2876" s="1"/>
  <c r="K161" i="2883"/>
  <c r="K160" i="2883"/>
  <c r="K159" i="2883"/>
  <c r="K158" i="2883"/>
  <c r="K157" i="2883"/>
  <c r="K156" i="2883"/>
  <c r="S21" i="2875" s="1"/>
  <c r="T21" i="2875" s="1"/>
  <c r="K155" i="2883"/>
  <c r="K154" i="2883"/>
  <c r="K153" i="2883"/>
  <c r="S20" i="2875" s="1"/>
  <c r="T20" i="2875" s="1"/>
  <c r="K152" i="2883"/>
  <c r="K151" i="2883"/>
  <c r="K150" i="2883"/>
  <c r="S19" i="2875" s="1"/>
  <c r="T19" i="2875" s="1"/>
  <c r="K149" i="2883"/>
  <c r="K148" i="2883"/>
  <c r="K147" i="2883"/>
  <c r="S18" i="2875" s="1"/>
  <c r="T18" i="2875" s="1"/>
  <c r="K146" i="2883"/>
  <c r="K145" i="2883"/>
  <c r="K144" i="2883"/>
  <c r="K143" i="2883"/>
  <c r="K142" i="2883"/>
  <c r="K141" i="2883"/>
  <c r="S17" i="2875" s="1"/>
  <c r="T17" i="2875" s="1"/>
  <c r="K140" i="2883"/>
  <c r="K139" i="2883"/>
  <c r="K138" i="2883"/>
  <c r="S16" i="2875" s="1"/>
  <c r="T16" i="2875" s="1"/>
  <c r="K137" i="2883"/>
  <c r="K136" i="2883"/>
  <c r="K135" i="2883"/>
  <c r="S15" i="2875" s="1"/>
  <c r="T15" i="2875" s="1"/>
  <c r="K134" i="2883"/>
  <c r="K133" i="2883"/>
  <c r="K132" i="2883"/>
  <c r="S24" i="2875" s="1"/>
  <c r="K131" i="2883"/>
  <c r="K130" i="2883"/>
  <c r="K129" i="2883"/>
  <c r="S23" i="2875" s="1"/>
  <c r="T23" i="2875" s="1"/>
  <c r="K128" i="2883"/>
  <c r="K127" i="2883"/>
  <c r="K126" i="2883"/>
  <c r="S22" i="2875" s="1"/>
  <c r="T22" i="2875" s="1"/>
  <c r="K125" i="2883"/>
  <c r="K124" i="2883"/>
  <c r="K123" i="2883"/>
  <c r="S6" i="2875" s="1"/>
  <c r="K122" i="2883"/>
  <c r="K121" i="2883"/>
  <c r="K120" i="2883"/>
  <c r="S5" i="2875" s="1"/>
  <c r="T5" i="2875" s="1"/>
  <c r="K119" i="2883"/>
  <c r="K118" i="2883"/>
  <c r="K117" i="2883"/>
  <c r="K116" i="2883"/>
  <c r="K115" i="2883"/>
  <c r="K114" i="2883"/>
  <c r="S14" i="2875" s="1"/>
  <c r="T14" i="2875" s="1"/>
  <c r="K113" i="2883"/>
  <c r="K112" i="2883"/>
  <c r="K111" i="2883"/>
  <c r="S13" i="2875" s="1"/>
  <c r="K110" i="2883"/>
  <c r="K109" i="2883"/>
  <c r="K108" i="2883"/>
  <c r="S12" i="2875" s="1"/>
  <c r="K107" i="2883"/>
  <c r="K106" i="2883"/>
  <c r="K105" i="2883"/>
  <c r="S11" i="2875" s="1"/>
  <c r="K104" i="2883"/>
  <c r="K103" i="2883"/>
  <c r="K102" i="2883"/>
  <c r="S10" i="2875" s="1"/>
  <c r="K101" i="2883"/>
  <c r="K100" i="2883"/>
  <c r="K99" i="2883"/>
  <c r="S9" i="2875" s="1"/>
  <c r="K98" i="2883"/>
  <c r="K97" i="2883"/>
  <c r="K96" i="2883"/>
  <c r="S8" i="2875" s="1"/>
  <c r="K95" i="2883"/>
  <c r="K94" i="2883"/>
  <c r="K93" i="2883"/>
  <c r="S7" i="2875" s="1"/>
  <c r="K92" i="2883"/>
  <c r="K91" i="2883"/>
  <c r="K90" i="2883"/>
  <c r="K89" i="2883"/>
  <c r="K88" i="2883"/>
  <c r="K87" i="2883"/>
  <c r="K86" i="2883"/>
  <c r="K85" i="2883"/>
  <c r="K84" i="2883"/>
  <c r="S4" i="2875" s="1"/>
  <c r="T4" i="2875" s="1"/>
  <c r="K83" i="2883"/>
  <c r="K82" i="2883"/>
  <c r="K81" i="2883"/>
  <c r="K80" i="2883"/>
  <c r="K79" i="2883"/>
  <c r="K78" i="2883"/>
  <c r="S12" i="2874" s="1"/>
  <c r="T12" i="2874" s="1"/>
  <c r="K77" i="2883"/>
  <c r="K76" i="2883"/>
  <c r="K75" i="2883"/>
  <c r="K74" i="2883"/>
  <c r="K73" i="2883"/>
  <c r="K72" i="2883"/>
  <c r="S11" i="2874" s="1"/>
  <c r="T11" i="2874" s="1"/>
  <c r="K71" i="2883"/>
  <c r="K70" i="2883"/>
  <c r="K69" i="2883"/>
  <c r="K68" i="2883"/>
  <c r="K67" i="2883"/>
  <c r="K66" i="2883"/>
  <c r="S6" i="2874" s="1"/>
  <c r="T6" i="2874" s="1"/>
  <c r="K65" i="2883"/>
  <c r="K64" i="2883"/>
  <c r="K63" i="2883"/>
  <c r="S5" i="2874" s="1"/>
  <c r="T5" i="2874" s="1"/>
  <c r="K62" i="2883"/>
  <c r="K61" i="2883"/>
  <c r="K60" i="2883"/>
  <c r="S4" i="2874" s="1"/>
  <c r="T4" i="2874" s="1"/>
  <c r="K59" i="2883"/>
  <c r="K58" i="2883"/>
  <c r="K57" i="2883"/>
  <c r="S8" i="2874" s="1"/>
  <c r="T8" i="2874" s="1"/>
  <c r="K56" i="2883"/>
  <c r="K55" i="2883"/>
  <c r="K54" i="2883"/>
  <c r="S7" i="2874" s="1"/>
  <c r="T7" i="2874" s="1"/>
  <c r="K53" i="2883"/>
  <c r="K52" i="2883"/>
  <c r="K51" i="2883"/>
  <c r="S10" i="2874" s="1"/>
  <c r="T10" i="2874" s="1"/>
  <c r="K50" i="2883"/>
  <c r="K49" i="2883"/>
  <c r="K48" i="2883"/>
  <c r="S9" i="2874" s="1"/>
  <c r="T9" i="2874" s="1"/>
  <c r="K47" i="2883"/>
  <c r="K46" i="2883"/>
  <c r="K45" i="2883"/>
  <c r="S15" i="2716" s="1"/>
  <c r="T15" i="2716" s="1"/>
  <c r="K44" i="2883"/>
  <c r="K43" i="2883"/>
  <c r="K42" i="2883"/>
  <c r="S14" i="2716" s="1"/>
  <c r="T14" i="2716" s="1"/>
  <c r="K41" i="2883"/>
  <c r="K40" i="2883"/>
  <c r="K39" i="2883"/>
  <c r="S13" i="2716" s="1"/>
  <c r="T13" i="2716" s="1"/>
  <c r="K38" i="2883"/>
  <c r="K37" i="2883"/>
  <c r="K36" i="2883"/>
  <c r="K35" i="2883"/>
  <c r="K34" i="2883"/>
  <c r="K33" i="2883"/>
  <c r="S12" i="2716" s="1"/>
  <c r="T12" i="2716" s="1"/>
  <c r="K32" i="2883"/>
  <c r="K31" i="2883"/>
  <c r="K30" i="2883"/>
  <c r="K29" i="2883"/>
  <c r="K28" i="2883"/>
  <c r="K27" i="2883"/>
  <c r="S8" i="2716" s="1"/>
  <c r="T8" i="2716" s="1"/>
  <c r="K26" i="2883"/>
  <c r="K25" i="2883"/>
  <c r="K24" i="2883"/>
  <c r="S7" i="2716" s="1"/>
  <c r="T7" i="2716" s="1"/>
  <c r="K23" i="2883"/>
  <c r="K22" i="2883"/>
  <c r="K21" i="2883"/>
  <c r="S6" i="2716" s="1"/>
  <c r="T6" i="2716" s="1"/>
  <c r="K20" i="2883"/>
  <c r="K19" i="2883"/>
  <c r="K18" i="2883"/>
  <c r="S5" i="2716" s="1"/>
  <c r="T5" i="2716" s="1"/>
  <c r="K17" i="2883"/>
  <c r="K13" i="2883"/>
  <c r="K12" i="2883"/>
  <c r="K11" i="2883"/>
  <c r="K10" i="2883"/>
  <c r="K9" i="2883"/>
  <c r="S11" i="2716" s="1"/>
  <c r="T11" i="2716" s="1"/>
  <c r="K8" i="2883"/>
  <c r="K7" i="2883"/>
  <c r="K6" i="2883"/>
  <c r="S10" i="2716" s="1"/>
  <c r="T10" i="2716" s="1"/>
  <c r="K5" i="2883"/>
  <c r="K4" i="2883"/>
  <c r="K3" i="2883"/>
  <c r="S9" i="2716" s="1"/>
  <c r="T9" i="2716" s="1"/>
  <c r="K2" i="2883"/>
  <c r="T55" i="2878"/>
  <c r="T56" i="2878"/>
  <c r="T57" i="2878"/>
  <c r="T58" i="2878"/>
  <c r="T59" i="2878"/>
  <c r="T60" i="2878"/>
  <c r="T61" i="2878"/>
  <c r="T62" i="2878"/>
  <c r="T63" i="2878"/>
  <c r="T64" i="2878"/>
  <c r="T65" i="2878"/>
  <c r="T66" i="2878"/>
  <c r="T67" i="2878"/>
  <c r="T68" i="2878"/>
  <c r="T69" i="2878"/>
  <c r="T70" i="2878"/>
  <c r="T71" i="2878"/>
  <c r="T72" i="2878"/>
  <c r="T73" i="2878"/>
  <c r="T74" i="2878"/>
  <c r="T75" i="2878"/>
  <c r="T76" i="2878"/>
  <c r="T77" i="2878"/>
  <c r="T78" i="2878"/>
  <c r="T79" i="2878"/>
  <c r="T80" i="2878"/>
  <c r="T81" i="2878"/>
  <c r="T82" i="2878"/>
  <c r="T83" i="2878"/>
  <c r="T54" i="2878"/>
  <c r="T12" i="2878"/>
  <c r="T13" i="2878"/>
  <c r="T14" i="2878"/>
  <c r="T15" i="2878"/>
  <c r="T16" i="2878"/>
  <c r="T17" i="2878"/>
  <c r="T18" i="2878"/>
  <c r="T19" i="2878"/>
  <c r="T20" i="2878"/>
  <c r="T21" i="2878"/>
  <c r="T22" i="2878"/>
  <c r="T23" i="2878"/>
  <c r="T24" i="2878"/>
  <c r="T25" i="2878"/>
  <c r="T26" i="2878"/>
  <c r="T27" i="2878"/>
  <c r="T28" i="2878"/>
  <c r="T29" i="2878"/>
  <c r="T30" i="2878"/>
  <c r="T31" i="2878"/>
  <c r="T32" i="2878"/>
  <c r="T33" i="2878"/>
  <c r="T34" i="2878"/>
  <c r="T35" i="2878"/>
  <c r="T36" i="2878"/>
  <c r="T37" i="2878"/>
  <c r="T38" i="2878"/>
  <c r="T39" i="2878"/>
  <c r="T40" i="2878"/>
  <c r="T41" i="2878"/>
  <c r="T42" i="2878"/>
  <c r="T43" i="2878"/>
  <c r="T44" i="2878"/>
  <c r="T5" i="2878"/>
  <c r="T6" i="2878"/>
  <c r="T7" i="2878"/>
  <c r="T8" i="2878"/>
  <c r="T9" i="2878"/>
  <c r="T10" i="2878"/>
  <c r="T11" i="2878"/>
  <c r="T4" i="2878"/>
  <c r="N5" i="2875"/>
  <c r="N6" i="2875"/>
  <c r="N7" i="2875"/>
  <c r="N8" i="2875"/>
  <c r="N9" i="2875"/>
  <c r="N10" i="2875"/>
  <c r="N11" i="2875"/>
  <c r="N12" i="2875"/>
  <c r="N13" i="2875"/>
  <c r="N14" i="2875"/>
  <c r="N15" i="2875"/>
  <c r="N16" i="2875"/>
  <c r="N17" i="2875"/>
  <c r="N18" i="2875"/>
  <c r="N19" i="2875"/>
  <c r="N20" i="2875"/>
  <c r="N21" i="2875"/>
  <c r="N22" i="2875"/>
  <c r="N23" i="2875"/>
  <c r="N25" i="2875"/>
  <c r="W50" i="2879"/>
  <c r="W51" i="2879"/>
  <c r="W52" i="2879"/>
  <c r="W54" i="2879"/>
  <c r="W55" i="2879"/>
  <c r="W56" i="2879"/>
  <c r="W58" i="2879"/>
  <c r="W59" i="2879"/>
  <c r="W60" i="2879"/>
  <c r="W62" i="2879"/>
  <c r="W63" i="2879"/>
  <c r="W64" i="2879"/>
  <c r="W66" i="2879"/>
  <c r="W67" i="2879"/>
  <c r="W68" i="2879"/>
  <c r="W70" i="2879"/>
  <c r="W71" i="2879"/>
  <c r="W72" i="2879"/>
  <c r="W74" i="2879"/>
  <c r="W75" i="2879"/>
  <c r="W76" i="2879"/>
  <c r="W49" i="2879"/>
  <c r="W10" i="2879"/>
  <c r="W11" i="2879"/>
  <c r="W13" i="2879"/>
  <c r="W14" i="2879"/>
  <c r="W15" i="2879"/>
  <c r="W17" i="2879"/>
  <c r="W18" i="2879"/>
  <c r="W19" i="2879"/>
  <c r="W21" i="2879"/>
  <c r="W22" i="2879"/>
  <c r="W23" i="2879"/>
  <c r="W25" i="2879"/>
  <c r="W26" i="2879"/>
  <c r="W27" i="2879"/>
  <c r="W29" i="2879"/>
  <c r="W30" i="2879"/>
  <c r="W31" i="2879"/>
  <c r="W33" i="2879"/>
  <c r="W34" i="2879"/>
  <c r="W35" i="2879"/>
  <c r="W37" i="2879"/>
  <c r="W38" i="2879"/>
  <c r="W39" i="2879"/>
  <c r="U4" i="2879"/>
  <c r="T4" i="2879"/>
  <c r="N50" i="2879"/>
  <c r="R52" i="2879"/>
  <c r="S52" i="2879" s="1"/>
  <c r="R57" i="2879"/>
  <c r="S57" i="2879" s="1"/>
  <c r="N58" i="2879"/>
  <c r="N59" i="2879"/>
  <c r="R60" i="2879"/>
  <c r="S60" i="2879" s="1"/>
  <c r="N61" i="2879"/>
  <c r="R62" i="2879"/>
  <c r="S62" i="2879" s="1"/>
  <c r="N63" i="2879"/>
  <c r="R64" i="2879"/>
  <c r="S64" i="2879" s="1"/>
  <c r="N65" i="2879"/>
  <c r="R66" i="2879"/>
  <c r="S66" i="2879" s="1"/>
  <c r="N67" i="2879"/>
  <c r="N70" i="2879"/>
  <c r="N71" i="2879"/>
  <c r="N72" i="2879"/>
  <c r="R74" i="2879"/>
  <c r="S74" i="2879" s="1"/>
  <c r="N75" i="2879"/>
  <c r="N76" i="2879"/>
  <c r="R78" i="2879"/>
  <c r="S78" i="2879" s="1"/>
  <c r="N49" i="2879"/>
  <c r="N10" i="2879"/>
  <c r="R11" i="2879"/>
  <c r="S11" i="2879" s="1"/>
  <c r="N13" i="2879"/>
  <c r="N14" i="2879"/>
  <c r="R15" i="2879"/>
  <c r="S15" i="2879" s="1"/>
  <c r="N17" i="2879"/>
  <c r="N18" i="2879"/>
  <c r="R19" i="2879"/>
  <c r="S19" i="2879" s="1"/>
  <c r="N21" i="2879"/>
  <c r="N22" i="2879"/>
  <c r="R23" i="2879"/>
  <c r="S23" i="2879" s="1"/>
  <c r="N25" i="2879"/>
  <c r="N26" i="2879"/>
  <c r="N27" i="2879"/>
  <c r="N29" i="2879"/>
  <c r="N30" i="2879"/>
  <c r="N31" i="2879"/>
  <c r="N33" i="2879"/>
  <c r="N34" i="2879"/>
  <c r="N35" i="2879"/>
  <c r="N37" i="2879"/>
  <c r="R38" i="2879"/>
  <c r="S38" i="2879" s="1"/>
  <c r="N39" i="2879"/>
  <c r="Q4" i="2879"/>
  <c r="R4" i="2879" s="1"/>
  <c r="S4" i="2879" s="1"/>
  <c r="O14" i="2878"/>
  <c r="O5" i="2878"/>
  <c r="O6" i="2878"/>
  <c r="O7" i="2878"/>
  <c r="O8" i="2878"/>
  <c r="O9" i="2878"/>
  <c r="O10" i="2878"/>
  <c r="O11" i="2878"/>
  <c r="O5" i="2879"/>
  <c r="O6" i="2879"/>
  <c r="O7" i="2879"/>
  <c r="O8" i="2879"/>
  <c r="O9" i="2879"/>
  <c r="Z83" i="2879"/>
  <c r="M83" i="2879"/>
  <c r="G83" i="2879"/>
  <c r="AA78" i="2879"/>
  <c r="W78" i="2879"/>
  <c r="O78" i="2879"/>
  <c r="AA77" i="2879"/>
  <c r="O77" i="2879"/>
  <c r="AA76" i="2879"/>
  <c r="O76" i="2879"/>
  <c r="AA75" i="2879"/>
  <c r="O75" i="2879"/>
  <c r="AA74" i="2879"/>
  <c r="O74" i="2879"/>
  <c r="AA73" i="2879"/>
  <c r="O73" i="2879"/>
  <c r="AA72" i="2879"/>
  <c r="O72" i="2879"/>
  <c r="AA71" i="2879"/>
  <c r="O71" i="2879"/>
  <c r="AA70" i="2879"/>
  <c r="O70" i="2879"/>
  <c r="AA69" i="2879"/>
  <c r="O69" i="2879"/>
  <c r="AA68" i="2879"/>
  <c r="O68" i="2879"/>
  <c r="AA67" i="2879"/>
  <c r="O67" i="2879"/>
  <c r="AA66" i="2879"/>
  <c r="O66" i="2879"/>
  <c r="AA65" i="2879"/>
  <c r="O65" i="2879"/>
  <c r="AA64" i="2879"/>
  <c r="O64" i="2879"/>
  <c r="AA63" i="2879"/>
  <c r="O63" i="2879"/>
  <c r="AA62" i="2879"/>
  <c r="O62" i="2879"/>
  <c r="AA61" i="2879"/>
  <c r="O61" i="2879"/>
  <c r="AA60" i="2879"/>
  <c r="O60" i="2879"/>
  <c r="AA59" i="2879"/>
  <c r="O59" i="2879"/>
  <c r="AA58" i="2879"/>
  <c r="O58" i="2879"/>
  <c r="AA57" i="2879"/>
  <c r="O57" i="2879"/>
  <c r="AA56" i="2879"/>
  <c r="O56" i="2879"/>
  <c r="AA55" i="2879"/>
  <c r="O55" i="2879"/>
  <c r="AA54" i="2879"/>
  <c r="O54" i="2879"/>
  <c r="AA53" i="2879"/>
  <c r="O53" i="2879"/>
  <c r="AA52" i="2879"/>
  <c r="O52" i="2879"/>
  <c r="AA51" i="2879"/>
  <c r="O51" i="2879"/>
  <c r="AA50" i="2879"/>
  <c r="O50" i="2879"/>
  <c r="AA49" i="2879"/>
  <c r="O49" i="2879"/>
  <c r="Z44" i="2879"/>
  <c r="M44" i="2879"/>
  <c r="G44" i="2879"/>
  <c r="AA39" i="2879"/>
  <c r="O39" i="2879"/>
  <c r="AA38" i="2879"/>
  <c r="O38" i="2879"/>
  <c r="AA37" i="2879"/>
  <c r="O37" i="2879"/>
  <c r="AA36" i="2879"/>
  <c r="O36" i="2879"/>
  <c r="AA35" i="2879"/>
  <c r="O35" i="2879"/>
  <c r="AA34" i="2879"/>
  <c r="O34" i="2879"/>
  <c r="AA33" i="2879"/>
  <c r="O33" i="2879"/>
  <c r="AA32" i="2879"/>
  <c r="O32" i="2879"/>
  <c r="AA31" i="2879"/>
  <c r="O31" i="2879"/>
  <c r="AA30" i="2879"/>
  <c r="O30" i="2879"/>
  <c r="AA29" i="2879"/>
  <c r="O29" i="2879"/>
  <c r="AA28" i="2879"/>
  <c r="O28" i="2879"/>
  <c r="AA27" i="2879"/>
  <c r="O27" i="2879"/>
  <c r="AA26" i="2879"/>
  <c r="O26" i="2879"/>
  <c r="AA25" i="2879"/>
  <c r="O25" i="2879"/>
  <c r="AA24" i="2879"/>
  <c r="O24" i="2879"/>
  <c r="AA23" i="2879"/>
  <c r="O23" i="2879"/>
  <c r="AA22" i="2879"/>
  <c r="O22" i="2879"/>
  <c r="AA21" i="2879"/>
  <c r="O21" i="2879"/>
  <c r="AA20" i="2879"/>
  <c r="O20" i="2879"/>
  <c r="AA19" i="2879"/>
  <c r="O19" i="2879"/>
  <c r="AA18" i="2879"/>
  <c r="O18" i="2879"/>
  <c r="AA17" i="2879"/>
  <c r="O17" i="2879"/>
  <c r="AA16" i="2879"/>
  <c r="O16" i="2879"/>
  <c r="AA15" i="2879"/>
  <c r="O15" i="2879"/>
  <c r="AA14" i="2879"/>
  <c r="O14" i="2879"/>
  <c r="AA13" i="2879"/>
  <c r="O13" i="2879"/>
  <c r="AA12" i="2879"/>
  <c r="O12" i="2879"/>
  <c r="AA11" i="2879"/>
  <c r="O11" i="2879"/>
  <c r="AA10" i="2879"/>
  <c r="O10" i="2879"/>
  <c r="AA4" i="2879"/>
  <c r="O4" i="2879"/>
  <c r="V55" i="2878"/>
  <c r="W55" i="2878" s="1"/>
  <c r="V56" i="2878"/>
  <c r="W56" i="2878" s="1"/>
  <c r="V57" i="2878"/>
  <c r="W57" i="2878" s="1"/>
  <c r="V58" i="2878"/>
  <c r="W58" i="2878" s="1"/>
  <c r="V59" i="2878"/>
  <c r="W59" i="2878" s="1"/>
  <c r="V60" i="2878"/>
  <c r="W60" i="2878" s="1"/>
  <c r="V61" i="2878"/>
  <c r="W61" i="2878" s="1"/>
  <c r="V62" i="2878"/>
  <c r="W62" i="2878" s="1"/>
  <c r="V63" i="2878"/>
  <c r="W63" i="2878" s="1"/>
  <c r="V64" i="2878"/>
  <c r="W64" i="2878" s="1"/>
  <c r="V65" i="2878"/>
  <c r="W65" i="2878" s="1"/>
  <c r="V66" i="2878"/>
  <c r="W66" i="2878" s="1"/>
  <c r="V67" i="2878"/>
  <c r="W67" i="2878" s="1"/>
  <c r="V68" i="2878"/>
  <c r="W68" i="2878" s="1"/>
  <c r="V69" i="2878"/>
  <c r="W69" i="2878" s="1"/>
  <c r="V70" i="2878"/>
  <c r="W70" i="2878" s="1"/>
  <c r="V71" i="2878"/>
  <c r="W71" i="2878" s="1"/>
  <c r="V72" i="2878"/>
  <c r="W72" i="2878" s="1"/>
  <c r="V73" i="2878"/>
  <c r="W73" i="2878" s="1"/>
  <c r="V74" i="2878"/>
  <c r="W74" i="2878" s="1"/>
  <c r="V75" i="2878"/>
  <c r="W75" i="2878" s="1"/>
  <c r="V76" i="2878"/>
  <c r="W76" i="2878" s="1"/>
  <c r="V77" i="2878"/>
  <c r="W77" i="2878" s="1"/>
  <c r="V78" i="2878"/>
  <c r="W78" i="2878" s="1"/>
  <c r="V79" i="2878"/>
  <c r="W79" i="2878" s="1"/>
  <c r="V80" i="2878"/>
  <c r="W80" i="2878" s="1"/>
  <c r="V81" i="2878"/>
  <c r="W81" i="2878" s="1"/>
  <c r="V82" i="2878"/>
  <c r="W82" i="2878" s="1"/>
  <c r="V83" i="2878"/>
  <c r="W83" i="2878" s="1"/>
  <c r="V54" i="2878"/>
  <c r="W54" i="2878" s="1"/>
  <c r="V14" i="2878"/>
  <c r="V15" i="2878"/>
  <c r="W15" i="2878" s="1"/>
  <c r="V16" i="2878"/>
  <c r="W16" i="2878" s="1"/>
  <c r="V17" i="2878"/>
  <c r="W17" i="2878" s="1"/>
  <c r="V18" i="2878"/>
  <c r="W18" i="2878" s="1"/>
  <c r="V19" i="2878"/>
  <c r="W19" i="2878" s="1"/>
  <c r="V20" i="2878"/>
  <c r="W20" i="2878" s="1"/>
  <c r="V21" i="2878"/>
  <c r="W21" i="2878" s="1"/>
  <c r="V22" i="2878"/>
  <c r="W22" i="2878" s="1"/>
  <c r="V23" i="2878"/>
  <c r="W23" i="2878" s="1"/>
  <c r="V24" i="2878"/>
  <c r="W24" i="2878" s="1"/>
  <c r="V25" i="2878"/>
  <c r="W25" i="2878" s="1"/>
  <c r="V26" i="2878"/>
  <c r="W26" i="2878" s="1"/>
  <c r="V27" i="2878"/>
  <c r="W27" i="2878" s="1"/>
  <c r="V28" i="2878"/>
  <c r="W28" i="2878" s="1"/>
  <c r="V29" i="2878"/>
  <c r="W29" i="2878" s="1"/>
  <c r="V30" i="2878"/>
  <c r="W30" i="2878" s="1"/>
  <c r="V31" i="2878"/>
  <c r="W31" i="2878" s="1"/>
  <c r="V32" i="2878"/>
  <c r="W32" i="2878" s="1"/>
  <c r="V33" i="2878"/>
  <c r="W33" i="2878" s="1"/>
  <c r="V34" i="2878"/>
  <c r="W34" i="2878" s="1"/>
  <c r="V35" i="2878"/>
  <c r="W35" i="2878" s="1"/>
  <c r="V36" i="2878"/>
  <c r="W36" i="2878" s="1"/>
  <c r="V37" i="2878"/>
  <c r="W37" i="2878" s="1"/>
  <c r="V38" i="2878"/>
  <c r="W38" i="2878" s="1"/>
  <c r="V39" i="2878"/>
  <c r="W39" i="2878" s="1"/>
  <c r="V40" i="2878"/>
  <c r="W40" i="2878" s="1"/>
  <c r="V41" i="2878"/>
  <c r="W41" i="2878" s="1"/>
  <c r="V42" i="2878"/>
  <c r="W42" i="2878" s="1"/>
  <c r="V43" i="2878"/>
  <c r="W43" i="2878" s="1"/>
  <c r="V44" i="2878"/>
  <c r="W44" i="2878" s="1"/>
  <c r="U55" i="2878"/>
  <c r="U56" i="2878"/>
  <c r="U57" i="2878"/>
  <c r="U58" i="2878"/>
  <c r="U59" i="2878"/>
  <c r="U60" i="2878"/>
  <c r="U61" i="2878"/>
  <c r="U62" i="2878"/>
  <c r="U63" i="2878"/>
  <c r="U64" i="2878"/>
  <c r="U65" i="2878"/>
  <c r="U66" i="2878"/>
  <c r="U67" i="2878"/>
  <c r="U68" i="2878"/>
  <c r="U69" i="2878"/>
  <c r="U70" i="2878"/>
  <c r="U71" i="2878"/>
  <c r="U72" i="2878"/>
  <c r="U73" i="2878"/>
  <c r="U74" i="2878"/>
  <c r="U75" i="2878"/>
  <c r="U76" i="2878"/>
  <c r="U77" i="2878"/>
  <c r="U78" i="2878"/>
  <c r="U79" i="2878"/>
  <c r="U80" i="2878"/>
  <c r="U81" i="2878"/>
  <c r="U82" i="2878"/>
  <c r="U83" i="2878"/>
  <c r="U54" i="2878"/>
  <c r="U4" i="2878"/>
  <c r="R55" i="2878"/>
  <c r="N56" i="2878"/>
  <c r="N57" i="2878"/>
  <c r="R59" i="2878"/>
  <c r="S59" i="2878" s="1"/>
  <c r="N60" i="2878"/>
  <c r="N61" i="2878"/>
  <c r="R63" i="2878"/>
  <c r="S63" i="2878" s="1"/>
  <c r="N64" i="2878"/>
  <c r="N65" i="2878"/>
  <c r="R67" i="2878"/>
  <c r="S67" i="2878" s="1"/>
  <c r="N68" i="2878"/>
  <c r="R69" i="2878"/>
  <c r="S69" i="2878" s="1"/>
  <c r="R71" i="2878"/>
  <c r="S71" i="2878" s="1"/>
  <c r="N72" i="2878"/>
  <c r="R73" i="2878"/>
  <c r="S73" i="2878" s="1"/>
  <c r="R75" i="2878"/>
  <c r="S75" i="2878" s="1"/>
  <c r="N76" i="2878"/>
  <c r="N77" i="2878"/>
  <c r="R79" i="2878"/>
  <c r="S79" i="2878" s="1"/>
  <c r="N80" i="2878"/>
  <c r="N81" i="2878"/>
  <c r="R83" i="2878"/>
  <c r="S83" i="2878" s="1"/>
  <c r="R54" i="2878"/>
  <c r="S54" i="2878" s="1"/>
  <c r="Q4" i="2878"/>
  <c r="R4" i="2878" s="1"/>
  <c r="S4" i="2878" s="1"/>
  <c r="Z88" i="2878"/>
  <c r="AB88" i="2878" s="1"/>
  <c r="M88" i="2878"/>
  <c r="G88" i="2878"/>
  <c r="AA83" i="2878"/>
  <c r="O83" i="2878"/>
  <c r="AA82" i="2878"/>
  <c r="O82" i="2878"/>
  <c r="AA81" i="2878"/>
  <c r="O81" i="2878"/>
  <c r="AA80" i="2878"/>
  <c r="O80" i="2878"/>
  <c r="AA79" i="2878"/>
  <c r="O79" i="2878"/>
  <c r="AA78" i="2878"/>
  <c r="O78" i="2878"/>
  <c r="AA77" i="2878"/>
  <c r="O77" i="2878"/>
  <c r="AA76" i="2878"/>
  <c r="O76" i="2878"/>
  <c r="AA75" i="2878"/>
  <c r="O75" i="2878"/>
  <c r="AA74" i="2878"/>
  <c r="O74" i="2878"/>
  <c r="AA73" i="2878"/>
  <c r="O73" i="2878"/>
  <c r="AA72" i="2878"/>
  <c r="O72" i="2878"/>
  <c r="AA71" i="2878"/>
  <c r="O71" i="2878"/>
  <c r="AA70" i="2878"/>
  <c r="O70" i="2878"/>
  <c r="AA69" i="2878"/>
  <c r="O69" i="2878"/>
  <c r="AA68" i="2878"/>
  <c r="O68" i="2878"/>
  <c r="AA67" i="2878"/>
  <c r="O67" i="2878"/>
  <c r="AA66" i="2878"/>
  <c r="O66" i="2878"/>
  <c r="AA65" i="2878"/>
  <c r="O65" i="2878"/>
  <c r="AA64" i="2878"/>
  <c r="O64" i="2878"/>
  <c r="AA63" i="2878"/>
  <c r="O63" i="2878"/>
  <c r="AA62" i="2878"/>
  <c r="O62" i="2878"/>
  <c r="AA61" i="2878"/>
  <c r="O61" i="2878"/>
  <c r="AA60" i="2878"/>
  <c r="O60" i="2878"/>
  <c r="AA59" i="2878"/>
  <c r="O59" i="2878"/>
  <c r="O88" i="2878" s="1"/>
  <c r="AA58" i="2878"/>
  <c r="O58" i="2878"/>
  <c r="AA57" i="2878"/>
  <c r="O57" i="2878"/>
  <c r="AA56" i="2878"/>
  <c r="O56" i="2878"/>
  <c r="AA55" i="2878"/>
  <c r="O55" i="2878"/>
  <c r="AA54" i="2878"/>
  <c r="O54" i="2878"/>
  <c r="Z49" i="2878"/>
  <c r="M49" i="2878"/>
  <c r="G49" i="2878"/>
  <c r="AA44" i="2878"/>
  <c r="O44" i="2878"/>
  <c r="AA43" i="2878"/>
  <c r="AA49" i="2878" s="1"/>
  <c r="N43" i="2878"/>
  <c r="O43" i="2878"/>
  <c r="AA42" i="2878"/>
  <c r="N42" i="2878"/>
  <c r="O42" i="2878"/>
  <c r="AA41" i="2878"/>
  <c r="N41" i="2878"/>
  <c r="O41" i="2878"/>
  <c r="AA40" i="2878"/>
  <c r="O40" i="2878"/>
  <c r="AA39" i="2878"/>
  <c r="N39" i="2878"/>
  <c r="O39" i="2878"/>
  <c r="AA38" i="2878"/>
  <c r="N38" i="2878"/>
  <c r="O38" i="2878"/>
  <c r="AA37" i="2878"/>
  <c r="N37" i="2878"/>
  <c r="O37" i="2878"/>
  <c r="AA36" i="2878"/>
  <c r="O36" i="2878"/>
  <c r="AA35" i="2878"/>
  <c r="N35" i="2878"/>
  <c r="O35" i="2878"/>
  <c r="AA34" i="2878"/>
  <c r="N34" i="2878"/>
  <c r="O34" i="2878"/>
  <c r="AA33" i="2878"/>
  <c r="N33" i="2878"/>
  <c r="O33" i="2878"/>
  <c r="AA32" i="2878"/>
  <c r="O32" i="2878"/>
  <c r="AA31" i="2878"/>
  <c r="N31" i="2878"/>
  <c r="O31" i="2878"/>
  <c r="AA30" i="2878"/>
  <c r="R30" i="2878"/>
  <c r="S30" i="2878" s="1"/>
  <c r="O30" i="2878"/>
  <c r="AA29" i="2878"/>
  <c r="N29" i="2878"/>
  <c r="O29" i="2878"/>
  <c r="AA28" i="2878"/>
  <c r="O28" i="2878"/>
  <c r="AA27" i="2878"/>
  <c r="N27" i="2878"/>
  <c r="O27" i="2878"/>
  <c r="AA26" i="2878"/>
  <c r="O26" i="2878"/>
  <c r="AA25" i="2878"/>
  <c r="N25" i="2878"/>
  <c r="O25" i="2878"/>
  <c r="AA24" i="2878"/>
  <c r="O24" i="2878"/>
  <c r="AA23" i="2878"/>
  <c r="N23" i="2878"/>
  <c r="O23" i="2878"/>
  <c r="AA22" i="2878"/>
  <c r="R22" i="2878"/>
  <c r="S22" i="2878" s="1"/>
  <c r="O22" i="2878"/>
  <c r="AA21" i="2878"/>
  <c r="N21" i="2878"/>
  <c r="O21" i="2878"/>
  <c r="AA20" i="2878"/>
  <c r="O20" i="2878"/>
  <c r="AA19" i="2878"/>
  <c r="N19" i="2878"/>
  <c r="O19" i="2878"/>
  <c r="AA18" i="2878"/>
  <c r="R18" i="2878"/>
  <c r="S18" i="2878" s="1"/>
  <c r="O18" i="2878"/>
  <c r="AA17" i="2878"/>
  <c r="N17" i="2878"/>
  <c r="O17" i="2878"/>
  <c r="O49" i="2878" s="1"/>
  <c r="AA16" i="2878"/>
  <c r="O16" i="2878"/>
  <c r="AA15" i="2878"/>
  <c r="N15" i="2878"/>
  <c r="O15" i="2878"/>
  <c r="AA13" i="2878"/>
  <c r="R13" i="2878"/>
  <c r="S13" i="2878" s="1"/>
  <c r="O13" i="2878"/>
  <c r="AA12" i="2878"/>
  <c r="O12" i="2878"/>
  <c r="AA4" i="2878"/>
  <c r="O4" i="2878"/>
  <c r="T70" i="2876"/>
  <c r="T71" i="2876"/>
  <c r="T74" i="2876"/>
  <c r="T75" i="2876"/>
  <c r="T78" i="2876"/>
  <c r="T79" i="2876"/>
  <c r="T82" i="2876"/>
  <c r="T83" i="2876"/>
  <c r="T86" i="2876"/>
  <c r="T87" i="2876"/>
  <c r="T90" i="2876"/>
  <c r="T91" i="2876"/>
  <c r="T94" i="2876"/>
  <c r="T95" i="2876"/>
  <c r="T98" i="2876"/>
  <c r="T9" i="2876"/>
  <c r="T10" i="2876"/>
  <c r="T11" i="2876"/>
  <c r="T13" i="2876"/>
  <c r="T14" i="2876"/>
  <c r="T17" i="2876"/>
  <c r="T18" i="2876"/>
  <c r="T21" i="2876"/>
  <c r="T22" i="2876"/>
  <c r="T23" i="2876"/>
  <c r="T25" i="2876"/>
  <c r="T26" i="2876"/>
  <c r="T27" i="2876"/>
  <c r="T29" i="2876"/>
  <c r="T30" i="2876"/>
  <c r="T33" i="2876"/>
  <c r="T34" i="2876"/>
  <c r="T37" i="2876"/>
  <c r="T38" i="2876"/>
  <c r="T39" i="2876"/>
  <c r="T41" i="2876"/>
  <c r="T42" i="2876"/>
  <c r="T43" i="2876"/>
  <c r="T45" i="2876"/>
  <c r="T46" i="2876"/>
  <c r="T49" i="2876"/>
  <c r="T50" i="2876"/>
  <c r="T53" i="2876"/>
  <c r="T54" i="2876"/>
  <c r="T55" i="2876"/>
  <c r="T57" i="2876"/>
  <c r="T58" i="2876"/>
  <c r="T59" i="2876"/>
  <c r="M71" i="2876"/>
  <c r="Q71" i="2876" s="1"/>
  <c r="M72" i="2876"/>
  <c r="Q72" i="2876" s="1"/>
  <c r="M75" i="2876"/>
  <c r="Q75" i="2876" s="1"/>
  <c r="M79" i="2876"/>
  <c r="Q79" i="2876" s="1"/>
  <c r="M80" i="2876"/>
  <c r="Q80" i="2876" s="1"/>
  <c r="M83" i="2876"/>
  <c r="Q83" i="2876" s="1"/>
  <c r="M84" i="2876"/>
  <c r="Q84" i="2876" s="1"/>
  <c r="M88" i="2876"/>
  <c r="Q88" i="2876" s="1"/>
  <c r="M89" i="2876"/>
  <c r="Q89" i="2876" s="1"/>
  <c r="M91" i="2876"/>
  <c r="Q91" i="2876" s="1"/>
  <c r="M92" i="2876"/>
  <c r="Q92" i="2876" s="1"/>
  <c r="M95" i="2876"/>
  <c r="Q95" i="2876" s="1"/>
  <c r="M96" i="2876"/>
  <c r="Q96" i="2876" s="1"/>
  <c r="M69" i="2876"/>
  <c r="Q69" i="2876" s="1"/>
  <c r="Q7" i="2876"/>
  <c r="Q8" i="2876"/>
  <c r="Q12" i="2876"/>
  <c r="M20" i="2876"/>
  <c r="M22" i="2876"/>
  <c r="M24" i="2876"/>
  <c r="M28" i="2876"/>
  <c r="M32" i="2876"/>
  <c r="M34" i="2876"/>
  <c r="M36" i="2876"/>
  <c r="M40" i="2876"/>
  <c r="M42" i="2876"/>
  <c r="M44" i="2876"/>
  <c r="M48" i="2876"/>
  <c r="M50" i="2876"/>
  <c r="M52" i="2876"/>
  <c r="M56" i="2876"/>
  <c r="M57" i="2876"/>
  <c r="Q4" i="2876"/>
  <c r="W104" i="2876"/>
  <c r="P104" i="2876"/>
  <c r="L104" i="2876"/>
  <c r="X99" i="2876"/>
  <c r="T99" i="2876"/>
  <c r="N99" i="2876"/>
  <c r="H99" i="2876"/>
  <c r="X98" i="2876"/>
  <c r="N98" i="2876"/>
  <c r="H98" i="2876"/>
  <c r="X97" i="2876"/>
  <c r="N97" i="2876"/>
  <c r="H97" i="2876"/>
  <c r="X96" i="2876"/>
  <c r="N96" i="2876"/>
  <c r="H96" i="2876"/>
  <c r="X95" i="2876"/>
  <c r="N95" i="2876"/>
  <c r="H95" i="2876"/>
  <c r="X94" i="2876"/>
  <c r="N94" i="2876"/>
  <c r="H94" i="2876"/>
  <c r="X93" i="2876"/>
  <c r="N93" i="2876"/>
  <c r="H93" i="2876"/>
  <c r="X92" i="2876"/>
  <c r="N92" i="2876"/>
  <c r="H92" i="2876"/>
  <c r="X91" i="2876"/>
  <c r="N91" i="2876"/>
  <c r="H91" i="2876"/>
  <c r="X90" i="2876"/>
  <c r="N90" i="2876"/>
  <c r="H90" i="2876"/>
  <c r="X89" i="2876"/>
  <c r="N89" i="2876"/>
  <c r="H89" i="2876"/>
  <c r="X88" i="2876"/>
  <c r="N88" i="2876"/>
  <c r="H88" i="2876"/>
  <c r="X87" i="2876"/>
  <c r="N87" i="2876"/>
  <c r="H87" i="2876"/>
  <c r="X86" i="2876"/>
  <c r="N86" i="2876"/>
  <c r="H86" i="2876"/>
  <c r="X85" i="2876"/>
  <c r="N85" i="2876"/>
  <c r="H85" i="2876"/>
  <c r="X84" i="2876"/>
  <c r="N84" i="2876"/>
  <c r="H84" i="2876"/>
  <c r="X83" i="2876"/>
  <c r="N83" i="2876"/>
  <c r="H83" i="2876"/>
  <c r="X82" i="2876"/>
  <c r="N82" i="2876"/>
  <c r="H82" i="2876"/>
  <c r="X81" i="2876"/>
  <c r="N81" i="2876"/>
  <c r="H81" i="2876"/>
  <c r="X80" i="2876"/>
  <c r="N80" i="2876"/>
  <c r="H80" i="2876"/>
  <c r="X79" i="2876"/>
  <c r="N79" i="2876"/>
  <c r="H79" i="2876"/>
  <c r="X78" i="2876"/>
  <c r="N78" i="2876"/>
  <c r="H78" i="2876"/>
  <c r="X77" i="2876"/>
  <c r="N77" i="2876"/>
  <c r="H77" i="2876"/>
  <c r="X76" i="2876"/>
  <c r="N76" i="2876"/>
  <c r="M76" i="2876"/>
  <c r="Q76" i="2876" s="1"/>
  <c r="H76" i="2876"/>
  <c r="X75" i="2876"/>
  <c r="N75" i="2876"/>
  <c r="H75" i="2876"/>
  <c r="X74" i="2876"/>
  <c r="N74" i="2876"/>
  <c r="H74" i="2876"/>
  <c r="X73" i="2876"/>
  <c r="N73" i="2876"/>
  <c r="H73" i="2876"/>
  <c r="X72" i="2876"/>
  <c r="N72" i="2876"/>
  <c r="H72" i="2876"/>
  <c r="X71" i="2876"/>
  <c r="N71" i="2876"/>
  <c r="H71" i="2876"/>
  <c r="X70" i="2876"/>
  <c r="N70" i="2876"/>
  <c r="H70" i="2876"/>
  <c r="X69" i="2876"/>
  <c r="N69" i="2876"/>
  <c r="H69" i="2876"/>
  <c r="W64" i="2876"/>
  <c r="P64" i="2876"/>
  <c r="L64" i="2876"/>
  <c r="X59" i="2876"/>
  <c r="N59" i="2876"/>
  <c r="H59" i="2876"/>
  <c r="X58" i="2876"/>
  <c r="N58" i="2876"/>
  <c r="H58" i="2876"/>
  <c r="X57" i="2876"/>
  <c r="N57" i="2876"/>
  <c r="H57" i="2876"/>
  <c r="X56" i="2876"/>
  <c r="N56" i="2876"/>
  <c r="H56" i="2876"/>
  <c r="X55" i="2876"/>
  <c r="N55" i="2876"/>
  <c r="H55" i="2876"/>
  <c r="X54" i="2876"/>
  <c r="N54" i="2876"/>
  <c r="H54" i="2876"/>
  <c r="X53" i="2876"/>
  <c r="N53" i="2876"/>
  <c r="H53" i="2876"/>
  <c r="X52" i="2876"/>
  <c r="N52" i="2876"/>
  <c r="H52" i="2876"/>
  <c r="X51" i="2876"/>
  <c r="N51" i="2876"/>
  <c r="H51" i="2876"/>
  <c r="X50" i="2876"/>
  <c r="N50" i="2876"/>
  <c r="H50" i="2876"/>
  <c r="X49" i="2876"/>
  <c r="N49" i="2876"/>
  <c r="H49" i="2876"/>
  <c r="X48" i="2876"/>
  <c r="N48" i="2876"/>
  <c r="H48" i="2876"/>
  <c r="X47" i="2876"/>
  <c r="N47" i="2876"/>
  <c r="H47" i="2876"/>
  <c r="X46" i="2876"/>
  <c r="N46" i="2876"/>
  <c r="H46" i="2876"/>
  <c r="X45" i="2876"/>
  <c r="N45" i="2876"/>
  <c r="H45" i="2876"/>
  <c r="X44" i="2876"/>
  <c r="N44" i="2876"/>
  <c r="H44" i="2876"/>
  <c r="X43" i="2876"/>
  <c r="N43" i="2876"/>
  <c r="H43" i="2876"/>
  <c r="X42" i="2876"/>
  <c r="N42" i="2876"/>
  <c r="H42" i="2876"/>
  <c r="X41" i="2876"/>
  <c r="N41" i="2876"/>
  <c r="H41" i="2876"/>
  <c r="X40" i="2876"/>
  <c r="N40" i="2876"/>
  <c r="H40" i="2876"/>
  <c r="X39" i="2876"/>
  <c r="N39" i="2876"/>
  <c r="H39" i="2876"/>
  <c r="X38" i="2876"/>
  <c r="N38" i="2876"/>
  <c r="H38" i="2876"/>
  <c r="X37" i="2876"/>
  <c r="N37" i="2876"/>
  <c r="H37" i="2876"/>
  <c r="X36" i="2876"/>
  <c r="N36" i="2876"/>
  <c r="H36" i="2876"/>
  <c r="X35" i="2876"/>
  <c r="N35" i="2876"/>
  <c r="H35" i="2876"/>
  <c r="X34" i="2876"/>
  <c r="N34" i="2876"/>
  <c r="H34" i="2876"/>
  <c r="X33" i="2876"/>
  <c r="N33" i="2876"/>
  <c r="H33" i="2876"/>
  <c r="X32" i="2876"/>
  <c r="N32" i="2876"/>
  <c r="H32" i="2876"/>
  <c r="X31" i="2876"/>
  <c r="N31" i="2876"/>
  <c r="H31" i="2876"/>
  <c r="X30" i="2876"/>
  <c r="N30" i="2876"/>
  <c r="H30" i="2876"/>
  <c r="X29" i="2876"/>
  <c r="N29" i="2876"/>
  <c r="H29" i="2876"/>
  <c r="X28" i="2876"/>
  <c r="N28" i="2876"/>
  <c r="H28" i="2876"/>
  <c r="X27" i="2876"/>
  <c r="N27" i="2876"/>
  <c r="H27" i="2876"/>
  <c r="X26" i="2876"/>
  <c r="N26" i="2876"/>
  <c r="H26" i="2876"/>
  <c r="X25" i="2876"/>
  <c r="N25" i="2876"/>
  <c r="H25" i="2876"/>
  <c r="X24" i="2876"/>
  <c r="N24" i="2876"/>
  <c r="H24" i="2876"/>
  <c r="X23" i="2876"/>
  <c r="N23" i="2876"/>
  <c r="H23" i="2876"/>
  <c r="X22" i="2876"/>
  <c r="N22" i="2876"/>
  <c r="H22" i="2876"/>
  <c r="X21" i="2876"/>
  <c r="N21" i="2876"/>
  <c r="H21" i="2876"/>
  <c r="X20" i="2876"/>
  <c r="N20" i="2876"/>
  <c r="H20" i="2876"/>
  <c r="X19" i="2876"/>
  <c r="N19" i="2876"/>
  <c r="H19" i="2876"/>
  <c r="X18" i="2876"/>
  <c r="N18" i="2876"/>
  <c r="H18" i="2876"/>
  <c r="X17" i="2876"/>
  <c r="N17" i="2876"/>
  <c r="H17" i="2876"/>
  <c r="Q15" i="2876"/>
  <c r="N15" i="2876"/>
  <c r="Q14" i="2876"/>
  <c r="N14" i="2876"/>
  <c r="Q13" i="2876"/>
  <c r="N13" i="2876"/>
  <c r="N12" i="2876"/>
  <c r="Q11" i="2876"/>
  <c r="N11" i="2876"/>
  <c r="N10" i="2876"/>
  <c r="Q10" i="2876"/>
  <c r="Q9" i="2876"/>
  <c r="N9" i="2876"/>
  <c r="N8" i="2876"/>
  <c r="N7" i="2876"/>
  <c r="Q6" i="2876"/>
  <c r="N6" i="2876"/>
  <c r="Q5" i="2876"/>
  <c r="N5" i="2876"/>
  <c r="N4" i="2876"/>
  <c r="T79" i="2875"/>
  <c r="T80" i="2875"/>
  <c r="T81" i="2875"/>
  <c r="T83" i="2875"/>
  <c r="T84" i="2875"/>
  <c r="T85" i="2875"/>
  <c r="T87" i="2875"/>
  <c r="T88" i="2875"/>
  <c r="T89" i="2875"/>
  <c r="T91" i="2875"/>
  <c r="T92" i="2875"/>
  <c r="T93" i="2875"/>
  <c r="T95" i="2875"/>
  <c r="T96" i="2875"/>
  <c r="T97" i="2875"/>
  <c r="T99" i="2875"/>
  <c r="T100" i="2875"/>
  <c r="T101" i="2875"/>
  <c r="T103" i="2875"/>
  <c r="T104" i="2875"/>
  <c r="T105" i="2875"/>
  <c r="T107" i="2875"/>
  <c r="T108" i="2875"/>
  <c r="T78" i="2875"/>
  <c r="T26" i="2875"/>
  <c r="T27" i="2875"/>
  <c r="T28" i="2875"/>
  <c r="T30" i="2875"/>
  <c r="T31" i="2875"/>
  <c r="T32" i="2875"/>
  <c r="T34" i="2875"/>
  <c r="T35" i="2875"/>
  <c r="T36" i="2875"/>
  <c r="T38" i="2875"/>
  <c r="T39" i="2875"/>
  <c r="T40" i="2875"/>
  <c r="T42" i="2875"/>
  <c r="T43" i="2875"/>
  <c r="T44" i="2875"/>
  <c r="T46" i="2875"/>
  <c r="T47" i="2875"/>
  <c r="T48" i="2875"/>
  <c r="T50" i="2875"/>
  <c r="T51" i="2875"/>
  <c r="T52" i="2875"/>
  <c r="T54" i="2875"/>
  <c r="T55" i="2875"/>
  <c r="T56" i="2875"/>
  <c r="T58" i="2875"/>
  <c r="T59" i="2875"/>
  <c r="T60" i="2875"/>
  <c r="T62" i="2875"/>
  <c r="T63" i="2875"/>
  <c r="T64" i="2875"/>
  <c r="T66" i="2875"/>
  <c r="T67" i="2875"/>
  <c r="T68" i="2875"/>
  <c r="Q10" i="2874"/>
  <c r="Q11" i="2874"/>
  <c r="M80" i="2875"/>
  <c r="Q80" i="2875" s="1"/>
  <c r="M81" i="2875"/>
  <c r="Q81" i="2875" s="1"/>
  <c r="M82" i="2875"/>
  <c r="Q82" i="2875" s="1"/>
  <c r="M84" i="2875"/>
  <c r="Q84" i="2875" s="1"/>
  <c r="M85" i="2875"/>
  <c r="Q85" i="2875" s="1"/>
  <c r="M86" i="2875"/>
  <c r="Q86" i="2875" s="1"/>
  <c r="M88" i="2875"/>
  <c r="Q88" i="2875" s="1"/>
  <c r="M89" i="2875"/>
  <c r="Q89" i="2875" s="1"/>
  <c r="M90" i="2875"/>
  <c r="Q90" i="2875" s="1"/>
  <c r="M92" i="2875"/>
  <c r="Q92" i="2875" s="1"/>
  <c r="M93" i="2875"/>
  <c r="Q93" i="2875" s="1"/>
  <c r="M94" i="2875"/>
  <c r="Q94" i="2875" s="1"/>
  <c r="M96" i="2875"/>
  <c r="Q96" i="2875" s="1"/>
  <c r="M97" i="2875"/>
  <c r="Q97" i="2875" s="1"/>
  <c r="M98" i="2875"/>
  <c r="Q98" i="2875" s="1"/>
  <c r="M100" i="2875"/>
  <c r="Q100" i="2875" s="1"/>
  <c r="M101" i="2875"/>
  <c r="Q101" i="2875" s="1"/>
  <c r="M102" i="2875"/>
  <c r="Q102" i="2875" s="1"/>
  <c r="M104" i="2875"/>
  <c r="Q104" i="2875" s="1"/>
  <c r="M105" i="2875"/>
  <c r="Q105" i="2875" s="1"/>
  <c r="M106" i="2875"/>
  <c r="Q106" i="2875" s="1"/>
  <c r="M78" i="2875"/>
  <c r="Q78" i="2875" s="1"/>
  <c r="Q5" i="2875"/>
  <c r="Q15" i="2875"/>
  <c r="Q16" i="2875"/>
  <c r="Q17" i="2875"/>
  <c r="Q19" i="2875"/>
  <c r="Q20" i="2875"/>
  <c r="Q21" i="2875"/>
  <c r="Q23" i="2875"/>
  <c r="M27" i="2875"/>
  <c r="M31" i="2875"/>
  <c r="M35" i="2875"/>
  <c r="M43" i="2875"/>
  <c r="M47" i="2875"/>
  <c r="M52" i="2875"/>
  <c r="M55" i="2875"/>
  <c r="M56" i="2875"/>
  <c r="M59" i="2875"/>
  <c r="M60" i="2875"/>
  <c r="M63" i="2875"/>
  <c r="M64" i="2875"/>
  <c r="M67" i="2875"/>
  <c r="M68" i="2875"/>
  <c r="H26" i="2875"/>
  <c r="H27" i="2875"/>
  <c r="H28" i="2875"/>
  <c r="H29" i="2875"/>
  <c r="H30" i="2875"/>
  <c r="H31" i="2875"/>
  <c r="H32" i="2875"/>
  <c r="H33" i="2875"/>
  <c r="W113" i="2875"/>
  <c r="P113" i="2875"/>
  <c r="L113" i="2875"/>
  <c r="X108" i="2875"/>
  <c r="N108" i="2875"/>
  <c r="H108" i="2875"/>
  <c r="X107" i="2875"/>
  <c r="N107" i="2875"/>
  <c r="H107" i="2875"/>
  <c r="X106" i="2875"/>
  <c r="N106" i="2875"/>
  <c r="H106" i="2875"/>
  <c r="X105" i="2875"/>
  <c r="N105" i="2875"/>
  <c r="H105" i="2875"/>
  <c r="X104" i="2875"/>
  <c r="N104" i="2875"/>
  <c r="H104" i="2875"/>
  <c r="X103" i="2875"/>
  <c r="N103" i="2875"/>
  <c r="H103" i="2875"/>
  <c r="X102" i="2875"/>
  <c r="N102" i="2875"/>
  <c r="H102" i="2875"/>
  <c r="X101" i="2875"/>
  <c r="N101" i="2875"/>
  <c r="H101" i="2875"/>
  <c r="X100" i="2875"/>
  <c r="N100" i="2875"/>
  <c r="H100" i="2875"/>
  <c r="X99" i="2875"/>
  <c r="N99" i="2875"/>
  <c r="H99" i="2875"/>
  <c r="X98" i="2875"/>
  <c r="N98" i="2875"/>
  <c r="H98" i="2875"/>
  <c r="X97" i="2875"/>
  <c r="N97" i="2875"/>
  <c r="H97" i="2875"/>
  <c r="X96" i="2875"/>
  <c r="N96" i="2875"/>
  <c r="H96" i="2875"/>
  <c r="X95" i="2875"/>
  <c r="N95" i="2875"/>
  <c r="H95" i="2875"/>
  <c r="X94" i="2875"/>
  <c r="N94" i="2875"/>
  <c r="H94" i="2875"/>
  <c r="X93" i="2875"/>
  <c r="N93" i="2875"/>
  <c r="H93" i="2875"/>
  <c r="X92" i="2875"/>
  <c r="N92" i="2875"/>
  <c r="H92" i="2875"/>
  <c r="X91" i="2875"/>
  <c r="N91" i="2875"/>
  <c r="H91" i="2875"/>
  <c r="X90" i="2875"/>
  <c r="N90" i="2875"/>
  <c r="H90" i="2875"/>
  <c r="X89" i="2875"/>
  <c r="N89" i="2875"/>
  <c r="H89" i="2875"/>
  <c r="X88" i="2875"/>
  <c r="N88" i="2875"/>
  <c r="H88" i="2875"/>
  <c r="X87" i="2875"/>
  <c r="N87" i="2875"/>
  <c r="H87" i="2875"/>
  <c r="X86" i="2875"/>
  <c r="N86" i="2875"/>
  <c r="H86" i="2875"/>
  <c r="X85" i="2875"/>
  <c r="N85" i="2875"/>
  <c r="H85" i="2875"/>
  <c r="X84" i="2875"/>
  <c r="N84" i="2875"/>
  <c r="H84" i="2875"/>
  <c r="X83" i="2875"/>
  <c r="N83" i="2875"/>
  <c r="H83" i="2875"/>
  <c r="X82" i="2875"/>
  <c r="N82" i="2875"/>
  <c r="H82" i="2875"/>
  <c r="X81" i="2875"/>
  <c r="N81" i="2875"/>
  <c r="H81" i="2875"/>
  <c r="X80" i="2875"/>
  <c r="N80" i="2875"/>
  <c r="H80" i="2875"/>
  <c r="X79" i="2875"/>
  <c r="N79" i="2875"/>
  <c r="H79" i="2875"/>
  <c r="X78" i="2875"/>
  <c r="N78" i="2875"/>
  <c r="H78" i="2875"/>
  <c r="W73" i="2875"/>
  <c r="P73" i="2875"/>
  <c r="L73" i="2875"/>
  <c r="X68" i="2875"/>
  <c r="N68" i="2875"/>
  <c r="H68" i="2875"/>
  <c r="X67" i="2875"/>
  <c r="N67" i="2875"/>
  <c r="H67" i="2875"/>
  <c r="X66" i="2875"/>
  <c r="N66" i="2875"/>
  <c r="H66" i="2875"/>
  <c r="X65" i="2875"/>
  <c r="N65" i="2875"/>
  <c r="H65" i="2875"/>
  <c r="X64" i="2875"/>
  <c r="N64" i="2875"/>
  <c r="H64" i="2875"/>
  <c r="X63" i="2875"/>
  <c r="N63" i="2875"/>
  <c r="H63" i="2875"/>
  <c r="X62" i="2875"/>
  <c r="N62" i="2875"/>
  <c r="H62" i="2875"/>
  <c r="X61" i="2875"/>
  <c r="N61" i="2875"/>
  <c r="H61" i="2875"/>
  <c r="X60" i="2875"/>
  <c r="N60" i="2875"/>
  <c r="H60" i="2875"/>
  <c r="X59" i="2875"/>
  <c r="N59" i="2875"/>
  <c r="H59" i="2875"/>
  <c r="X58" i="2875"/>
  <c r="N58" i="2875"/>
  <c r="H58" i="2875"/>
  <c r="X57" i="2875"/>
  <c r="N57" i="2875"/>
  <c r="H57" i="2875"/>
  <c r="X56" i="2875"/>
  <c r="N56" i="2875"/>
  <c r="H56" i="2875"/>
  <c r="X55" i="2875"/>
  <c r="N55" i="2875"/>
  <c r="H55" i="2875"/>
  <c r="X54" i="2875"/>
  <c r="N54" i="2875"/>
  <c r="H54" i="2875"/>
  <c r="X53" i="2875"/>
  <c r="N53" i="2875"/>
  <c r="H53" i="2875"/>
  <c r="X52" i="2875"/>
  <c r="N52" i="2875"/>
  <c r="H52" i="2875"/>
  <c r="X51" i="2875"/>
  <c r="N51" i="2875"/>
  <c r="H51" i="2875"/>
  <c r="X50" i="2875"/>
  <c r="N50" i="2875"/>
  <c r="H50" i="2875"/>
  <c r="X49" i="2875"/>
  <c r="N49" i="2875"/>
  <c r="H49" i="2875"/>
  <c r="X48" i="2875"/>
  <c r="N48" i="2875"/>
  <c r="H48" i="2875"/>
  <c r="X47" i="2875"/>
  <c r="N47" i="2875"/>
  <c r="H47" i="2875"/>
  <c r="X46" i="2875"/>
  <c r="N46" i="2875"/>
  <c r="H46" i="2875"/>
  <c r="X45" i="2875"/>
  <c r="N45" i="2875"/>
  <c r="H45" i="2875"/>
  <c r="X44" i="2875"/>
  <c r="N44" i="2875"/>
  <c r="H44" i="2875"/>
  <c r="X43" i="2875"/>
  <c r="N43" i="2875"/>
  <c r="H43" i="2875"/>
  <c r="X42" i="2875"/>
  <c r="N42" i="2875"/>
  <c r="H42" i="2875"/>
  <c r="X41" i="2875"/>
  <c r="N41" i="2875"/>
  <c r="H41" i="2875"/>
  <c r="X40" i="2875"/>
  <c r="N40" i="2875"/>
  <c r="H40" i="2875"/>
  <c r="X39" i="2875"/>
  <c r="N39" i="2875"/>
  <c r="H39" i="2875"/>
  <c r="X38" i="2875"/>
  <c r="N38" i="2875"/>
  <c r="H38" i="2875"/>
  <c r="X37" i="2875"/>
  <c r="N37" i="2875"/>
  <c r="H37" i="2875"/>
  <c r="X36" i="2875"/>
  <c r="N36" i="2875"/>
  <c r="H36" i="2875"/>
  <c r="X35" i="2875"/>
  <c r="N35" i="2875"/>
  <c r="H35" i="2875"/>
  <c r="X34" i="2875"/>
  <c r="N34" i="2875"/>
  <c r="H34" i="2875"/>
  <c r="X33" i="2875"/>
  <c r="N33" i="2875"/>
  <c r="X32" i="2875"/>
  <c r="N32" i="2875"/>
  <c r="X31" i="2875"/>
  <c r="N31" i="2875"/>
  <c r="X30" i="2875"/>
  <c r="N30" i="2875"/>
  <c r="X29" i="2875"/>
  <c r="N29" i="2875"/>
  <c r="X28" i="2875"/>
  <c r="N28" i="2875"/>
  <c r="X27" i="2875"/>
  <c r="N27" i="2875"/>
  <c r="X26" i="2875"/>
  <c r="N26" i="2875"/>
  <c r="N4" i="2875"/>
  <c r="T69" i="2874"/>
  <c r="T14" i="2874"/>
  <c r="T15" i="2874"/>
  <c r="T18" i="2874"/>
  <c r="T19" i="2874"/>
  <c r="T20" i="2874"/>
  <c r="T22" i="2874"/>
  <c r="T23" i="2874"/>
  <c r="T24" i="2874"/>
  <c r="T26" i="2874"/>
  <c r="T27" i="2874"/>
  <c r="T28" i="2874"/>
  <c r="T30" i="2874"/>
  <c r="T31" i="2874"/>
  <c r="T32" i="2874"/>
  <c r="T34" i="2874"/>
  <c r="T35" i="2874"/>
  <c r="T36" i="2874"/>
  <c r="T38" i="2874"/>
  <c r="T39" i="2874"/>
  <c r="T40" i="2874"/>
  <c r="T42" i="2874"/>
  <c r="T43" i="2874"/>
  <c r="T44" i="2874"/>
  <c r="T46" i="2874"/>
  <c r="T47" i="2874"/>
  <c r="T48" i="2874"/>
  <c r="T50" i="2874"/>
  <c r="T51" i="2874"/>
  <c r="T52" i="2874"/>
  <c r="T54" i="2874"/>
  <c r="T55" i="2874"/>
  <c r="T56" i="2874"/>
  <c r="T58" i="2874"/>
  <c r="T59" i="2874"/>
  <c r="T70" i="2874"/>
  <c r="T71" i="2874"/>
  <c r="T72" i="2874"/>
  <c r="T74" i="2874"/>
  <c r="T75" i="2874"/>
  <c r="T76" i="2874"/>
  <c r="T78" i="2874"/>
  <c r="T79" i="2874"/>
  <c r="T80" i="2874"/>
  <c r="T82" i="2874"/>
  <c r="T83" i="2874"/>
  <c r="T84" i="2874"/>
  <c r="T86" i="2874"/>
  <c r="T87" i="2874"/>
  <c r="T88" i="2874"/>
  <c r="T90" i="2874"/>
  <c r="T91" i="2874"/>
  <c r="T92" i="2874"/>
  <c r="T94" i="2874"/>
  <c r="T95" i="2874"/>
  <c r="T96" i="2874"/>
  <c r="T98" i="2874"/>
  <c r="T99" i="2874"/>
  <c r="M70" i="2874"/>
  <c r="Q70" i="2874" s="1"/>
  <c r="M71" i="2874"/>
  <c r="Q71" i="2874" s="1"/>
  <c r="M74" i="2874"/>
  <c r="Q74" i="2874" s="1"/>
  <c r="M75" i="2874"/>
  <c r="Q75" i="2874" s="1"/>
  <c r="M78" i="2874"/>
  <c r="Q78" i="2874" s="1"/>
  <c r="M79" i="2874"/>
  <c r="Q79" i="2874" s="1"/>
  <c r="M82" i="2874"/>
  <c r="Q82" i="2874" s="1"/>
  <c r="M83" i="2874"/>
  <c r="Q83" i="2874" s="1"/>
  <c r="M86" i="2874"/>
  <c r="Q86" i="2874" s="1"/>
  <c r="M87" i="2874"/>
  <c r="Q87" i="2874" s="1"/>
  <c r="M90" i="2874"/>
  <c r="Q90" i="2874" s="1"/>
  <c r="M91" i="2874"/>
  <c r="Q91" i="2874" s="1"/>
  <c r="M94" i="2874"/>
  <c r="Q94" i="2874" s="1"/>
  <c r="M95" i="2874"/>
  <c r="Q95" i="2874" s="1"/>
  <c r="M98" i="2874"/>
  <c r="Q98" i="2874" s="1"/>
  <c r="Q8" i="2874"/>
  <c r="Q12" i="2874"/>
  <c r="M17" i="2874"/>
  <c r="M18" i="2874"/>
  <c r="M19" i="2874"/>
  <c r="M21" i="2874"/>
  <c r="M22" i="2874"/>
  <c r="M23" i="2874"/>
  <c r="M25" i="2874"/>
  <c r="M26" i="2874"/>
  <c r="M27" i="2874"/>
  <c r="M29" i="2874"/>
  <c r="M30" i="2874"/>
  <c r="M31" i="2874"/>
  <c r="M33" i="2874"/>
  <c r="M34" i="2874"/>
  <c r="M35" i="2874"/>
  <c r="M37" i="2874"/>
  <c r="M38" i="2874"/>
  <c r="M39" i="2874"/>
  <c r="M41" i="2874"/>
  <c r="M42" i="2874"/>
  <c r="M43" i="2874"/>
  <c r="M45" i="2874"/>
  <c r="M46" i="2874"/>
  <c r="M47" i="2874"/>
  <c r="M49" i="2874"/>
  <c r="M50" i="2874"/>
  <c r="M51" i="2874"/>
  <c r="M53" i="2874"/>
  <c r="M54" i="2874"/>
  <c r="M55" i="2874"/>
  <c r="M57" i="2874"/>
  <c r="M58" i="2874"/>
  <c r="Q4" i="2874"/>
  <c r="W104" i="2874"/>
  <c r="P104" i="2874"/>
  <c r="L104" i="2874"/>
  <c r="X99" i="2874"/>
  <c r="N99" i="2874"/>
  <c r="H99" i="2874"/>
  <c r="X98" i="2874"/>
  <c r="N98" i="2874"/>
  <c r="H98" i="2874"/>
  <c r="X97" i="2874"/>
  <c r="N97" i="2874"/>
  <c r="H97" i="2874"/>
  <c r="X96" i="2874"/>
  <c r="N96" i="2874"/>
  <c r="H96" i="2874"/>
  <c r="X95" i="2874"/>
  <c r="N95" i="2874"/>
  <c r="H95" i="2874"/>
  <c r="X94" i="2874"/>
  <c r="N94" i="2874"/>
  <c r="H94" i="2874"/>
  <c r="X93" i="2874"/>
  <c r="N93" i="2874"/>
  <c r="H93" i="2874"/>
  <c r="X92" i="2874"/>
  <c r="N92" i="2874"/>
  <c r="H92" i="2874"/>
  <c r="X91" i="2874"/>
  <c r="N91" i="2874"/>
  <c r="H91" i="2874"/>
  <c r="X90" i="2874"/>
  <c r="N90" i="2874"/>
  <c r="H90" i="2874"/>
  <c r="X89" i="2874"/>
  <c r="N89" i="2874"/>
  <c r="H89" i="2874"/>
  <c r="X88" i="2874"/>
  <c r="N88" i="2874"/>
  <c r="H88" i="2874"/>
  <c r="X87" i="2874"/>
  <c r="N87" i="2874"/>
  <c r="H87" i="2874"/>
  <c r="X86" i="2874"/>
  <c r="N86" i="2874"/>
  <c r="H86" i="2874"/>
  <c r="X85" i="2874"/>
  <c r="N85" i="2874"/>
  <c r="H85" i="2874"/>
  <c r="X84" i="2874"/>
  <c r="N84" i="2874"/>
  <c r="H84" i="2874"/>
  <c r="X83" i="2874"/>
  <c r="N83" i="2874"/>
  <c r="H83" i="2874"/>
  <c r="X82" i="2874"/>
  <c r="N82" i="2874"/>
  <c r="H82" i="2874"/>
  <c r="X81" i="2874"/>
  <c r="N81" i="2874"/>
  <c r="H81" i="2874"/>
  <c r="X80" i="2874"/>
  <c r="N80" i="2874"/>
  <c r="H80" i="2874"/>
  <c r="X79" i="2874"/>
  <c r="N79" i="2874"/>
  <c r="H79" i="2874"/>
  <c r="X78" i="2874"/>
  <c r="N78" i="2874"/>
  <c r="H78" i="2874"/>
  <c r="X77" i="2874"/>
  <c r="N77" i="2874"/>
  <c r="H77" i="2874"/>
  <c r="X76" i="2874"/>
  <c r="N76" i="2874"/>
  <c r="H76" i="2874"/>
  <c r="X75" i="2874"/>
  <c r="N75" i="2874"/>
  <c r="H75" i="2874"/>
  <c r="X74" i="2874"/>
  <c r="N74" i="2874"/>
  <c r="H74" i="2874"/>
  <c r="X73" i="2874"/>
  <c r="N73" i="2874"/>
  <c r="H73" i="2874"/>
  <c r="X72" i="2874"/>
  <c r="N72" i="2874"/>
  <c r="H72" i="2874"/>
  <c r="X71" i="2874"/>
  <c r="N71" i="2874"/>
  <c r="H71" i="2874"/>
  <c r="X70" i="2874"/>
  <c r="N70" i="2874"/>
  <c r="H70" i="2874"/>
  <c r="X69" i="2874"/>
  <c r="N69" i="2874"/>
  <c r="H69" i="2874"/>
  <c r="W64" i="2874"/>
  <c r="P64" i="2874"/>
  <c r="L64" i="2874"/>
  <c r="X59" i="2874"/>
  <c r="N59" i="2874"/>
  <c r="H59" i="2874"/>
  <c r="X58" i="2874"/>
  <c r="N58" i="2874"/>
  <c r="H58" i="2874"/>
  <c r="X57" i="2874"/>
  <c r="N57" i="2874"/>
  <c r="H57" i="2874"/>
  <c r="X56" i="2874"/>
  <c r="N56" i="2874"/>
  <c r="H56" i="2874"/>
  <c r="X55" i="2874"/>
  <c r="N55" i="2874"/>
  <c r="H55" i="2874"/>
  <c r="X54" i="2874"/>
  <c r="N54" i="2874"/>
  <c r="H54" i="2874"/>
  <c r="X53" i="2874"/>
  <c r="N53" i="2874"/>
  <c r="H53" i="2874"/>
  <c r="X52" i="2874"/>
  <c r="N52" i="2874"/>
  <c r="H52" i="2874"/>
  <c r="X51" i="2874"/>
  <c r="N51" i="2874"/>
  <c r="H51" i="2874"/>
  <c r="X50" i="2874"/>
  <c r="N50" i="2874"/>
  <c r="H50" i="2874"/>
  <c r="X49" i="2874"/>
  <c r="N49" i="2874"/>
  <c r="H49" i="2874"/>
  <c r="X48" i="2874"/>
  <c r="N48" i="2874"/>
  <c r="H48" i="2874"/>
  <c r="X47" i="2874"/>
  <c r="N47" i="2874"/>
  <c r="H47" i="2874"/>
  <c r="X46" i="2874"/>
  <c r="N46" i="2874"/>
  <c r="H46" i="2874"/>
  <c r="X45" i="2874"/>
  <c r="N45" i="2874"/>
  <c r="H45" i="2874"/>
  <c r="X44" i="2874"/>
  <c r="N44" i="2874"/>
  <c r="H44" i="2874"/>
  <c r="X43" i="2874"/>
  <c r="N43" i="2874"/>
  <c r="H43" i="2874"/>
  <c r="X42" i="2874"/>
  <c r="N42" i="2874"/>
  <c r="H42" i="2874"/>
  <c r="X41" i="2874"/>
  <c r="N41" i="2874"/>
  <c r="H41" i="2874"/>
  <c r="X40" i="2874"/>
  <c r="N40" i="2874"/>
  <c r="H40" i="2874"/>
  <c r="X39" i="2874"/>
  <c r="N39" i="2874"/>
  <c r="H39" i="2874"/>
  <c r="X38" i="2874"/>
  <c r="N38" i="2874"/>
  <c r="H38" i="2874"/>
  <c r="X37" i="2874"/>
  <c r="N37" i="2874"/>
  <c r="H37" i="2874"/>
  <c r="X36" i="2874"/>
  <c r="N36" i="2874"/>
  <c r="H36" i="2874"/>
  <c r="X35" i="2874"/>
  <c r="N35" i="2874"/>
  <c r="H35" i="2874"/>
  <c r="X34" i="2874"/>
  <c r="N34" i="2874"/>
  <c r="H34" i="2874"/>
  <c r="X33" i="2874"/>
  <c r="N33" i="2874"/>
  <c r="H33" i="2874"/>
  <c r="X32" i="2874"/>
  <c r="N32" i="2874"/>
  <c r="H32" i="2874"/>
  <c r="X31" i="2874"/>
  <c r="N31" i="2874"/>
  <c r="H31" i="2874"/>
  <c r="X30" i="2874"/>
  <c r="N30" i="2874"/>
  <c r="H30" i="2874"/>
  <c r="X29" i="2874"/>
  <c r="N29" i="2874"/>
  <c r="H29" i="2874"/>
  <c r="X28" i="2874"/>
  <c r="N28" i="2874"/>
  <c r="H28" i="2874"/>
  <c r="X27" i="2874"/>
  <c r="N27" i="2874"/>
  <c r="H27" i="2874"/>
  <c r="X26" i="2874"/>
  <c r="N26" i="2874"/>
  <c r="H26" i="2874"/>
  <c r="X25" i="2874"/>
  <c r="N25" i="2874"/>
  <c r="H25" i="2874"/>
  <c r="X24" i="2874"/>
  <c r="N24" i="2874"/>
  <c r="H24" i="2874"/>
  <c r="X23" i="2874"/>
  <c r="N23" i="2874"/>
  <c r="H23" i="2874"/>
  <c r="X22" i="2874"/>
  <c r="N22" i="2874"/>
  <c r="H22" i="2874"/>
  <c r="X21" i="2874"/>
  <c r="N21" i="2874"/>
  <c r="H21" i="2874"/>
  <c r="X20" i="2874"/>
  <c r="N20" i="2874"/>
  <c r="H20" i="2874"/>
  <c r="X19" i="2874"/>
  <c r="N19" i="2874"/>
  <c r="H19" i="2874"/>
  <c r="X18" i="2874"/>
  <c r="N18" i="2874"/>
  <c r="H18" i="2874"/>
  <c r="X17" i="2874"/>
  <c r="N17" i="2874"/>
  <c r="H17" i="2874"/>
  <c r="G64" i="2874" s="1"/>
  <c r="Q15" i="2874"/>
  <c r="N15" i="2874"/>
  <c r="Q14" i="2874"/>
  <c r="N14" i="2874"/>
  <c r="Q13" i="2874"/>
  <c r="N13" i="2874"/>
  <c r="N12" i="2874"/>
  <c r="N11" i="2874"/>
  <c r="N10" i="2874"/>
  <c r="Q9" i="2874"/>
  <c r="N9" i="2874"/>
  <c r="N8" i="2874"/>
  <c r="Q7" i="2874"/>
  <c r="N7" i="2874"/>
  <c r="Q6" i="2874"/>
  <c r="N6" i="2874"/>
  <c r="Q5" i="2874"/>
  <c r="N5" i="2874"/>
  <c r="N4" i="2874"/>
  <c r="T70" i="2716"/>
  <c r="T71" i="2716"/>
  <c r="T72" i="2716"/>
  <c r="T84" i="2716"/>
  <c r="T88" i="2716"/>
  <c r="V4" i="2879"/>
  <c r="W4" i="2879" s="1"/>
  <c r="T4" i="2716"/>
  <c r="M70" i="2716"/>
  <c r="Q70" i="2716" s="1"/>
  <c r="M71" i="2716"/>
  <c r="Q71" i="2716" s="1"/>
  <c r="M73" i="2716"/>
  <c r="Q73" i="2716" s="1"/>
  <c r="M74" i="2716"/>
  <c r="Q74" i="2716" s="1"/>
  <c r="M77" i="2716"/>
  <c r="Q77" i="2716" s="1"/>
  <c r="M78" i="2716"/>
  <c r="Q78" i="2716" s="1"/>
  <c r="M81" i="2716"/>
  <c r="Q81" i="2716" s="1"/>
  <c r="M82" i="2716"/>
  <c r="Q82" i="2716" s="1"/>
  <c r="M86" i="2716"/>
  <c r="Q86" i="2716" s="1"/>
  <c r="M90" i="2716"/>
  <c r="Q90" i="2716" s="1"/>
  <c r="M94" i="2716"/>
  <c r="Q94" i="2716" s="1"/>
  <c r="M95" i="2716"/>
  <c r="Q95" i="2716" s="1"/>
  <c r="M98" i="2716"/>
  <c r="Q98" i="2716" s="1"/>
  <c r="Q7" i="2716"/>
  <c r="Q12" i="2716"/>
  <c r="Q13" i="2716"/>
  <c r="Q15" i="2716"/>
  <c r="M21" i="2716"/>
  <c r="M22" i="2716"/>
  <c r="M25" i="2716"/>
  <c r="M29" i="2716"/>
  <c r="N89" i="2834"/>
  <c r="M31" i="2716"/>
  <c r="M42" i="2716"/>
  <c r="M45" i="2716"/>
  <c r="M49" i="2716"/>
  <c r="M53" i="2716"/>
  <c r="H24" i="2716"/>
  <c r="H32" i="2716"/>
  <c r="H36" i="2716"/>
  <c r="H40" i="2716"/>
  <c r="H44" i="2716"/>
  <c r="H48" i="2716"/>
  <c r="H52" i="2716"/>
  <c r="H56" i="2716"/>
  <c r="J88" i="2827"/>
  <c r="T21" i="2716"/>
  <c r="T29" i="2716"/>
  <c r="T37" i="2716"/>
  <c r="T40" i="2716"/>
  <c r="H71" i="2716"/>
  <c r="H72" i="2716"/>
  <c r="H73" i="2716"/>
  <c r="H74" i="2716"/>
  <c r="H75" i="2716"/>
  <c r="H77" i="2716"/>
  <c r="H78" i="2716"/>
  <c r="H79" i="2716"/>
  <c r="H80" i="2716"/>
  <c r="H81" i="2716"/>
  <c r="H83" i="2716"/>
  <c r="H85" i="2716"/>
  <c r="H87" i="2716"/>
  <c r="H88" i="2716"/>
  <c r="H89" i="2716"/>
  <c r="H91" i="2716"/>
  <c r="H92" i="2716"/>
  <c r="H93" i="2716"/>
  <c r="H95" i="2716"/>
  <c r="H96" i="2716"/>
  <c r="H97" i="2716"/>
  <c r="H99" i="2716"/>
  <c r="H69" i="2716"/>
  <c r="H20" i="2716"/>
  <c r="H23" i="2716"/>
  <c r="H27" i="2716"/>
  <c r="H28" i="2716"/>
  <c r="H31" i="2716"/>
  <c r="H39" i="2716"/>
  <c r="H43" i="2716"/>
  <c r="H47" i="2716"/>
  <c r="H55" i="2716"/>
  <c r="H59" i="2716"/>
  <c r="N49" i="2858"/>
  <c r="N50" i="2858"/>
  <c r="R51" i="2858"/>
  <c r="S51" i="2858" s="1"/>
  <c r="N53" i="2858"/>
  <c r="R54" i="2858"/>
  <c r="S54" i="2858" s="1"/>
  <c r="R55" i="2858"/>
  <c r="S55" i="2858" s="1"/>
  <c r="R57" i="2858"/>
  <c r="S57" i="2858" s="1"/>
  <c r="N58" i="2858"/>
  <c r="R59" i="2858"/>
  <c r="S59" i="2858" s="1"/>
  <c r="N61" i="2858"/>
  <c r="N62" i="2858"/>
  <c r="N63" i="2858"/>
  <c r="N65" i="2858"/>
  <c r="R66" i="2858"/>
  <c r="S66" i="2858" s="1"/>
  <c r="R67" i="2858"/>
  <c r="S67" i="2858" s="1"/>
  <c r="N69" i="2858"/>
  <c r="N70" i="2858"/>
  <c r="R71" i="2858"/>
  <c r="S71" i="2858" s="1"/>
  <c r="R73" i="2858"/>
  <c r="S73" i="2858" s="1"/>
  <c r="N74" i="2858"/>
  <c r="R75" i="2858"/>
  <c r="S75" i="2858" s="1"/>
  <c r="W49" i="2858"/>
  <c r="W50" i="2858"/>
  <c r="W51" i="2858"/>
  <c r="W53" i="2858"/>
  <c r="W54" i="2858"/>
  <c r="W55" i="2858"/>
  <c r="W57" i="2858"/>
  <c r="W58" i="2858"/>
  <c r="W59" i="2858"/>
  <c r="W61" i="2858"/>
  <c r="W62" i="2858"/>
  <c r="W63" i="2858"/>
  <c r="W65" i="2858"/>
  <c r="W66" i="2858"/>
  <c r="W67" i="2858"/>
  <c r="W69" i="2858"/>
  <c r="W70" i="2858"/>
  <c r="W71" i="2858"/>
  <c r="W73" i="2858"/>
  <c r="W74" i="2858"/>
  <c r="W75" i="2858"/>
  <c r="W77" i="2858"/>
  <c r="W9" i="2858"/>
  <c r="W10" i="2858"/>
  <c r="W11" i="2858"/>
  <c r="W13" i="2858"/>
  <c r="W14" i="2858"/>
  <c r="W15" i="2858"/>
  <c r="W16" i="2858"/>
  <c r="W17" i="2858"/>
  <c r="W18" i="2858"/>
  <c r="W19" i="2858"/>
  <c r="W20" i="2858"/>
  <c r="W21" i="2858"/>
  <c r="W22" i="2858"/>
  <c r="W23" i="2858"/>
  <c r="W24" i="2858"/>
  <c r="W25" i="2858"/>
  <c r="W26" i="2858"/>
  <c r="W27" i="2858"/>
  <c r="W28" i="2858"/>
  <c r="W29" i="2858"/>
  <c r="W30" i="2858"/>
  <c r="W31" i="2858"/>
  <c r="W32" i="2858"/>
  <c r="W33" i="2858"/>
  <c r="W34" i="2858"/>
  <c r="W35" i="2858"/>
  <c r="W36" i="2858"/>
  <c r="W37" i="2858"/>
  <c r="W38" i="2858"/>
  <c r="R48" i="2858"/>
  <c r="S48" i="2858" s="1"/>
  <c r="R5" i="2858"/>
  <c r="S5" i="2858" s="1"/>
  <c r="R6" i="2858"/>
  <c r="S6" i="2858" s="1"/>
  <c r="R7" i="2858"/>
  <c r="S7" i="2858" s="1"/>
  <c r="N9" i="2858"/>
  <c r="R10" i="2858"/>
  <c r="S10" i="2858" s="1"/>
  <c r="R11" i="2858"/>
  <c r="S11" i="2858" s="1"/>
  <c r="N13" i="2858"/>
  <c r="R14" i="2858"/>
  <c r="S14" i="2858" s="1"/>
  <c r="N15" i="2858"/>
  <c r="N17" i="2858"/>
  <c r="N18" i="2858"/>
  <c r="R21" i="2858"/>
  <c r="S21" i="2858" s="1"/>
  <c r="R22" i="2858"/>
  <c r="S22" i="2858" s="1"/>
  <c r="N23" i="2858"/>
  <c r="R25" i="2858"/>
  <c r="S25" i="2858" s="1"/>
  <c r="N26" i="2858"/>
  <c r="R27" i="2858"/>
  <c r="S27" i="2858" s="1"/>
  <c r="R29" i="2858"/>
  <c r="S29" i="2858" s="1"/>
  <c r="R30" i="2858"/>
  <c r="S30" i="2858" s="1"/>
  <c r="R31" i="2858"/>
  <c r="S31" i="2858" s="1"/>
  <c r="N33" i="2858"/>
  <c r="R35" i="2858"/>
  <c r="S35" i="2858" s="1"/>
  <c r="N37" i="2858"/>
  <c r="N38" i="2858"/>
  <c r="R4" i="2858"/>
  <c r="S4" i="2858" s="1"/>
  <c r="W49" i="2864"/>
  <c r="W50" i="2864"/>
  <c r="W51" i="2864"/>
  <c r="W53" i="2864"/>
  <c r="W54" i="2864"/>
  <c r="W55" i="2864"/>
  <c r="W57" i="2864"/>
  <c r="W58" i="2864"/>
  <c r="W59" i="2864"/>
  <c r="W61" i="2864"/>
  <c r="W62" i="2864"/>
  <c r="W63" i="2864"/>
  <c r="W65" i="2864"/>
  <c r="W66" i="2864"/>
  <c r="W67" i="2864"/>
  <c r="W69" i="2864"/>
  <c r="W70" i="2864"/>
  <c r="W71" i="2864"/>
  <c r="W73" i="2864"/>
  <c r="W74" i="2864"/>
  <c r="W75" i="2864"/>
  <c r="W77" i="2864"/>
  <c r="W9" i="2864"/>
  <c r="W10" i="2864"/>
  <c r="W11" i="2864"/>
  <c r="W13" i="2864"/>
  <c r="W14" i="2864"/>
  <c r="W15" i="2864"/>
  <c r="W17" i="2864"/>
  <c r="W18" i="2864"/>
  <c r="W19" i="2864"/>
  <c r="W21" i="2864"/>
  <c r="W22" i="2864"/>
  <c r="W23" i="2864"/>
  <c r="W25" i="2864"/>
  <c r="W26" i="2864"/>
  <c r="W27" i="2864"/>
  <c r="W29" i="2864"/>
  <c r="W30" i="2864"/>
  <c r="W31" i="2864"/>
  <c r="W33" i="2864"/>
  <c r="W34" i="2864"/>
  <c r="W35" i="2864"/>
  <c r="W37" i="2864"/>
  <c r="W38" i="2864"/>
  <c r="W48" i="2864"/>
  <c r="N49" i="2864"/>
  <c r="N50" i="2864"/>
  <c r="R51" i="2864"/>
  <c r="R53" i="2864"/>
  <c r="S53" i="2864" s="1"/>
  <c r="N54" i="2864"/>
  <c r="R55" i="2864"/>
  <c r="S55" i="2864" s="1"/>
  <c r="N57" i="2864"/>
  <c r="R58" i="2864"/>
  <c r="S58" i="2864" s="1"/>
  <c r="R59" i="2864"/>
  <c r="S59" i="2864" s="1"/>
  <c r="N61" i="2864"/>
  <c r="N62" i="2864"/>
  <c r="N63" i="2864"/>
  <c r="R65" i="2864"/>
  <c r="S65" i="2864" s="1"/>
  <c r="N66" i="2864"/>
  <c r="R67" i="2864"/>
  <c r="S67" i="2864" s="1"/>
  <c r="N69" i="2864"/>
  <c r="X70" i="2864"/>
  <c r="Y70" i="2864" s="1"/>
  <c r="R71" i="2864"/>
  <c r="S71" i="2864" s="1"/>
  <c r="N73" i="2864"/>
  <c r="R74" i="2864"/>
  <c r="S74" i="2864" s="1"/>
  <c r="R75" i="2864"/>
  <c r="S75" i="2864" s="1"/>
  <c r="N48" i="2864"/>
  <c r="R5" i="2864"/>
  <c r="S5" i="2864" s="1"/>
  <c r="R6" i="2864"/>
  <c r="S6" i="2864" s="1"/>
  <c r="R7" i="2864"/>
  <c r="S7" i="2864" s="1"/>
  <c r="N9" i="2864"/>
  <c r="R10" i="2864"/>
  <c r="S10" i="2864" s="1"/>
  <c r="N11" i="2864"/>
  <c r="N13" i="2864"/>
  <c r="N14" i="2864"/>
  <c r="R15" i="2864"/>
  <c r="S15" i="2864" s="1"/>
  <c r="R17" i="2864"/>
  <c r="S17" i="2864" s="1"/>
  <c r="N18" i="2864"/>
  <c r="N19" i="2864"/>
  <c r="N21" i="2864"/>
  <c r="N22" i="2864"/>
  <c r="N23" i="2864"/>
  <c r="N25" i="2864"/>
  <c r="N26" i="2864"/>
  <c r="R27" i="2864"/>
  <c r="S27" i="2864" s="1"/>
  <c r="N29" i="2864"/>
  <c r="R30" i="2864"/>
  <c r="S30" i="2864" s="1"/>
  <c r="R31" i="2864"/>
  <c r="S31" i="2864" s="1"/>
  <c r="N34" i="2864"/>
  <c r="N35" i="2864"/>
  <c r="N37" i="2864"/>
  <c r="R38" i="2864"/>
  <c r="S38" i="2864" s="1"/>
  <c r="R4" i="2864"/>
  <c r="S4" i="2864" s="1"/>
  <c r="W7" i="2858"/>
  <c r="W6" i="2858"/>
  <c r="W5" i="2858"/>
  <c r="W4" i="2858"/>
  <c r="W7" i="2864"/>
  <c r="W6" i="2864"/>
  <c r="W5" i="2864"/>
  <c r="W4" i="2864"/>
  <c r="V13" i="2878"/>
  <c r="W13" i="2878" s="1"/>
  <c r="V12" i="2878"/>
  <c r="W12" i="2878" s="1"/>
  <c r="V11" i="2878"/>
  <c r="V10" i="2878"/>
  <c r="V9" i="2878"/>
  <c r="V8" i="2878"/>
  <c r="V7" i="2878"/>
  <c r="V6" i="2878"/>
  <c r="V5" i="2878"/>
  <c r="V4" i="2878"/>
  <c r="W4" i="2878" s="1"/>
  <c r="M82" i="2864"/>
  <c r="M43" i="2864"/>
  <c r="Z43" i="2864"/>
  <c r="Z82" i="2864"/>
  <c r="Z43" i="2858"/>
  <c r="Z82" i="2858"/>
  <c r="W104" i="2716"/>
  <c r="P64" i="2716"/>
  <c r="E117" i="2833" s="1"/>
  <c r="L104" i="2716"/>
  <c r="P104" i="2716"/>
  <c r="W64" i="2716"/>
  <c r="X59" i="2716"/>
  <c r="N59" i="2716"/>
  <c r="X99" i="2716"/>
  <c r="N99" i="2716"/>
  <c r="X98" i="2716"/>
  <c r="N98" i="2716"/>
  <c r="H98" i="2716"/>
  <c r="X97" i="2716"/>
  <c r="N97" i="2716"/>
  <c r="X96" i="2716"/>
  <c r="N96" i="2716"/>
  <c r="X95" i="2716"/>
  <c r="N95" i="2716"/>
  <c r="X94" i="2716"/>
  <c r="N94" i="2716"/>
  <c r="H94" i="2716"/>
  <c r="X93" i="2716"/>
  <c r="N93" i="2716"/>
  <c r="X92" i="2716"/>
  <c r="N92" i="2716"/>
  <c r="X91" i="2716"/>
  <c r="N91" i="2716"/>
  <c r="X90" i="2716"/>
  <c r="N90" i="2716"/>
  <c r="H90" i="2716"/>
  <c r="X89" i="2716"/>
  <c r="N89" i="2716"/>
  <c r="X88" i="2716"/>
  <c r="N88" i="2716"/>
  <c r="X87" i="2716"/>
  <c r="N87" i="2716"/>
  <c r="X86" i="2716"/>
  <c r="N86" i="2716"/>
  <c r="H86" i="2716"/>
  <c r="X85" i="2716"/>
  <c r="N85" i="2716"/>
  <c r="X84" i="2716"/>
  <c r="N84" i="2716"/>
  <c r="H84" i="2716"/>
  <c r="X83" i="2716"/>
  <c r="N83" i="2716"/>
  <c r="X82" i="2716"/>
  <c r="N82" i="2716"/>
  <c r="H82" i="2716"/>
  <c r="X81" i="2716"/>
  <c r="N81" i="2716"/>
  <c r="X80" i="2716"/>
  <c r="N80" i="2716"/>
  <c r="X79" i="2716"/>
  <c r="N79" i="2716"/>
  <c r="X78" i="2716"/>
  <c r="N78" i="2716"/>
  <c r="X77" i="2716"/>
  <c r="N77" i="2716"/>
  <c r="X76" i="2716"/>
  <c r="N76" i="2716"/>
  <c r="H76" i="2716"/>
  <c r="X75" i="2716"/>
  <c r="N75" i="2716"/>
  <c r="X74" i="2716"/>
  <c r="N74" i="2716"/>
  <c r="X73" i="2716"/>
  <c r="N73" i="2716"/>
  <c r="X72" i="2716"/>
  <c r="N72" i="2716"/>
  <c r="X71" i="2716"/>
  <c r="N71" i="2716"/>
  <c r="X70" i="2716"/>
  <c r="X104" i="2716" s="1"/>
  <c r="Y104" i="2716" s="1"/>
  <c r="N70" i="2716"/>
  <c r="H70" i="2716"/>
  <c r="X69" i="2716"/>
  <c r="N69" i="2716"/>
  <c r="G82" i="2864"/>
  <c r="AA77" i="2864"/>
  <c r="O77" i="2864"/>
  <c r="AA76" i="2864"/>
  <c r="O76" i="2864"/>
  <c r="AA75" i="2864"/>
  <c r="O75" i="2864"/>
  <c r="AA74" i="2864"/>
  <c r="O74" i="2864"/>
  <c r="AA73" i="2864"/>
  <c r="O73" i="2864"/>
  <c r="AA72" i="2864"/>
  <c r="O72" i="2864"/>
  <c r="AA71" i="2864"/>
  <c r="O71" i="2864"/>
  <c r="AA70" i="2864"/>
  <c r="O70" i="2864"/>
  <c r="AA69" i="2864"/>
  <c r="O69" i="2864"/>
  <c r="AA68" i="2864"/>
  <c r="O68" i="2864"/>
  <c r="AA67" i="2864"/>
  <c r="O67" i="2864"/>
  <c r="AA66" i="2864"/>
  <c r="O66" i="2864"/>
  <c r="AA65" i="2864"/>
  <c r="O65" i="2864"/>
  <c r="AA64" i="2864"/>
  <c r="O64" i="2864"/>
  <c r="AA63" i="2864"/>
  <c r="O63" i="2864"/>
  <c r="AA62" i="2864"/>
  <c r="O62" i="2864"/>
  <c r="AA61" i="2864"/>
  <c r="O61" i="2864"/>
  <c r="AA60" i="2864"/>
  <c r="O60" i="2864"/>
  <c r="AA59" i="2864"/>
  <c r="O59" i="2864"/>
  <c r="AA58" i="2864"/>
  <c r="O58" i="2864"/>
  <c r="AA57" i="2864"/>
  <c r="O57" i="2864"/>
  <c r="AA56" i="2864"/>
  <c r="O56" i="2864"/>
  <c r="AA55" i="2864"/>
  <c r="O55" i="2864"/>
  <c r="AA54" i="2864"/>
  <c r="O54" i="2864"/>
  <c r="AA53" i="2864"/>
  <c r="O53" i="2864"/>
  <c r="AA52" i="2864"/>
  <c r="O52" i="2864"/>
  <c r="AA51" i="2864"/>
  <c r="O51" i="2864"/>
  <c r="AA50" i="2864"/>
  <c r="O50" i="2864"/>
  <c r="AA49" i="2864"/>
  <c r="O49" i="2864"/>
  <c r="AA48" i="2864"/>
  <c r="O48" i="2864"/>
  <c r="G43" i="2864"/>
  <c r="AA38" i="2864"/>
  <c r="O38" i="2864"/>
  <c r="AA37" i="2864"/>
  <c r="O37" i="2864"/>
  <c r="AA36" i="2864"/>
  <c r="O36" i="2864"/>
  <c r="AA35" i="2864"/>
  <c r="O35" i="2864"/>
  <c r="AA34" i="2864"/>
  <c r="O34" i="2864"/>
  <c r="AA33" i="2864"/>
  <c r="O33" i="2864"/>
  <c r="AA32" i="2864"/>
  <c r="O32" i="2864"/>
  <c r="AA31" i="2864"/>
  <c r="O31" i="2864"/>
  <c r="AA30" i="2864"/>
  <c r="O30" i="2864"/>
  <c r="AA29" i="2864"/>
  <c r="O29" i="2864"/>
  <c r="AA28" i="2864"/>
  <c r="O28" i="2864"/>
  <c r="AA27" i="2864"/>
  <c r="O27" i="2864"/>
  <c r="AA26" i="2864"/>
  <c r="O26" i="2864"/>
  <c r="AA25" i="2864"/>
  <c r="O25" i="2864"/>
  <c r="AA24" i="2864"/>
  <c r="O24" i="2864"/>
  <c r="AA23" i="2864"/>
  <c r="O23" i="2864"/>
  <c r="AA22" i="2864"/>
  <c r="O22" i="2864"/>
  <c r="AA21" i="2864"/>
  <c r="O21" i="2864"/>
  <c r="AA20" i="2864"/>
  <c r="O20" i="2864"/>
  <c r="AA19" i="2864"/>
  <c r="O19" i="2864"/>
  <c r="AA18" i="2864"/>
  <c r="O18" i="2864"/>
  <c r="AA17" i="2864"/>
  <c r="O17" i="2864"/>
  <c r="AA16" i="2864"/>
  <c r="O16" i="2864"/>
  <c r="AA15" i="2864"/>
  <c r="O15" i="2864"/>
  <c r="AA14" i="2864"/>
  <c r="O14" i="2864"/>
  <c r="AA13" i="2864"/>
  <c r="O13" i="2864"/>
  <c r="AA12" i="2864"/>
  <c r="O12" i="2864"/>
  <c r="AA11" i="2864"/>
  <c r="O11" i="2864"/>
  <c r="AA10" i="2864"/>
  <c r="O10" i="2864"/>
  <c r="AA9" i="2864"/>
  <c r="O9" i="2864"/>
  <c r="AA7" i="2864"/>
  <c r="O7" i="2864"/>
  <c r="AA6" i="2864"/>
  <c r="O6" i="2864"/>
  <c r="AA5" i="2864"/>
  <c r="O5" i="2864"/>
  <c r="AA4" i="2864"/>
  <c r="O4" i="2864"/>
  <c r="M82" i="2858"/>
  <c r="G82" i="2858"/>
  <c r="AA77" i="2858"/>
  <c r="O77" i="2858"/>
  <c r="AA76" i="2858"/>
  <c r="O76" i="2858"/>
  <c r="AA75" i="2858"/>
  <c r="O75" i="2858"/>
  <c r="AA74" i="2858"/>
  <c r="O74" i="2858"/>
  <c r="AA73" i="2858"/>
  <c r="O73" i="2858"/>
  <c r="AA72" i="2858"/>
  <c r="O72" i="2858"/>
  <c r="AA71" i="2858"/>
  <c r="O71" i="2858"/>
  <c r="AA70" i="2858"/>
  <c r="O70" i="2858"/>
  <c r="AA69" i="2858"/>
  <c r="O69" i="2858"/>
  <c r="AA68" i="2858"/>
  <c r="O68" i="2858"/>
  <c r="AA67" i="2858"/>
  <c r="O67" i="2858"/>
  <c r="AA66" i="2858"/>
  <c r="O66" i="2858"/>
  <c r="AA65" i="2858"/>
  <c r="O65" i="2858"/>
  <c r="AA64" i="2858"/>
  <c r="O64" i="2858"/>
  <c r="AA63" i="2858"/>
  <c r="O63" i="2858"/>
  <c r="AA62" i="2858"/>
  <c r="O62" i="2858"/>
  <c r="AA61" i="2858"/>
  <c r="O61" i="2858"/>
  <c r="AA60" i="2858"/>
  <c r="O60" i="2858"/>
  <c r="AA59" i="2858"/>
  <c r="O59" i="2858"/>
  <c r="AA58" i="2858"/>
  <c r="O58" i="2858"/>
  <c r="AA57" i="2858"/>
  <c r="O57" i="2858"/>
  <c r="AA56" i="2858"/>
  <c r="O56" i="2858"/>
  <c r="AA55" i="2858"/>
  <c r="O55" i="2858"/>
  <c r="AA54" i="2858"/>
  <c r="O54" i="2858"/>
  <c r="AA53" i="2858"/>
  <c r="O53" i="2858"/>
  <c r="AA52" i="2858"/>
  <c r="O52" i="2858"/>
  <c r="AA51" i="2858"/>
  <c r="O51" i="2858"/>
  <c r="AA50" i="2858"/>
  <c r="O50" i="2858"/>
  <c r="AA49" i="2858"/>
  <c r="O49" i="2858"/>
  <c r="AA48" i="2858"/>
  <c r="O48" i="2858"/>
  <c r="O82" i="2858"/>
  <c r="H18" i="2716"/>
  <c r="H19" i="2716"/>
  <c r="H21" i="2716"/>
  <c r="H22" i="2716"/>
  <c r="H25" i="2716"/>
  <c r="H26" i="2716"/>
  <c r="H29" i="2716"/>
  <c r="H30" i="2716"/>
  <c r="H33" i="2716"/>
  <c r="H34" i="2716"/>
  <c r="H35" i="2716"/>
  <c r="H37" i="2716"/>
  <c r="H38" i="2716"/>
  <c r="H41" i="2716"/>
  <c r="H42" i="2716"/>
  <c r="H45" i="2716"/>
  <c r="H46" i="2716"/>
  <c r="H49" i="2716"/>
  <c r="H50" i="2716"/>
  <c r="H51" i="2716"/>
  <c r="H53" i="2716"/>
  <c r="H54" i="2716"/>
  <c r="H57" i="2716"/>
  <c r="H58" i="2716"/>
  <c r="H17" i="2716"/>
  <c r="X18" i="2716"/>
  <c r="X19" i="2716"/>
  <c r="X20" i="2716"/>
  <c r="X64" i="2716" s="1"/>
  <c r="X21" i="2716"/>
  <c r="X22" i="2716"/>
  <c r="X23" i="2716"/>
  <c r="X24" i="2716"/>
  <c r="X25" i="2716"/>
  <c r="X26" i="2716"/>
  <c r="X27" i="2716"/>
  <c r="X28" i="2716"/>
  <c r="X29" i="2716"/>
  <c r="X30" i="2716"/>
  <c r="X31" i="2716"/>
  <c r="X32" i="2716"/>
  <c r="X33" i="2716"/>
  <c r="X34" i="2716"/>
  <c r="X35" i="2716"/>
  <c r="X36" i="2716"/>
  <c r="X37" i="2716"/>
  <c r="X38" i="2716"/>
  <c r="X39" i="2716"/>
  <c r="X40" i="2716"/>
  <c r="X41" i="2716"/>
  <c r="X42" i="2716"/>
  <c r="X43" i="2716"/>
  <c r="X44" i="2716"/>
  <c r="X45" i="2716"/>
  <c r="X46" i="2716"/>
  <c r="X47" i="2716"/>
  <c r="X48" i="2716"/>
  <c r="X49" i="2716"/>
  <c r="X50" i="2716"/>
  <c r="X51" i="2716"/>
  <c r="X52" i="2716"/>
  <c r="X53" i="2716"/>
  <c r="X54" i="2716"/>
  <c r="X55" i="2716"/>
  <c r="X56" i="2716"/>
  <c r="X57" i="2716"/>
  <c r="X58" i="2716"/>
  <c r="X17" i="2716"/>
  <c r="M43" i="2858"/>
  <c r="G43" i="2858"/>
  <c r="AA38" i="2858"/>
  <c r="O38" i="2858"/>
  <c r="AA37" i="2858"/>
  <c r="O37" i="2858"/>
  <c r="AA36" i="2858"/>
  <c r="O36" i="2858"/>
  <c r="AA35" i="2858"/>
  <c r="O35" i="2858"/>
  <c r="AA34" i="2858"/>
  <c r="O34" i="2858"/>
  <c r="AA33" i="2858"/>
  <c r="O33" i="2858"/>
  <c r="AA32" i="2858"/>
  <c r="O32" i="2858"/>
  <c r="AA31" i="2858"/>
  <c r="O31" i="2858"/>
  <c r="AA30" i="2858"/>
  <c r="O30" i="2858"/>
  <c r="AA29" i="2858"/>
  <c r="O29" i="2858"/>
  <c r="AA28" i="2858"/>
  <c r="O28" i="2858"/>
  <c r="AA27" i="2858"/>
  <c r="O27" i="2858"/>
  <c r="AA26" i="2858"/>
  <c r="O26" i="2858"/>
  <c r="AA25" i="2858"/>
  <c r="O25" i="2858"/>
  <c r="AA24" i="2858"/>
  <c r="O24" i="2858"/>
  <c r="AA23" i="2858"/>
  <c r="O23" i="2858"/>
  <c r="AA22" i="2858"/>
  <c r="O22" i="2858"/>
  <c r="AA21" i="2858"/>
  <c r="O21" i="2858"/>
  <c r="AA20" i="2858"/>
  <c r="O20" i="2858"/>
  <c r="AA19" i="2858"/>
  <c r="O19" i="2858"/>
  <c r="AA18" i="2858"/>
  <c r="O18" i="2858"/>
  <c r="AA17" i="2858"/>
  <c r="O17" i="2858"/>
  <c r="AA16" i="2858"/>
  <c r="O16" i="2858"/>
  <c r="AA15" i="2858"/>
  <c r="O15" i="2858"/>
  <c r="AA14" i="2858"/>
  <c r="O14" i="2858"/>
  <c r="AA13" i="2858"/>
  <c r="O13" i="2858"/>
  <c r="AA12" i="2858"/>
  <c r="AA43" i="2858"/>
  <c r="O12" i="2858"/>
  <c r="AA11" i="2858"/>
  <c r="O11" i="2858"/>
  <c r="AA10" i="2858"/>
  <c r="O10" i="2858"/>
  <c r="AA9" i="2858"/>
  <c r="O9" i="2858"/>
  <c r="AA7" i="2858"/>
  <c r="O7" i="2858"/>
  <c r="AA6" i="2858"/>
  <c r="O6" i="2858"/>
  <c r="AA5" i="2858"/>
  <c r="O5" i="2858"/>
  <c r="AA4" i="2858"/>
  <c r="O4" i="2858"/>
  <c r="N89" i="2827"/>
  <c r="N87" i="2828"/>
  <c r="N86" i="2829"/>
  <c r="N87" i="2832"/>
  <c r="N89" i="2840"/>
  <c r="N88" i="2843"/>
  <c r="N89" i="2844"/>
  <c r="N90" i="2845"/>
  <c r="N88" i="2846"/>
  <c r="N86" i="2848"/>
  <c r="S100" i="2851"/>
  <c r="M100" i="2851"/>
  <c r="K100" i="2851"/>
  <c r="I100" i="2851"/>
  <c r="C100" i="2851"/>
  <c r="S99" i="2851"/>
  <c r="M99" i="2851"/>
  <c r="K99" i="2851"/>
  <c r="I99" i="2851"/>
  <c r="C99" i="2851"/>
  <c r="S98" i="2851"/>
  <c r="M98" i="2851"/>
  <c r="K98" i="2851"/>
  <c r="I98" i="2851"/>
  <c r="C98" i="2851"/>
  <c r="L100" i="2851"/>
  <c r="N100" i="2851"/>
  <c r="O121" i="2851"/>
  <c r="O122" i="2851"/>
  <c r="S96" i="2851"/>
  <c r="M96" i="2851"/>
  <c r="K96" i="2851"/>
  <c r="I96" i="2851"/>
  <c r="C96" i="2851"/>
  <c r="S95" i="2851"/>
  <c r="M95" i="2851"/>
  <c r="K95" i="2851"/>
  <c r="I95" i="2851"/>
  <c r="C95" i="2851"/>
  <c r="S94" i="2851"/>
  <c r="M94" i="2851"/>
  <c r="K94" i="2851"/>
  <c r="I94" i="2851"/>
  <c r="C94" i="2851"/>
  <c r="Q115" i="2851"/>
  <c r="S92" i="2851"/>
  <c r="M92" i="2851"/>
  <c r="K92" i="2851"/>
  <c r="I92" i="2851"/>
  <c r="C92" i="2851"/>
  <c r="S91" i="2851"/>
  <c r="M91" i="2851"/>
  <c r="K91" i="2851"/>
  <c r="I91" i="2851"/>
  <c r="C91" i="2851"/>
  <c r="L115" i="2851"/>
  <c r="S89" i="2851"/>
  <c r="M89" i="2851"/>
  <c r="K89" i="2851"/>
  <c r="C89" i="2851"/>
  <c r="S88" i="2851"/>
  <c r="M88" i="2851"/>
  <c r="K88" i="2851"/>
  <c r="C88" i="2851"/>
  <c r="N57" i="2716"/>
  <c r="L88" i="2851"/>
  <c r="E115" i="2851"/>
  <c r="S83" i="2851"/>
  <c r="O83" i="2851"/>
  <c r="K83" i="2851"/>
  <c r="C83" i="2851"/>
  <c r="S82" i="2851"/>
  <c r="O82" i="2851"/>
  <c r="K82" i="2851"/>
  <c r="C82" i="2851"/>
  <c r="J83" i="2851"/>
  <c r="J82" i="2851"/>
  <c r="O80" i="2851"/>
  <c r="S81" i="2851"/>
  <c r="O81" i="2851"/>
  <c r="K81" i="2851"/>
  <c r="C81" i="2851"/>
  <c r="S80" i="2851"/>
  <c r="K80" i="2851"/>
  <c r="C80" i="2851"/>
  <c r="J81" i="2851"/>
  <c r="J80" i="2851"/>
  <c r="S75" i="2851"/>
  <c r="O75" i="2851"/>
  <c r="K75" i="2851"/>
  <c r="C75" i="2851"/>
  <c r="S74" i="2851"/>
  <c r="O74" i="2851"/>
  <c r="K74" i="2851"/>
  <c r="C74" i="2851"/>
  <c r="J75" i="2851"/>
  <c r="J74" i="2851"/>
  <c r="S73" i="2851"/>
  <c r="O73" i="2851"/>
  <c r="K73" i="2851"/>
  <c r="C73" i="2851"/>
  <c r="S72" i="2851"/>
  <c r="O72" i="2851"/>
  <c r="K72" i="2851"/>
  <c r="C72" i="2851"/>
  <c r="J73" i="2851"/>
  <c r="J72" i="2851"/>
  <c r="S60" i="2851"/>
  <c r="O60" i="2851"/>
  <c r="K60" i="2851"/>
  <c r="J60" i="2851"/>
  <c r="C60" i="2851"/>
  <c r="S59" i="2851"/>
  <c r="O59" i="2851"/>
  <c r="K59" i="2851"/>
  <c r="C59" i="2851"/>
  <c r="J59" i="2851"/>
  <c r="S58" i="2851"/>
  <c r="O58" i="2851"/>
  <c r="K58" i="2851"/>
  <c r="J58" i="2851"/>
  <c r="C58" i="2851"/>
  <c r="S57" i="2851"/>
  <c r="O57" i="2851"/>
  <c r="K57" i="2851"/>
  <c r="J57" i="2851"/>
  <c r="C57" i="2851"/>
  <c r="S56" i="2851"/>
  <c r="O56" i="2851"/>
  <c r="K56" i="2851"/>
  <c r="C56" i="2851"/>
  <c r="S55" i="2851"/>
  <c r="O55" i="2851"/>
  <c r="K55" i="2851"/>
  <c r="C55" i="2851"/>
  <c r="J56" i="2851"/>
  <c r="J55" i="2851"/>
  <c r="S52" i="2851"/>
  <c r="O52" i="2851"/>
  <c r="K52" i="2851"/>
  <c r="C52" i="2851"/>
  <c r="S51" i="2851"/>
  <c r="O51" i="2851"/>
  <c r="K51" i="2851"/>
  <c r="C51" i="2851"/>
  <c r="J52" i="2851"/>
  <c r="J51" i="2851"/>
  <c r="S23" i="2851"/>
  <c r="O23" i="2851"/>
  <c r="J23" i="2851"/>
  <c r="G23" i="2851"/>
  <c r="F23" i="2851"/>
  <c r="O22" i="2851"/>
  <c r="J22" i="2851"/>
  <c r="G22" i="2851"/>
  <c r="F22" i="2851"/>
  <c r="S21" i="2851"/>
  <c r="O21" i="2851"/>
  <c r="J21" i="2851"/>
  <c r="F21" i="2851"/>
  <c r="K73" i="2085"/>
  <c r="I73" i="2085"/>
  <c r="H73" i="2085"/>
  <c r="K72" i="2085"/>
  <c r="Q72" i="2085"/>
  <c r="I72" i="2085"/>
  <c r="H72" i="2085"/>
  <c r="L71" i="2085"/>
  <c r="K71" i="2085"/>
  <c r="G21" i="2851"/>
  <c r="S18" i="2851"/>
  <c r="O18" i="2851"/>
  <c r="J18" i="2851"/>
  <c r="F18" i="2851"/>
  <c r="S17" i="2851"/>
  <c r="O17" i="2851"/>
  <c r="G17" i="2851"/>
  <c r="F17" i="2851"/>
  <c r="K67" i="2721"/>
  <c r="G18" i="2851"/>
  <c r="I67" i="2721"/>
  <c r="H67" i="2721"/>
  <c r="L66" i="2721"/>
  <c r="J17" i="2851"/>
  <c r="K66" i="2721"/>
  <c r="I66" i="2721"/>
  <c r="H66" i="2721"/>
  <c r="S14" i="2851"/>
  <c r="O14" i="2851"/>
  <c r="J14" i="2851"/>
  <c r="G14" i="2851"/>
  <c r="F14" i="2851"/>
  <c r="O13" i="2851"/>
  <c r="J13" i="2851"/>
  <c r="G13" i="2851"/>
  <c r="F13" i="2851"/>
  <c r="S12" i="2851"/>
  <c r="O12" i="2851"/>
  <c r="J12" i="2851"/>
  <c r="F12" i="2851"/>
  <c r="K70" i="2723"/>
  <c r="I70" i="2723"/>
  <c r="S11" i="2851"/>
  <c r="O11" i="2851"/>
  <c r="J11" i="2851"/>
  <c r="G11" i="2851"/>
  <c r="F11" i="2851"/>
  <c r="K72" i="2724"/>
  <c r="Q72" i="2724"/>
  <c r="I72" i="2724"/>
  <c r="H72" i="2724"/>
  <c r="K69" i="2723"/>
  <c r="P69" i="2723"/>
  <c r="K68" i="2723"/>
  <c r="G12" i="2851"/>
  <c r="I68" i="2723"/>
  <c r="O10" i="2851"/>
  <c r="J10" i="2851"/>
  <c r="G10" i="2851"/>
  <c r="F10" i="2851"/>
  <c r="S9" i="2851"/>
  <c r="O9" i="2851"/>
  <c r="J9" i="2851"/>
  <c r="G9" i="2851"/>
  <c r="F9" i="2851"/>
  <c r="K71" i="2724"/>
  <c r="Q71" i="2724"/>
  <c r="K70" i="2724"/>
  <c r="Q70" i="2724"/>
  <c r="I70" i="2724"/>
  <c r="H70" i="2724"/>
  <c r="Q116" i="2851"/>
  <c r="L116" i="2851"/>
  <c r="E116" i="2851"/>
  <c r="M111" i="2851"/>
  <c r="C111" i="2851"/>
  <c r="M110" i="2851"/>
  <c r="C110" i="2851"/>
  <c r="M109" i="2851"/>
  <c r="C109" i="2851"/>
  <c r="M108" i="2851"/>
  <c r="C108" i="2851"/>
  <c r="M107" i="2851"/>
  <c r="C107" i="2851"/>
  <c r="M106" i="2851"/>
  <c r="C106" i="2851"/>
  <c r="M105" i="2851"/>
  <c r="C105" i="2851"/>
  <c r="M104" i="2851"/>
  <c r="C104" i="2851"/>
  <c r="M103" i="2851"/>
  <c r="C103" i="2851"/>
  <c r="M102" i="2851"/>
  <c r="C102" i="2851"/>
  <c r="I32" i="2851"/>
  <c r="N30" i="2851"/>
  <c r="N29" i="2851"/>
  <c r="N28" i="2851"/>
  <c r="N27" i="2851"/>
  <c r="N26" i="2851"/>
  <c r="N25" i="2851"/>
  <c r="S100" i="2850"/>
  <c r="M100" i="2850"/>
  <c r="K100" i="2850"/>
  <c r="I100" i="2850"/>
  <c r="C100" i="2850"/>
  <c r="S99" i="2850"/>
  <c r="M99" i="2850"/>
  <c r="K99" i="2850"/>
  <c r="I99" i="2850"/>
  <c r="C99" i="2850"/>
  <c r="S98" i="2850"/>
  <c r="M98" i="2850"/>
  <c r="K98" i="2850"/>
  <c r="I98" i="2850"/>
  <c r="C98" i="2850"/>
  <c r="S97" i="2850"/>
  <c r="M97" i="2850"/>
  <c r="K97" i="2850"/>
  <c r="I97" i="2850"/>
  <c r="C97" i="2850"/>
  <c r="S96" i="2850"/>
  <c r="M96" i="2850"/>
  <c r="K96" i="2850"/>
  <c r="I96" i="2850"/>
  <c r="C96" i="2850"/>
  <c r="O122" i="2850"/>
  <c r="O123" i="2850"/>
  <c r="S95" i="2850"/>
  <c r="M95" i="2850"/>
  <c r="K95" i="2850"/>
  <c r="I95" i="2850"/>
  <c r="C95" i="2850"/>
  <c r="S94" i="2850"/>
  <c r="M94" i="2850"/>
  <c r="K94" i="2850"/>
  <c r="I94" i="2850"/>
  <c r="C94" i="2850"/>
  <c r="S93" i="2850"/>
  <c r="M93" i="2850"/>
  <c r="K93" i="2850"/>
  <c r="I93" i="2850"/>
  <c r="C93" i="2850"/>
  <c r="S92" i="2850"/>
  <c r="M92" i="2850"/>
  <c r="K92" i="2850"/>
  <c r="I92" i="2850"/>
  <c r="C92" i="2850"/>
  <c r="Q116" i="2850"/>
  <c r="Q117" i="2850"/>
  <c r="S90" i="2850"/>
  <c r="M90" i="2850"/>
  <c r="K90" i="2850"/>
  <c r="I90" i="2850"/>
  <c r="C90" i="2850"/>
  <c r="S89" i="2850"/>
  <c r="M89" i="2850"/>
  <c r="K89" i="2850"/>
  <c r="I89" i="2850"/>
  <c r="C89" i="2850"/>
  <c r="L116" i="2850"/>
  <c r="S87" i="2850"/>
  <c r="M87" i="2850"/>
  <c r="K87" i="2850"/>
  <c r="C87" i="2850"/>
  <c r="E116" i="2850"/>
  <c r="S84" i="2850"/>
  <c r="O84" i="2850"/>
  <c r="K84" i="2850"/>
  <c r="C84" i="2850"/>
  <c r="J84" i="2850"/>
  <c r="S80" i="2850"/>
  <c r="O80" i="2850"/>
  <c r="K80" i="2850"/>
  <c r="C80" i="2850"/>
  <c r="S79" i="2850"/>
  <c r="C79" i="2850"/>
  <c r="J80" i="2850"/>
  <c r="K79" i="2850"/>
  <c r="J79" i="2850"/>
  <c r="S74" i="2850"/>
  <c r="O74" i="2850"/>
  <c r="K74" i="2850"/>
  <c r="C74" i="2850"/>
  <c r="J74" i="2850"/>
  <c r="S72" i="2850"/>
  <c r="O72" i="2850"/>
  <c r="K72" i="2850"/>
  <c r="C72" i="2850"/>
  <c r="O71" i="2850"/>
  <c r="K71" i="2850"/>
  <c r="C71" i="2850"/>
  <c r="S70" i="2850"/>
  <c r="O70" i="2850"/>
  <c r="K70" i="2850"/>
  <c r="C70" i="2850"/>
  <c r="J71" i="2850"/>
  <c r="J70" i="2850"/>
  <c r="S64" i="2850"/>
  <c r="O64" i="2850"/>
  <c r="K64" i="2850"/>
  <c r="C64" i="2850"/>
  <c r="S63" i="2850"/>
  <c r="O63" i="2850"/>
  <c r="C63" i="2850"/>
  <c r="J64" i="2850"/>
  <c r="K63" i="2850"/>
  <c r="J63" i="2850"/>
  <c r="O58" i="2850"/>
  <c r="K58" i="2850"/>
  <c r="C58" i="2850"/>
  <c r="S57" i="2850"/>
  <c r="O57" i="2850"/>
  <c r="K57" i="2850"/>
  <c r="J57" i="2850"/>
  <c r="C57" i="2850"/>
  <c r="S56" i="2850"/>
  <c r="O56" i="2850"/>
  <c r="C56" i="2850"/>
  <c r="J58" i="2850"/>
  <c r="K56" i="2850"/>
  <c r="J56" i="2850"/>
  <c r="S55" i="2850"/>
  <c r="O55" i="2850"/>
  <c r="J55" i="2850"/>
  <c r="C55" i="2850"/>
  <c r="S54" i="2850"/>
  <c r="O54" i="2850"/>
  <c r="J54" i="2850"/>
  <c r="C54" i="2850"/>
  <c r="K55" i="2850"/>
  <c r="K54" i="2850"/>
  <c r="S53" i="2850"/>
  <c r="O53" i="2850"/>
  <c r="K53" i="2850"/>
  <c r="C53" i="2850"/>
  <c r="S52" i="2850"/>
  <c r="O52" i="2850"/>
  <c r="K52" i="2850"/>
  <c r="C52" i="2850"/>
  <c r="J53" i="2850"/>
  <c r="J52" i="2850"/>
  <c r="S51" i="2850"/>
  <c r="O51" i="2850"/>
  <c r="K51" i="2850"/>
  <c r="J51" i="2850"/>
  <c r="C51" i="2850"/>
  <c r="S50" i="2850"/>
  <c r="O50" i="2850"/>
  <c r="K50" i="2850"/>
  <c r="C50" i="2850"/>
  <c r="J50" i="2850"/>
  <c r="S49" i="2850"/>
  <c r="O49" i="2850"/>
  <c r="K49" i="2850"/>
  <c r="J49" i="2850"/>
  <c r="C49" i="2850"/>
  <c r="S48" i="2850"/>
  <c r="O48" i="2850"/>
  <c r="K48" i="2850"/>
  <c r="C48" i="2850"/>
  <c r="J48" i="2850"/>
  <c r="S20" i="2850"/>
  <c r="O20" i="2850"/>
  <c r="J20" i="2850"/>
  <c r="F20" i="2850"/>
  <c r="S19" i="2850"/>
  <c r="O19" i="2850"/>
  <c r="J19" i="2850"/>
  <c r="G19" i="2850"/>
  <c r="F19" i="2850"/>
  <c r="K70" i="2085"/>
  <c r="G20" i="2850"/>
  <c r="N20" i="2850"/>
  <c r="H70" i="2085"/>
  <c r="K69" i="2085"/>
  <c r="I69" i="2085"/>
  <c r="H69" i="2085"/>
  <c r="S12" i="2850"/>
  <c r="O12" i="2850"/>
  <c r="J12" i="2850"/>
  <c r="F12" i="2850"/>
  <c r="S11" i="2850"/>
  <c r="O11" i="2850"/>
  <c r="J11" i="2850"/>
  <c r="F11" i="2850"/>
  <c r="K67" i="2723"/>
  <c r="G12" i="2850"/>
  <c r="N12" i="2850"/>
  <c r="I67" i="2723"/>
  <c r="K66" i="2723"/>
  <c r="Q66" i="2723"/>
  <c r="I66" i="2723"/>
  <c r="S10" i="2850"/>
  <c r="O10" i="2850"/>
  <c r="J10" i="2850"/>
  <c r="F10" i="2850"/>
  <c r="S9" i="2850"/>
  <c r="O9" i="2850"/>
  <c r="J9" i="2850"/>
  <c r="G9" i="2850"/>
  <c r="F9" i="2850"/>
  <c r="K69" i="2724"/>
  <c r="G10" i="2850"/>
  <c r="N10" i="2850"/>
  <c r="I69" i="2724"/>
  <c r="H69" i="2724"/>
  <c r="K68" i="2724"/>
  <c r="I68" i="2724"/>
  <c r="H68" i="2724"/>
  <c r="L117" i="2850"/>
  <c r="E117" i="2850"/>
  <c r="M112" i="2850"/>
  <c r="C112" i="2850"/>
  <c r="M111" i="2850"/>
  <c r="C111" i="2850"/>
  <c r="M110" i="2850"/>
  <c r="C110" i="2850"/>
  <c r="M109" i="2850"/>
  <c r="C109" i="2850"/>
  <c r="M108" i="2850"/>
  <c r="C108" i="2850"/>
  <c r="M107" i="2850"/>
  <c r="C107" i="2850"/>
  <c r="M106" i="2850"/>
  <c r="C106" i="2850"/>
  <c r="M105" i="2850"/>
  <c r="C105" i="2850"/>
  <c r="M104" i="2850"/>
  <c r="C104" i="2850"/>
  <c r="M103" i="2850"/>
  <c r="C103" i="2850"/>
  <c r="I29" i="2850"/>
  <c r="N27" i="2850"/>
  <c r="N26" i="2850"/>
  <c r="N25" i="2850"/>
  <c r="N24" i="2850"/>
  <c r="N23" i="2850"/>
  <c r="N22" i="2850"/>
  <c r="S64" i="2849"/>
  <c r="O64" i="2849"/>
  <c r="S94" i="2849"/>
  <c r="M94" i="2849"/>
  <c r="K94" i="2849"/>
  <c r="I94" i="2849"/>
  <c r="C94" i="2849"/>
  <c r="S93" i="2849"/>
  <c r="M93" i="2849"/>
  <c r="K93" i="2849"/>
  <c r="I93" i="2849"/>
  <c r="C93" i="2849"/>
  <c r="O116" i="2849"/>
  <c r="O117" i="2849"/>
  <c r="S92" i="2849"/>
  <c r="M92" i="2849"/>
  <c r="K92" i="2849"/>
  <c r="I92" i="2849"/>
  <c r="C92" i="2849"/>
  <c r="S91" i="2849"/>
  <c r="M91" i="2849"/>
  <c r="K91" i="2849"/>
  <c r="I91" i="2849"/>
  <c r="C91" i="2849"/>
  <c r="Q110" i="2849"/>
  <c r="Q111" i="2849"/>
  <c r="S89" i="2849"/>
  <c r="M89" i="2849"/>
  <c r="K89" i="2849"/>
  <c r="I89" i="2849"/>
  <c r="C89" i="2849"/>
  <c r="L110" i="2849"/>
  <c r="L111" i="2849"/>
  <c r="S87" i="2849"/>
  <c r="M87" i="2849"/>
  <c r="K87" i="2849"/>
  <c r="C87" i="2849"/>
  <c r="E110" i="2849"/>
  <c r="E111" i="2849"/>
  <c r="S84" i="2849"/>
  <c r="O84" i="2849"/>
  <c r="K84" i="2849"/>
  <c r="J84" i="2849"/>
  <c r="C84" i="2849"/>
  <c r="S83" i="2849"/>
  <c r="K83" i="2849"/>
  <c r="C83" i="2849"/>
  <c r="J83" i="2849"/>
  <c r="S80" i="2849"/>
  <c r="O80" i="2849"/>
  <c r="C80" i="2849"/>
  <c r="S79" i="2849"/>
  <c r="O79" i="2849"/>
  <c r="K79" i="2849"/>
  <c r="J79" i="2849"/>
  <c r="C79" i="2849"/>
  <c r="K80" i="2849"/>
  <c r="J80" i="2849"/>
  <c r="L79" i="2849"/>
  <c r="S73" i="2849"/>
  <c r="O73" i="2849"/>
  <c r="K73" i="2849"/>
  <c r="J73" i="2849"/>
  <c r="C73" i="2849"/>
  <c r="S72" i="2849"/>
  <c r="O72" i="2849"/>
  <c r="K72" i="2849"/>
  <c r="J72" i="2849"/>
  <c r="C72" i="2849"/>
  <c r="S71" i="2849"/>
  <c r="O71" i="2849"/>
  <c r="J71" i="2849"/>
  <c r="C71" i="2849"/>
  <c r="K71" i="2849"/>
  <c r="K85" i="2849" s="1"/>
  <c r="S59" i="2849"/>
  <c r="O59" i="2849"/>
  <c r="K59" i="2849"/>
  <c r="C59" i="2849"/>
  <c r="S58" i="2849"/>
  <c r="O58" i="2849"/>
  <c r="K58" i="2849"/>
  <c r="C58" i="2849"/>
  <c r="J59" i="2849"/>
  <c r="J58" i="2849"/>
  <c r="S57" i="2849"/>
  <c r="O57" i="2849"/>
  <c r="K57" i="2849"/>
  <c r="C57" i="2849"/>
  <c r="S56" i="2849"/>
  <c r="O56" i="2849"/>
  <c r="J56" i="2849"/>
  <c r="C56" i="2849"/>
  <c r="J57" i="2849"/>
  <c r="K56" i="2849"/>
  <c r="S55" i="2849"/>
  <c r="O55" i="2849"/>
  <c r="K55" i="2849"/>
  <c r="C55" i="2849"/>
  <c r="S54" i="2849"/>
  <c r="O54" i="2849"/>
  <c r="K54" i="2849"/>
  <c r="C54" i="2849"/>
  <c r="J55" i="2849"/>
  <c r="J54" i="2849"/>
  <c r="S53" i="2849"/>
  <c r="O53" i="2849"/>
  <c r="K53" i="2849"/>
  <c r="J53" i="2849"/>
  <c r="C53" i="2849"/>
  <c r="O52" i="2849"/>
  <c r="K52" i="2849"/>
  <c r="C52" i="2849"/>
  <c r="S51" i="2849"/>
  <c r="O51" i="2849"/>
  <c r="J51" i="2849"/>
  <c r="C51" i="2849"/>
  <c r="K51" i="2849"/>
  <c r="J52" i="2849"/>
  <c r="S50" i="2849"/>
  <c r="O50" i="2849"/>
  <c r="K50" i="2849"/>
  <c r="J50" i="2849"/>
  <c r="C50" i="2849"/>
  <c r="S49" i="2849"/>
  <c r="O49" i="2849"/>
  <c r="C49" i="2849"/>
  <c r="K49" i="2849"/>
  <c r="J49" i="2849"/>
  <c r="O21" i="2849"/>
  <c r="J21" i="2849"/>
  <c r="G21" i="2849"/>
  <c r="F21" i="2849"/>
  <c r="S20" i="2849"/>
  <c r="O20" i="2849"/>
  <c r="J20" i="2849"/>
  <c r="G20" i="2849"/>
  <c r="F20" i="2849"/>
  <c r="S19" i="2849"/>
  <c r="O19" i="2849"/>
  <c r="J19" i="2849"/>
  <c r="F19" i="2849"/>
  <c r="K68" i="2085"/>
  <c r="I68" i="2085"/>
  <c r="H68" i="2085"/>
  <c r="K67" i="2085"/>
  <c r="I66" i="2085"/>
  <c r="K66" i="2085"/>
  <c r="G19" i="2849"/>
  <c r="H66" i="2085"/>
  <c r="S12" i="2849"/>
  <c r="O12" i="2849"/>
  <c r="J12" i="2849"/>
  <c r="F12" i="2849"/>
  <c r="S11" i="2849"/>
  <c r="O11" i="2849"/>
  <c r="K11" i="2849"/>
  <c r="J11" i="2849"/>
  <c r="G11" i="2849"/>
  <c r="F11" i="2849"/>
  <c r="K65" i="2723"/>
  <c r="G12" i="2849"/>
  <c r="I65" i="2723"/>
  <c r="K64" i="2723"/>
  <c r="I64" i="2723"/>
  <c r="R67" i="2723"/>
  <c r="Q67" i="2723"/>
  <c r="P67" i="2723"/>
  <c r="K12" i="2850"/>
  <c r="R66" i="2723"/>
  <c r="P66" i="2723"/>
  <c r="K11" i="2850"/>
  <c r="R65" i="2723"/>
  <c r="R64" i="2723"/>
  <c r="Q64" i="2723"/>
  <c r="P64" i="2723"/>
  <c r="S10" i="2849"/>
  <c r="O10" i="2849"/>
  <c r="J10" i="2849"/>
  <c r="F10" i="2849"/>
  <c r="S9" i="2849"/>
  <c r="O9" i="2849"/>
  <c r="J9" i="2849"/>
  <c r="F9" i="2849"/>
  <c r="K67" i="2724"/>
  <c r="G10" i="2849"/>
  <c r="I67" i="2724"/>
  <c r="H67" i="2724"/>
  <c r="K66" i="2724"/>
  <c r="G9" i="2849"/>
  <c r="I66" i="2724"/>
  <c r="H66" i="2724"/>
  <c r="M106" i="2849"/>
  <c r="C106" i="2849"/>
  <c r="M105" i="2849"/>
  <c r="C105" i="2849"/>
  <c r="M104" i="2849"/>
  <c r="C104" i="2849"/>
  <c r="M103" i="2849"/>
  <c r="C103" i="2849"/>
  <c r="M102" i="2849"/>
  <c r="C102" i="2849"/>
  <c r="M101" i="2849"/>
  <c r="C101" i="2849"/>
  <c r="M100" i="2849"/>
  <c r="C100" i="2849"/>
  <c r="M99" i="2849"/>
  <c r="C99" i="2849"/>
  <c r="M98" i="2849"/>
  <c r="C98" i="2849"/>
  <c r="M97" i="2849"/>
  <c r="C97" i="2849"/>
  <c r="I30" i="2849"/>
  <c r="N28" i="2849"/>
  <c r="N27" i="2849"/>
  <c r="N26" i="2849"/>
  <c r="N25" i="2849"/>
  <c r="N24" i="2849"/>
  <c r="N23" i="2849"/>
  <c r="S94" i="2848"/>
  <c r="M94" i="2848"/>
  <c r="K94" i="2848"/>
  <c r="I94" i="2848"/>
  <c r="C94" i="2848"/>
  <c r="S93" i="2848"/>
  <c r="M93" i="2848"/>
  <c r="K93" i="2848"/>
  <c r="I93" i="2848"/>
  <c r="C93" i="2848"/>
  <c r="S92" i="2848"/>
  <c r="M92" i="2848"/>
  <c r="K92" i="2848"/>
  <c r="I92" i="2848"/>
  <c r="C92" i="2848"/>
  <c r="S91" i="2848"/>
  <c r="M91" i="2848"/>
  <c r="K91" i="2848"/>
  <c r="I91" i="2848"/>
  <c r="C91" i="2848"/>
  <c r="O115" i="2848"/>
  <c r="S89" i="2848"/>
  <c r="M89" i="2848"/>
  <c r="K89" i="2848"/>
  <c r="I89" i="2848"/>
  <c r="C89" i="2848"/>
  <c r="Q109" i="2848"/>
  <c r="Q110" i="2848"/>
  <c r="S87" i="2848"/>
  <c r="M87" i="2848"/>
  <c r="K87" i="2848"/>
  <c r="I87" i="2848"/>
  <c r="C87" i="2848"/>
  <c r="L109" i="2848"/>
  <c r="L110" i="2848"/>
  <c r="S86" i="2848"/>
  <c r="M86" i="2848"/>
  <c r="K86" i="2848"/>
  <c r="I86" i="2848"/>
  <c r="C86" i="2848"/>
  <c r="S85" i="2848"/>
  <c r="M85" i="2848"/>
  <c r="K85" i="2848"/>
  <c r="C85" i="2848"/>
  <c r="N53" i="2716"/>
  <c r="N52" i="2716"/>
  <c r="E109" i="2848"/>
  <c r="S82" i="2848"/>
  <c r="O82" i="2848"/>
  <c r="K82" i="2848"/>
  <c r="C82" i="2848"/>
  <c r="S81" i="2848"/>
  <c r="O81" i="2848"/>
  <c r="K81" i="2848"/>
  <c r="J81" i="2848"/>
  <c r="C81" i="2848"/>
  <c r="J82" i="2848"/>
  <c r="S73" i="2848"/>
  <c r="O73" i="2848"/>
  <c r="K73" i="2848"/>
  <c r="J73" i="2848"/>
  <c r="C73" i="2848"/>
  <c r="S72" i="2848"/>
  <c r="O72" i="2848"/>
  <c r="K72" i="2848"/>
  <c r="C72" i="2848"/>
  <c r="S71" i="2848"/>
  <c r="O71" i="2848"/>
  <c r="C71" i="2848"/>
  <c r="K71" i="2848"/>
  <c r="J71" i="2848"/>
  <c r="S70" i="2848"/>
  <c r="O70" i="2848"/>
  <c r="C70" i="2848"/>
  <c r="S69" i="2848"/>
  <c r="O69" i="2848"/>
  <c r="K69" i="2848"/>
  <c r="C69" i="2848"/>
  <c r="K70" i="2848"/>
  <c r="J70" i="2848"/>
  <c r="J69" i="2848"/>
  <c r="S61" i="2848"/>
  <c r="O61" i="2848"/>
  <c r="K61" i="2848"/>
  <c r="C61" i="2848"/>
  <c r="S60" i="2848"/>
  <c r="O60" i="2848"/>
  <c r="K60" i="2848"/>
  <c r="C60" i="2848"/>
  <c r="J60" i="2848"/>
  <c r="S57" i="2848"/>
  <c r="O57" i="2848"/>
  <c r="K57" i="2848"/>
  <c r="C57" i="2848"/>
  <c r="S56" i="2848"/>
  <c r="O56" i="2848"/>
  <c r="K56" i="2848"/>
  <c r="C56" i="2848"/>
  <c r="J57" i="2848"/>
  <c r="J56" i="2848"/>
  <c r="S55" i="2848"/>
  <c r="O55" i="2848"/>
  <c r="K55" i="2848"/>
  <c r="J55" i="2848"/>
  <c r="C55" i="2848"/>
  <c r="S53" i="2848"/>
  <c r="O53" i="2848"/>
  <c r="K53" i="2848"/>
  <c r="C53" i="2848"/>
  <c r="S52" i="2848"/>
  <c r="O52" i="2848"/>
  <c r="K52" i="2848"/>
  <c r="C52" i="2848"/>
  <c r="J53" i="2848"/>
  <c r="J52" i="2848"/>
  <c r="S51" i="2848"/>
  <c r="O51" i="2848"/>
  <c r="K51" i="2848"/>
  <c r="C51" i="2848"/>
  <c r="S50" i="2848"/>
  <c r="O50" i="2848"/>
  <c r="K50" i="2848"/>
  <c r="C50" i="2848"/>
  <c r="J51" i="2848"/>
  <c r="J50" i="2848"/>
  <c r="S48" i="2848"/>
  <c r="O48" i="2848"/>
  <c r="C48" i="2848"/>
  <c r="K48" i="2848"/>
  <c r="J48" i="2848"/>
  <c r="S20" i="2848"/>
  <c r="O20" i="2848"/>
  <c r="J20" i="2848"/>
  <c r="G20" i="2848"/>
  <c r="N20" i="2848"/>
  <c r="F20" i="2848"/>
  <c r="S19" i="2848"/>
  <c r="O19" i="2848"/>
  <c r="J19" i="2848"/>
  <c r="G19" i="2848"/>
  <c r="F19" i="2848"/>
  <c r="K65" i="2085"/>
  <c r="I65" i="2085"/>
  <c r="H65" i="2085"/>
  <c r="L64" i="2085"/>
  <c r="K64" i="2085"/>
  <c r="I64" i="2085"/>
  <c r="H64" i="2085"/>
  <c r="S12" i="2848"/>
  <c r="O12" i="2848"/>
  <c r="K12" i="2848"/>
  <c r="J12" i="2848"/>
  <c r="N12" i="2848"/>
  <c r="G12" i="2848"/>
  <c r="F12" i="2848"/>
  <c r="S11" i="2848"/>
  <c r="O11" i="2848"/>
  <c r="F11" i="2848"/>
  <c r="K63" i="2723"/>
  <c r="P63" i="2723"/>
  <c r="I63" i="2723"/>
  <c r="R63" i="2723"/>
  <c r="L62" i="2723"/>
  <c r="J11" i="2848"/>
  <c r="N11" i="2848"/>
  <c r="K62" i="2723"/>
  <c r="G11" i="2848"/>
  <c r="I62" i="2723"/>
  <c r="S10" i="2848"/>
  <c r="O10" i="2848"/>
  <c r="J10" i="2848"/>
  <c r="N10" i="2848"/>
  <c r="F10" i="2848"/>
  <c r="S9" i="2848"/>
  <c r="O9" i="2848"/>
  <c r="J9" i="2848"/>
  <c r="G9" i="2848"/>
  <c r="F9" i="2848"/>
  <c r="K65" i="2724"/>
  <c r="G10" i="2848"/>
  <c r="I65" i="2724"/>
  <c r="H65" i="2724"/>
  <c r="N19" i="2848"/>
  <c r="Q63" i="2723"/>
  <c r="K64" i="2724"/>
  <c r="I64" i="2724"/>
  <c r="H64" i="2724"/>
  <c r="O116" i="2848"/>
  <c r="E110" i="2848"/>
  <c r="M105" i="2848"/>
  <c r="C105" i="2848"/>
  <c r="M104" i="2848"/>
  <c r="C104" i="2848"/>
  <c r="M103" i="2848"/>
  <c r="C103" i="2848"/>
  <c r="M102" i="2848"/>
  <c r="C102" i="2848"/>
  <c r="M101" i="2848"/>
  <c r="C101" i="2848"/>
  <c r="M100" i="2848"/>
  <c r="C100" i="2848"/>
  <c r="M99" i="2848"/>
  <c r="C99" i="2848"/>
  <c r="M98" i="2848"/>
  <c r="C98" i="2848"/>
  <c r="M97" i="2848"/>
  <c r="C97" i="2848"/>
  <c r="M96" i="2848"/>
  <c r="C96" i="2848"/>
  <c r="I29" i="2848"/>
  <c r="N27" i="2848"/>
  <c r="N26" i="2848"/>
  <c r="N25" i="2848"/>
  <c r="N24" i="2848"/>
  <c r="N23" i="2848"/>
  <c r="N22" i="2848"/>
  <c r="I21" i="2848"/>
  <c r="S94" i="2847"/>
  <c r="M94" i="2847"/>
  <c r="K94" i="2847"/>
  <c r="I94" i="2847"/>
  <c r="C94" i="2847"/>
  <c r="O116" i="2847"/>
  <c r="O117" i="2847"/>
  <c r="S92" i="2847"/>
  <c r="M92" i="2847"/>
  <c r="K92" i="2847"/>
  <c r="I92" i="2847"/>
  <c r="C92" i="2847"/>
  <c r="Q110" i="2847"/>
  <c r="Q111" i="2847"/>
  <c r="S90" i="2847"/>
  <c r="M90" i="2847"/>
  <c r="K90" i="2847"/>
  <c r="I90" i="2847"/>
  <c r="C90" i="2847"/>
  <c r="S89" i="2847"/>
  <c r="M89" i="2847"/>
  <c r="K89" i="2847"/>
  <c r="I89" i="2847"/>
  <c r="C89" i="2847"/>
  <c r="S88" i="2847"/>
  <c r="M88" i="2847"/>
  <c r="K88" i="2847"/>
  <c r="I88" i="2847"/>
  <c r="C88" i="2847"/>
  <c r="L110" i="2847"/>
  <c r="S86" i="2847"/>
  <c r="M86" i="2847"/>
  <c r="K86" i="2847"/>
  <c r="C86" i="2847"/>
  <c r="E110" i="2847"/>
  <c r="E111" i="2847"/>
  <c r="S82" i="2847"/>
  <c r="O82" i="2847"/>
  <c r="K82" i="2847"/>
  <c r="J82" i="2847"/>
  <c r="C82" i="2847"/>
  <c r="S78" i="2847"/>
  <c r="O78" i="2847"/>
  <c r="J78" i="2847"/>
  <c r="C78" i="2847"/>
  <c r="K78" i="2847"/>
  <c r="S75" i="2847"/>
  <c r="O75" i="2847"/>
  <c r="K75" i="2847"/>
  <c r="C75" i="2847"/>
  <c r="J75" i="2847"/>
  <c r="O73" i="2847"/>
  <c r="K73" i="2847"/>
  <c r="J73" i="2847"/>
  <c r="C73" i="2847"/>
  <c r="S72" i="2847"/>
  <c r="O72" i="2847"/>
  <c r="K72" i="2847"/>
  <c r="C72" i="2847"/>
  <c r="S71" i="2847"/>
  <c r="O71" i="2847"/>
  <c r="K71" i="2847"/>
  <c r="C71" i="2847"/>
  <c r="J72" i="2847"/>
  <c r="J71" i="2847"/>
  <c r="S70" i="2847"/>
  <c r="O70" i="2847"/>
  <c r="K70" i="2847"/>
  <c r="C70" i="2847"/>
  <c r="S69" i="2847"/>
  <c r="O69" i="2847"/>
  <c r="K69" i="2847"/>
  <c r="C69" i="2847"/>
  <c r="J70" i="2847"/>
  <c r="S65" i="2847"/>
  <c r="O65" i="2847"/>
  <c r="K65" i="2847"/>
  <c r="J65" i="2847"/>
  <c r="C65" i="2847"/>
  <c r="S57" i="2847"/>
  <c r="O57" i="2847"/>
  <c r="K57" i="2847"/>
  <c r="C57" i="2847"/>
  <c r="S56" i="2847"/>
  <c r="O56" i="2847"/>
  <c r="K56" i="2847"/>
  <c r="C56" i="2847"/>
  <c r="J57" i="2847"/>
  <c r="J56" i="2847"/>
  <c r="S53" i="2847"/>
  <c r="O53" i="2847"/>
  <c r="K53" i="2847"/>
  <c r="C53" i="2847"/>
  <c r="S52" i="2847"/>
  <c r="O52" i="2847"/>
  <c r="K52" i="2847"/>
  <c r="J52" i="2847"/>
  <c r="C52" i="2847"/>
  <c r="J53" i="2847"/>
  <c r="S51" i="2847"/>
  <c r="O51" i="2847"/>
  <c r="K51" i="2847"/>
  <c r="C51" i="2847"/>
  <c r="J51" i="2847"/>
  <c r="S49" i="2847"/>
  <c r="O49" i="2847"/>
  <c r="K49" i="2847"/>
  <c r="C49" i="2847"/>
  <c r="S48" i="2847"/>
  <c r="O48" i="2847"/>
  <c r="C48" i="2847"/>
  <c r="J49" i="2847"/>
  <c r="K48" i="2847"/>
  <c r="J48" i="2847"/>
  <c r="L111" i="2847"/>
  <c r="M106" i="2847"/>
  <c r="C106" i="2847"/>
  <c r="M105" i="2847"/>
  <c r="C105" i="2847"/>
  <c r="M104" i="2847"/>
  <c r="C104" i="2847"/>
  <c r="M103" i="2847"/>
  <c r="C103" i="2847"/>
  <c r="M102" i="2847"/>
  <c r="C102" i="2847"/>
  <c r="M101" i="2847"/>
  <c r="C101" i="2847"/>
  <c r="M100" i="2847"/>
  <c r="C100" i="2847"/>
  <c r="M99" i="2847"/>
  <c r="C99" i="2847"/>
  <c r="M98" i="2847"/>
  <c r="C98" i="2847"/>
  <c r="M97" i="2847"/>
  <c r="C97" i="2847"/>
  <c r="I29" i="2847"/>
  <c r="G29" i="2847"/>
  <c r="N27" i="2847"/>
  <c r="N26" i="2847"/>
  <c r="N25" i="2847"/>
  <c r="N24" i="2847"/>
  <c r="N23" i="2847"/>
  <c r="N22" i="2847"/>
  <c r="J21" i="2847"/>
  <c r="I21" i="2847"/>
  <c r="S98" i="2846"/>
  <c r="M98" i="2846"/>
  <c r="K98" i="2846"/>
  <c r="I98" i="2846"/>
  <c r="C98" i="2846"/>
  <c r="S97" i="2846"/>
  <c r="M97" i="2846"/>
  <c r="K97" i="2846"/>
  <c r="I97" i="2846"/>
  <c r="C97" i="2846"/>
  <c r="S96" i="2846"/>
  <c r="M96" i="2846"/>
  <c r="K96" i="2846"/>
  <c r="I96" i="2846"/>
  <c r="C96" i="2846"/>
  <c r="O120" i="2846"/>
  <c r="S94" i="2846"/>
  <c r="M94" i="2846"/>
  <c r="K94" i="2846"/>
  <c r="I94" i="2846"/>
  <c r="C94" i="2846"/>
  <c r="Q114" i="2846"/>
  <c r="Q115" i="2846"/>
  <c r="S92" i="2846"/>
  <c r="M92" i="2846"/>
  <c r="K92" i="2846"/>
  <c r="I92" i="2846"/>
  <c r="C92" i="2846"/>
  <c r="S91" i="2846"/>
  <c r="M91" i="2846"/>
  <c r="K91" i="2846"/>
  <c r="I91" i="2846"/>
  <c r="C91" i="2846"/>
  <c r="L114" i="2846"/>
  <c r="S89" i="2846"/>
  <c r="M89" i="2846"/>
  <c r="K89" i="2846"/>
  <c r="C89" i="2846"/>
  <c r="S88" i="2846"/>
  <c r="M88" i="2846"/>
  <c r="K88" i="2846"/>
  <c r="C88" i="2846"/>
  <c r="S87" i="2846"/>
  <c r="M87" i="2846"/>
  <c r="K87" i="2846"/>
  <c r="C87" i="2846"/>
  <c r="E114" i="2846"/>
  <c r="E115" i="2846"/>
  <c r="O84" i="2846"/>
  <c r="O82" i="2846"/>
  <c r="S84" i="2846"/>
  <c r="J84" i="2846"/>
  <c r="C84" i="2846"/>
  <c r="K83" i="2846"/>
  <c r="C83" i="2846"/>
  <c r="S82" i="2846"/>
  <c r="K82" i="2846"/>
  <c r="C82" i="2846"/>
  <c r="K84" i="2846"/>
  <c r="J83" i="2846"/>
  <c r="J82" i="2846"/>
  <c r="S78" i="2846"/>
  <c r="O78" i="2846"/>
  <c r="K78" i="2846"/>
  <c r="C78" i="2846"/>
  <c r="J78" i="2846"/>
  <c r="O71" i="2846"/>
  <c r="K71" i="2846"/>
  <c r="C71" i="2846"/>
  <c r="S70" i="2846"/>
  <c r="O70" i="2846"/>
  <c r="K70" i="2846"/>
  <c r="J70" i="2846"/>
  <c r="C70" i="2846"/>
  <c r="S69" i="2846"/>
  <c r="O69" i="2846"/>
  <c r="K69" i="2846"/>
  <c r="C69" i="2846"/>
  <c r="J71" i="2846"/>
  <c r="S68" i="2846"/>
  <c r="O68" i="2846"/>
  <c r="K68" i="2846"/>
  <c r="C68" i="2846"/>
  <c r="S67" i="2846"/>
  <c r="O67" i="2846"/>
  <c r="K67" i="2846"/>
  <c r="C67" i="2846"/>
  <c r="S66" i="2846"/>
  <c r="O66" i="2846"/>
  <c r="K66" i="2846"/>
  <c r="C66" i="2846"/>
  <c r="S65" i="2846"/>
  <c r="O65" i="2846"/>
  <c r="K65" i="2846"/>
  <c r="J65" i="2846"/>
  <c r="C65" i="2846"/>
  <c r="J66" i="2846"/>
  <c r="S57" i="2846"/>
  <c r="O57" i="2846"/>
  <c r="K57" i="2846"/>
  <c r="C57" i="2846"/>
  <c r="J57" i="2846"/>
  <c r="S53" i="2846"/>
  <c r="O53" i="2846"/>
  <c r="K53" i="2846"/>
  <c r="C53" i="2846"/>
  <c r="S52" i="2846"/>
  <c r="O52" i="2846"/>
  <c r="K52" i="2846"/>
  <c r="C52" i="2846"/>
  <c r="J53" i="2846"/>
  <c r="J52" i="2846"/>
  <c r="S51" i="2846"/>
  <c r="O51" i="2846"/>
  <c r="K51" i="2846"/>
  <c r="C51" i="2846"/>
  <c r="J51" i="2846"/>
  <c r="S49" i="2846"/>
  <c r="O49" i="2846"/>
  <c r="C49" i="2846"/>
  <c r="S48" i="2846"/>
  <c r="O48" i="2846"/>
  <c r="K48" i="2846"/>
  <c r="C48" i="2846"/>
  <c r="K49" i="2846"/>
  <c r="J49" i="2846"/>
  <c r="J48" i="2846"/>
  <c r="O121" i="2846"/>
  <c r="L115" i="2846"/>
  <c r="M110" i="2846"/>
  <c r="C110" i="2846"/>
  <c r="M109" i="2846"/>
  <c r="C109" i="2846"/>
  <c r="M108" i="2846"/>
  <c r="C108" i="2846"/>
  <c r="M107" i="2846"/>
  <c r="C107" i="2846"/>
  <c r="M106" i="2846"/>
  <c r="C106" i="2846"/>
  <c r="M105" i="2846"/>
  <c r="C105" i="2846"/>
  <c r="M104" i="2846"/>
  <c r="C104" i="2846"/>
  <c r="M103" i="2846"/>
  <c r="C103" i="2846"/>
  <c r="M102" i="2846"/>
  <c r="C102" i="2846"/>
  <c r="M101" i="2846"/>
  <c r="C101" i="2846"/>
  <c r="I29" i="2846"/>
  <c r="N27" i="2846"/>
  <c r="N26" i="2846"/>
  <c r="N25" i="2846"/>
  <c r="N24" i="2846"/>
  <c r="N23" i="2846"/>
  <c r="N22" i="2846"/>
  <c r="S101" i="2845"/>
  <c r="M101" i="2845"/>
  <c r="K101" i="2845"/>
  <c r="I101" i="2845"/>
  <c r="C101" i="2845"/>
  <c r="S100" i="2845"/>
  <c r="M100" i="2845"/>
  <c r="K100" i="2845"/>
  <c r="I100" i="2845"/>
  <c r="C100" i="2845"/>
  <c r="S99" i="2845"/>
  <c r="M99" i="2845"/>
  <c r="K99" i="2845"/>
  <c r="I99" i="2845"/>
  <c r="C99" i="2845"/>
  <c r="S98" i="2845"/>
  <c r="M98" i="2845"/>
  <c r="K98" i="2845"/>
  <c r="I98" i="2845"/>
  <c r="C98" i="2845"/>
  <c r="O122" i="2845"/>
  <c r="O123" i="2845"/>
  <c r="S96" i="2845"/>
  <c r="M96" i="2845"/>
  <c r="K96" i="2845"/>
  <c r="I96" i="2845"/>
  <c r="C96" i="2845"/>
  <c r="S95" i="2845"/>
  <c r="M95" i="2845"/>
  <c r="K95" i="2845"/>
  <c r="I95" i="2845"/>
  <c r="C95" i="2845"/>
  <c r="S94" i="2845"/>
  <c r="M94" i="2845"/>
  <c r="K94" i="2845"/>
  <c r="I94" i="2845"/>
  <c r="C94" i="2845"/>
  <c r="S93" i="2845"/>
  <c r="M93" i="2845"/>
  <c r="K93" i="2845"/>
  <c r="I93" i="2845"/>
  <c r="C93" i="2845"/>
  <c r="Q116" i="2845"/>
  <c r="Q117" i="2845"/>
  <c r="S90" i="2845"/>
  <c r="M90" i="2845"/>
  <c r="K90" i="2845"/>
  <c r="I90" i="2845"/>
  <c r="C90" i="2845"/>
  <c r="S89" i="2845"/>
  <c r="M89" i="2845"/>
  <c r="K89" i="2845"/>
  <c r="C89" i="2845"/>
  <c r="S88" i="2845"/>
  <c r="M88" i="2845"/>
  <c r="K88" i="2845"/>
  <c r="C88" i="2845"/>
  <c r="E116" i="2845"/>
  <c r="S85" i="2845"/>
  <c r="K85" i="2845"/>
  <c r="C85" i="2845"/>
  <c r="S84" i="2845"/>
  <c r="K84" i="2845"/>
  <c r="C84" i="2845"/>
  <c r="J85" i="2845"/>
  <c r="J84" i="2845"/>
  <c r="O83" i="2845"/>
  <c r="O82" i="2845"/>
  <c r="S83" i="2845"/>
  <c r="K83" i="2845"/>
  <c r="C83" i="2845"/>
  <c r="S82" i="2845"/>
  <c r="C82" i="2845"/>
  <c r="J83" i="2845"/>
  <c r="L82" i="2845"/>
  <c r="S74" i="2845"/>
  <c r="O74" i="2845"/>
  <c r="K74" i="2845"/>
  <c r="C74" i="2845"/>
  <c r="J74" i="2845"/>
  <c r="S73" i="2845"/>
  <c r="O73" i="2845"/>
  <c r="K73" i="2845"/>
  <c r="C73" i="2845"/>
  <c r="S72" i="2845"/>
  <c r="O72" i="2845"/>
  <c r="K72" i="2845"/>
  <c r="C72" i="2845"/>
  <c r="S71" i="2845"/>
  <c r="O71" i="2845"/>
  <c r="K71" i="2845"/>
  <c r="J71" i="2845"/>
  <c r="C71" i="2845"/>
  <c r="S70" i="2845"/>
  <c r="O70" i="2845"/>
  <c r="K70" i="2845"/>
  <c r="C70" i="2845"/>
  <c r="S69" i="2845"/>
  <c r="O69" i="2845"/>
  <c r="K69" i="2845"/>
  <c r="K86" i="2845" s="1"/>
  <c r="C69" i="2845"/>
  <c r="J69" i="2845"/>
  <c r="S61" i="2845"/>
  <c r="O61" i="2845"/>
  <c r="K61" i="2845"/>
  <c r="C61" i="2845"/>
  <c r="J61" i="2845"/>
  <c r="S56" i="2845"/>
  <c r="O56" i="2845"/>
  <c r="K56" i="2845"/>
  <c r="C56" i="2845"/>
  <c r="J56" i="2845"/>
  <c r="S54" i="2845"/>
  <c r="O54" i="2845"/>
  <c r="K54" i="2845"/>
  <c r="C54" i="2845"/>
  <c r="J54" i="2845"/>
  <c r="S52" i="2845"/>
  <c r="O52" i="2845"/>
  <c r="K52" i="2845"/>
  <c r="C52" i="2845"/>
  <c r="S51" i="2845"/>
  <c r="O51" i="2845"/>
  <c r="K51" i="2845"/>
  <c r="J51" i="2845"/>
  <c r="C51" i="2845"/>
  <c r="J52" i="2845"/>
  <c r="O21" i="2845"/>
  <c r="J21" i="2845"/>
  <c r="G21" i="2845"/>
  <c r="F21" i="2845"/>
  <c r="O20" i="2845"/>
  <c r="J20" i="2845"/>
  <c r="N20" i="2845"/>
  <c r="F20" i="2845"/>
  <c r="S19" i="2845"/>
  <c r="O19" i="2845"/>
  <c r="J19" i="2845"/>
  <c r="G19" i="2845"/>
  <c r="N19" i="2845"/>
  <c r="F19" i="2845"/>
  <c r="S18" i="2845"/>
  <c r="O18" i="2845"/>
  <c r="J18" i="2845"/>
  <c r="G18" i="2845"/>
  <c r="N18" i="2845"/>
  <c r="F18" i="2845"/>
  <c r="K56" i="2720"/>
  <c r="I56" i="2720"/>
  <c r="H56" i="2720"/>
  <c r="K55" i="2720"/>
  <c r="G20" i="2845"/>
  <c r="K54" i="2720"/>
  <c r="K53" i="2720"/>
  <c r="I53" i="2720"/>
  <c r="H53" i="2720"/>
  <c r="S17" i="2845"/>
  <c r="O17" i="2845"/>
  <c r="J17" i="2845"/>
  <c r="F17" i="2845"/>
  <c r="S16" i="2845"/>
  <c r="O16" i="2845"/>
  <c r="J16" i="2845"/>
  <c r="N16" i="2845"/>
  <c r="G16" i="2845"/>
  <c r="F16" i="2845"/>
  <c r="K51" i="2721"/>
  <c r="G17" i="2845"/>
  <c r="N17" i="2845"/>
  <c r="I51" i="2721"/>
  <c r="H51" i="2721"/>
  <c r="K50" i="2721"/>
  <c r="I50" i="2721"/>
  <c r="H50" i="2721"/>
  <c r="O11" i="2845"/>
  <c r="J11" i="2845"/>
  <c r="N11" i="2845"/>
  <c r="G11" i="2845"/>
  <c r="F11" i="2845"/>
  <c r="S10" i="2845"/>
  <c r="O10" i="2845"/>
  <c r="J10" i="2845"/>
  <c r="F10" i="2845"/>
  <c r="S9" i="2845"/>
  <c r="O9" i="2845"/>
  <c r="J9" i="2845"/>
  <c r="G9" i="2845"/>
  <c r="F9" i="2845"/>
  <c r="K55" i="2724"/>
  <c r="I55" i="2724"/>
  <c r="H55" i="2724"/>
  <c r="K54" i="2724"/>
  <c r="G10" i="2845"/>
  <c r="K53" i="2724"/>
  <c r="I53" i="2724"/>
  <c r="H53" i="2724"/>
  <c r="N21" i="2845"/>
  <c r="N9" i="2845"/>
  <c r="L117" i="2845"/>
  <c r="E117" i="2845"/>
  <c r="M112" i="2845"/>
  <c r="C112" i="2845"/>
  <c r="M111" i="2845"/>
  <c r="C111" i="2845"/>
  <c r="M110" i="2845"/>
  <c r="C110" i="2845"/>
  <c r="M109" i="2845"/>
  <c r="C109" i="2845"/>
  <c r="M108" i="2845"/>
  <c r="C108" i="2845"/>
  <c r="M107" i="2845"/>
  <c r="C107" i="2845"/>
  <c r="M106" i="2845"/>
  <c r="C106" i="2845"/>
  <c r="M105" i="2845"/>
  <c r="C105" i="2845"/>
  <c r="M104" i="2845"/>
  <c r="C104" i="2845"/>
  <c r="M103" i="2845"/>
  <c r="C103" i="2845"/>
  <c r="I32" i="2845"/>
  <c r="N30" i="2845"/>
  <c r="N29" i="2845"/>
  <c r="N28" i="2845"/>
  <c r="N27" i="2845"/>
  <c r="N26" i="2845"/>
  <c r="N25" i="2845"/>
  <c r="S98" i="2844"/>
  <c r="M98" i="2844"/>
  <c r="K98" i="2844"/>
  <c r="I98" i="2844"/>
  <c r="C98" i="2844"/>
  <c r="S97" i="2844"/>
  <c r="M97" i="2844"/>
  <c r="K97" i="2844"/>
  <c r="I97" i="2844"/>
  <c r="C97" i="2844"/>
  <c r="O120" i="2844"/>
  <c r="S95" i="2844"/>
  <c r="M95" i="2844"/>
  <c r="K95" i="2844"/>
  <c r="I95" i="2844"/>
  <c r="C95" i="2844"/>
  <c r="S94" i="2844"/>
  <c r="M94" i="2844"/>
  <c r="K94" i="2844"/>
  <c r="I94" i="2844"/>
  <c r="C94" i="2844"/>
  <c r="S93" i="2844"/>
  <c r="M93" i="2844"/>
  <c r="K93" i="2844"/>
  <c r="I93" i="2844"/>
  <c r="C93" i="2844"/>
  <c r="Q114" i="2844"/>
  <c r="Q115" i="2844"/>
  <c r="S89" i="2844"/>
  <c r="M89" i="2844"/>
  <c r="K89" i="2844"/>
  <c r="K100" i="2844"/>
  <c r="C89" i="2844"/>
  <c r="E114" i="2844"/>
  <c r="E115" i="2844"/>
  <c r="S86" i="2844"/>
  <c r="O86" i="2844"/>
  <c r="K86" i="2844"/>
  <c r="C86" i="2844"/>
  <c r="O85" i="2844"/>
  <c r="K85" i="2844"/>
  <c r="J85" i="2844"/>
  <c r="C85" i="2844"/>
  <c r="S84" i="2844"/>
  <c r="O84" i="2844"/>
  <c r="K84" i="2844"/>
  <c r="C84" i="2844"/>
  <c r="J86" i="2844"/>
  <c r="J84" i="2844"/>
  <c r="O83" i="2844"/>
  <c r="C83" i="2844"/>
  <c r="S82" i="2844"/>
  <c r="O82" i="2844"/>
  <c r="K82" i="2844"/>
  <c r="C82" i="2844"/>
  <c r="S81" i="2844"/>
  <c r="K81" i="2844"/>
  <c r="C81" i="2844"/>
  <c r="K83" i="2844"/>
  <c r="J83" i="2844"/>
  <c r="J82" i="2844"/>
  <c r="J81" i="2844"/>
  <c r="S74" i="2844"/>
  <c r="O74" i="2844"/>
  <c r="K74" i="2844"/>
  <c r="C74" i="2844"/>
  <c r="S73" i="2844"/>
  <c r="O73" i="2844"/>
  <c r="K73" i="2844"/>
  <c r="C73" i="2844"/>
  <c r="J74" i="2844"/>
  <c r="S72" i="2844"/>
  <c r="O72" i="2844"/>
  <c r="K72" i="2844"/>
  <c r="J72" i="2844"/>
  <c r="C72" i="2844"/>
  <c r="S71" i="2844"/>
  <c r="O71" i="2844"/>
  <c r="K71" i="2844"/>
  <c r="C71" i="2844"/>
  <c r="J71" i="2844"/>
  <c r="S70" i="2844"/>
  <c r="O70" i="2844"/>
  <c r="K70" i="2844"/>
  <c r="J70" i="2844"/>
  <c r="C70" i="2844"/>
  <c r="S69" i="2844"/>
  <c r="O69" i="2844"/>
  <c r="K69" i="2844"/>
  <c r="J69" i="2844"/>
  <c r="C69" i="2844"/>
  <c r="J68" i="2846"/>
  <c r="J67" i="2846"/>
  <c r="S61" i="2844"/>
  <c r="O61" i="2844"/>
  <c r="K61" i="2844"/>
  <c r="C61" i="2844"/>
  <c r="S60" i="2844"/>
  <c r="O60" i="2844"/>
  <c r="K60" i="2844"/>
  <c r="K66" i="2844" s="1"/>
  <c r="C60" i="2844"/>
  <c r="J61" i="2844"/>
  <c r="J60" i="2844"/>
  <c r="S51" i="2844"/>
  <c r="O51" i="2844"/>
  <c r="K51" i="2844"/>
  <c r="C51" i="2844"/>
  <c r="S50" i="2844"/>
  <c r="O50" i="2844"/>
  <c r="J50" i="2844"/>
  <c r="C50" i="2844"/>
  <c r="J51" i="2844"/>
  <c r="K50" i="2844"/>
  <c r="O20" i="2844"/>
  <c r="J20" i="2844"/>
  <c r="G20" i="2844"/>
  <c r="F20" i="2844"/>
  <c r="S19" i="2844"/>
  <c r="O19" i="2844"/>
  <c r="J19" i="2844"/>
  <c r="G19" i="2844"/>
  <c r="F19" i="2844"/>
  <c r="S18" i="2844"/>
  <c r="O18" i="2844"/>
  <c r="J18" i="2844"/>
  <c r="F18" i="2844"/>
  <c r="K52" i="2720"/>
  <c r="K51" i="2720"/>
  <c r="I51" i="2720"/>
  <c r="H51" i="2720"/>
  <c r="K50" i="2720"/>
  <c r="G18" i="2844"/>
  <c r="I50" i="2720"/>
  <c r="H50" i="2720"/>
  <c r="S17" i="2844"/>
  <c r="O17" i="2844"/>
  <c r="J17" i="2844"/>
  <c r="F17" i="2844"/>
  <c r="S16" i="2844"/>
  <c r="O16" i="2844"/>
  <c r="J16" i="2844"/>
  <c r="G16" i="2844"/>
  <c r="F16" i="2844"/>
  <c r="K49" i="2721"/>
  <c r="G17" i="2844"/>
  <c r="I49" i="2721"/>
  <c r="H49" i="2721"/>
  <c r="K48" i="2721"/>
  <c r="I48" i="2721"/>
  <c r="H48" i="2721"/>
  <c r="S11" i="2844"/>
  <c r="O11" i="2844"/>
  <c r="J11" i="2844"/>
  <c r="F11" i="2844"/>
  <c r="O10" i="2844"/>
  <c r="J10" i="2844"/>
  <c r="G10" i="2844"/>
  <c r="F10" i="2844"/>
  <c r="S9" i="2844"/>
  <c r="O9" i="2844"/>
  <c r="J9" i="2844"/>
  <c r="G9" i="2844"/>
  <c r="F9" i="2844"/>
  <c r="K52" i="2724"/>
  <c r="G11" i="2844"/>
  <c r="I52" i="2724"/>
  <c r="H52" i="2724"/>
  <c r="K51" i="2724"/>
  <c r="K50" i="2724"/>
  <c r="I50" i="2724"/>
  <c r="H50" i="2724"/>
  <c r="O121" i="2844"/>
  <c r="L115" i="2844"/>
  <c r="M110" i="2844"/>
  <c r="C110" i="2844"/>
  <c r="M109" i="2844"/>
  <c r="C109" i="2844"/>
  <c r="M108" i="2844"/>
  <c r="C108" i="2844"/>
  <c r="M107" i="2844"/>
  <c r="C107" i="2844"/>
  <c r="M106" i="2844"/>
  <c r="C106" i="2844"/>
  <c r="M105" i="2844"/>
  <c r="C105" i="2844"/>
  <c r="M104" i="2844"/>
  <c r="C104" i="2844"/>
  <c r="M103" i="2844"/>
  <c r="C103" i="2844"/>
  <c r="M102" i="2844"/>
  <c r="C102" i="2844"/>
  <c r="M101" i="2844"/>
  <c r="C101" i="2844"/>
  <c r="I31" i="2844"/>
  <c r="N29" i="2844"/>
  <c r="N28" i="2844"/>
  <c r="N27" i="2844"/>
  <c r="N26" i="2844"/>
  <c r="N25" i="2844"/>
  <c r="N24" i="2844"/>
  <c r="S96" i="2843"/>
  <c r="M96" i="2843"/>
  <c r="K96" i="2843"/>
  <c r="I96" i="2843"/>
  <c r="C96" i="2843"/>
  <c r="S95" i="2843"/>
  <c r="M95" i="2843"/>
  <c r="K95" i="2843"/>
  <c r="I95" i="2843"/>
  <c r="C95" i="2843"/>
  <c r="O117" i="2843"/>
  <c r="S94" i="2843"/>
  <c r="M94" i="2843"/>
  <c r="K94" i="2843"/>
  <c r="I94" i="2843"/>
  <c r="C94" i="2843"/>
  <c r="S93" i="2843"/>
  <c r="M93" i="2843"/>
  <c r="K93" i="2843"/>
  <c r="I93" i="2843"/>
  <c r="C93" i="2843"/>
  <c r="S92" i="2843"/>
  <c r="M92" i="2843"/>
  <c r="K92" i="2843"/>
  <c r="I92" i="2843"/>
  <c r="C92" i="2843"/>
  <c r="S91" i="2843"/>
  <c r="M91" i="2843"/>
  <c r="K91" i="2843"/>
  <c r="I91" i="2843"/>
  <c r="C91" i="2843"/>
  <c r="Q111" i="2843"/>
  <c r="S88" i="2843"/>
  <c r="M88" i="2843"/>
  <c r="K88" i="2843"/>
  <c r="I88" i="2843"/>
  <c r="C88" i="2843"/>
  <c r="S87" i="2843"/>
  <c r="M87" i="2843"/>
  <c r="K87" i="2843"/>
  <c r="C87" i="2843"/>
  <c r="E111" i="2843"/>
  <c r="S84" i="2843"/>
  <c r="O84" i="2843"/>
  <c r="K84" i="2843"/>
  <c r="C84" i="2843"/>
  <c r="S83" i="2843"/>
  <c r="O83" i="2843"/>
  <c r="C83" i="2843"/>
  <c r="J84" i="2843"/>
  <c r="K83" i="2843"/>
  <c r="J83" i="2843"/>
  <c r="K82" i="2843"/>
  <c r="C82" i="2843"/>
  <c r="S81" i="2843"/>
  <c r="O81" i="2843"/>
  <c r="C81" i="2843"/>
  <c r="S80" i="2843"/>
  <c r="K80" i="2843"/>
  <c r="C80" i="2843"/>
  <c r="K81" i="2843"/>
  <c r="J82" i="2843"/>
  <c r="S73" i="2843"/>
  <c r="O73" i="2843"/>
  <c r="K73" i="2843"/>
  <c r="C73" i="2843"/>
  <c r="S72" i="2843"/>
  <c r="O72" i="2843"/>
  <c r="K72" i="2843"/>
  <c r="C72" i="2843"/>
  <c r="J73" i="2843"/>
  <c r="J72" i="2843"/>
  <c r="S71" i="2843"/>
  <c r="O71" i="2843"/>
  <c r="K71" i="2843"/>
  <c r="C71" i="2843"/>
  <c r="S70" i="2843"/>
  <c r="O70" i="2843"/>
  <c r="J70" i="2843"/>
  <c r="C70" i="2843"/>
  <c r="J71" i="2843"/>
  <c r="L70" i="2843"/>
  <c r="K70" i="2843"/>
  <c r="S69" i="2843"/>
  <c r="O69" i="2843"/>
  <c r="K69" i="2843"/>
  <c r="J69" i="2843"/>
  <c r="C69" i="2843"/>
  <c r="S68" i="2843"/>
  <c r="O68" i="2843"/>
  <c r="K68" i="2843"/>
  <c r="C68" i="2843"/>
  <c r="N69" i="2843"/>
  <c r="G69" i="2843"/>
  <c r="M69" i="2843"/>
  <c r="L69" i="2843"/>
  <c r="N68" i="2843"/>
  <c r="G68" i="2843"/>
  <c r="L68" i="2843"/>
  <c r="J70" i="2845"/>
  <c r="J68" i="2843"/>
  <c r="S60" i="2843"/>
  <c r="O60" i="2843"/>
  <c r="K60" i="2843"/>
  <c r="C60" i="2843"/>
  <c r="S59" i="2843"/>
  <c r="O59" i="2843"/>
  <c r="C59" i="2843"/>
  <c r="J60" i="2843"/>
  <c r="S53" i="2843"/>
  <c r="O53" i="2843"/>
  <c r="K53" i="2843"/>
  <c r="C53" i="2843"/>
  <c r="J53" i="2843"/>
  <c r="S51" i="2843"/>
  <c r="O51" i="2843"/>
  <c r="K51" i="2843"/>
  <c r="C51" i="2843"/>
  <c r="J51" i="2843"/>
  <c r="S50" i="2843"/>
  <c r="O50" i="2843"/>
  <c r="K50" i="2843"/>
  <c r="C50" i="2843"/>
  <c r="J50" i="2843"/>
  <c r="S20" i="2843"/>
  <c r="O20" i="2843"/>
  <c r="J20" i="2843"/>
  <c r="F20" i="2843"/>
  <c r="L50" i="2085"/>
  <c r="K50" i="2085"/>
  <c r="G20" i="2843"/>
  <c r="I50" i="2085"/>
  <c r="H50" i="2085"/>
  <c r="S19" i="2843"/>
  <c r="O19" i="2843"/>
  <c r="J19" i="2843"/>
  <c r="F19" i="2843"/>
  <c r="S18" i="2843"/>
  <c r="O18" i="2843"/>
  <c r="J18" i="2843"/>
  <c r="G18" i="2843"/>
  <c r="F18" i="2843"/>
  <c r="K49" i="2720"/>
  <c r="G19" i="2843"/>
  <c r="I49" i="2720"/>
  <c r="H49" i="2720"/>
  <c r="K48" i="2720"/>
  <c r="I48" i="2720"/>
  <c r="H48" i="2720"/>
  <c r="O17" i="2843"/>
  <c r="J17" i="2843"/>
  <c r="G17" i="2843"/>
  <c r="F17" i="2843"/>
  <c r="S16" i="2843"/>
  <c r="O16" i="2843"/>
  <c r="J16" i="2843"/>
  <c r="G16" i="2843"/>
  <c r="F16" i="2843"/>
  <c r="S15" i="2843"/>
  <c r="O15" i="2843"/>
  <c r="J15" i="2843"/>
  <c r="G15" i="2843"/>
  <c r="F15" i="2843"/>
  <c r="K47" i="2721"/>
  <c r="K46" i="2721"/>
  <c r="I46" i="2721"/>
  <c r="H46" i="2721"/>
  <c r="P46" i="2721"/>
  <c r="Q46" i="2721"/>
  <c r="R46" i="2721"/>
  <c r="K45" i="2721"/>
  <c r="Q45" i="2721"/>
  <c r="I45" i="2721"/>
  <c r="H45" i="2721"/>
  <c r="S10" i="2843"/>
  <c r="O10" i="2843"/>
  <c r="J10" i="2843"/>
  <c r="G10" i="2843"/>
  <c r="F10" i="2843"/>
  <c r="S9" i="2843"/>
  <c r="O9" i="2843"/>
  <c r="J9" i="2843"/>
  <c r="F9" i="2843"/>
  <c r="K49" i="2724"/>
  <c r="I49" i="2724"/>
  <c r="H49" i="2724"/>
  <c r="K48" i="2724"/>
  <c r="G9" i="2843"/>
  <c r="I48" i="2724"/>
  <c r="H48" i="2724"/>
  <c r="O118" i="2843"/>
  <c r="Q112" i="2843"/>
  <c r="L112" i="2843"/>
  <c r="E112" i="2843"/>
  <c r="M107" i="2843"/>
  <c r="C107" i="2843"/>
  <c r="M106" i="2843"/>
  <c r="C106" i="2843"/>
  <c r="M105" i="2843"/>
  <c r="C105" i="2843"/>
  <c r="M104" i="2843"/>
  <c r="C104" i="2843"/>
  <c r="M103" i="2843"/>
  <c r="C103" i="2843"/>
  <c r="M102" i="2843"/>
  <c r="C102" i="2843"/>
  <c r="M101" i="2843"/>
  <c r="C101" i="2843"/>
  <c r="M100" i="2843"/>
  <c r="C100" i="2843"/>
  <c r="M99" i="2843"/>
  <c r="C99" i="2843"/>
  <c r="M98" i="2843"/>
  <c r="C98" i="2843"/>
  <c r="I30" i="2843"/>
  <c r="N28" i="2843"/>
  <c r="N27" i="2843"/>
  <c r="N26" i="2843"/>
  <c r="N25" i="2843"/>
  <c r="N24" i="2843"/>
  <c r="N23" i="2843"/>
  <c r="S20" i="2842"/>
  <c r="O20" i="2842"/>
  <c r="J20" i="2842"/>
  <c r="N20" i="2842"/>
  <c r="G20" i="2842"/>
  <c r="F20" i="2842"/>
  <c r="S19" i="2842"/>
  <c r="O19" i="2842"/>
  <c r="J19" i="2842"/>
  <c r="G19" i="2842"/>
  <c r="F19" i="2842"/>
  <c r="K49" i="2085"/>
  <c r="I49" i="2085"/>
  <c r="H49" i="2085"/>
  <c r="K48" i="2085"/>
  <c r="I48" i="2085"/>
  <c r="H48" i="2085"/>
  <c r="S18" i="2842"/>
  <c r="O18" i="2842"/>
  <c r="J18" i="2842"/>
  <c r="N18" i="2842"/>
  <c r="G18" i="2842"/>
  <c r="F18" i="2842"/>
  <c r="S17" i="2842"/>
  <c r="O17" i="2842"/>
  <c r="J17" i="2842"/>
  <c r="G17" i="2842"/>
  <c r="F17" i="2842"/>
  <c r="K47" i="2720"/>
  <c r="I47" i="2720"/>
  <c r="H47" i="2720"/>
  <c r="K46" i="2720"/>
  <c r="I46" i="2720"/>
  <c r="H46" i="2720"/>
  <c r="S16" i="2842"/>
  <c r="O16" i="2842"/>
  <c r="J16" i="2842"/>
  <c r="G16" i="2842"/>
  <c r="F16" i="2842"/>
  <c r="S15" i="2842"/>
  <c r="O15" i="2842"/>
  <c r="J15" i="2842"/>
  <c r="F15" i="2842"/>
  <c r="K44" i="2721"/>
  <c r="I44" i="2721"/>
  <c r="H44" i="2721"/>
  <c r="K43" i="2721"/>
  <c r="G15" i="2842"/>
  <c r="I43" i="2721"/>
  <c r="H43" i="2721"/>
  <c r="S10" i="2842"/>
  <c r="O10" i="2842"/>
  <c r="J10" i="2842"/>
  <c r="J21" i="2842"/>
  <c r="G10" i="2842"/>
  <c r="F10" i="2842"/>
  <c r="S9" i="2842"/>
  <c r="O9" i="2842"/>
  <c r="J9" i="2842"/>
  <c r="F9" i="2842"/>
  <c r="K47" i="2724"/>
  <c r="I47" i="2724"/>
  <c r="H47" i="2724"/>
  <c r="K46" i="2724"/>
  <c r="G9" i="2842"/>
  <c r="I46" i="2724"/>
  <c r="H46" i="2724"/>
  <c r="O114" i="2842"/>
  <c r="S113" i="2842"/>
  <c r="S114" i="2842"/>
  <c r="Q108" i="2842"/>
  <c r="L108" i="2842"/>
  <c r="E108" i="2842"/>
  <c r="M103" i="2842"/>
  <c r="C103" i="2842"/>
  <c r="M102" i="2842"/>
  <c r="C102" i="2842"/>
  <c r="M101" i="2842"/>
  <c r="C101" i="2842"/>
  <c r="M100" i="2842"/>
  <c r="C100" i="2842"/>
  <c r="M99" i="2842"/>
  <c r="C99" i="2842"/>
  <c r="M98" i="2842"/>
  <c r="C98" i="2842"/>
  <c r="M97" i="2842"/>
  <c r="C97" i="2842"/>
  <c r="M96" i="2842"/>
  <c r="C96" i="2842"/>
  <c r="M95" i="2842"/>
  <c r="C95" i="2842"/>
  <c r="M94" i="2842"/>
  <c r="C94" i="2842"/>
  <c r="K93" i="2842"/>
  <c r="K83" i="2842"/>
  <c r="K64" i="2842"/>
  <c r="I29" i="2842"/>
  <c r="N27" i="2842"/>
  <c r="N26" i="2842"/>
  <c r="N25" i="2842"/>
  <c r="N24" i="2842"/>
  <c r="N23" i="2842"/>
  <c r="N22" i="2842"/>
  <c r="S22" i="2841"/>
  <c r="O22" i="2841"/>
  <c r="J22" i="2841"/>
  <c r="F22" i="2841"/>
  <c r="O21" i="2841"/>
  <c r="J21" i="2841"/>
  <c r="G21" i="2841"/>
  <c r="F21" i="2841"/>
  <c r="S20" i="2841"/>
  <c r="O20" i="2841"/>
  <c r="G20" i="2841"/>
  <c r="F20" i="2841"/>
  <c r="K47" i="2085"/>
  <c r="G22" i="2841"/>
  <c r="N22" i="2841"/>
  <c r="I47" i="2085"/>
  <c r="H47" i="2085"/>
  <c r="K46" i="2085"/>
  <c r="I46" i="2085"/>
  <c r="H46" i="2085"/>
  <c r="L45" i="2085"/>
  <c r="J20" i="2841"/>
  <c r="K45" i="2085"/>
  <c r="S19" i="2841"/>
  <c r="O19" i="2841"/>
  <c r="J19" i="2841"/>
  <c r="G19" i="2841"/>
  <c r="F19" i="2841"/>
  <c r="S18" i="2841"/>
  <c r="O18" i="2841"/>
  <c r="J18" i="2841"/>
  <c r="F18" i="2841"/>
  <c r="K45" i="2720"/>
  <c r="I45" i="2720"/>
  <c r="H45" i="2720"/>
  <c r="K44" i="2720"/>
  <c r="G18" i="2841"/>
  <c r="I44" i="2720"/>
  <c r="H44" i="2720"/>
  <c r="S17" i="2841"/>
  <c r="O17" i="2841"/>
  <c r="J17" i="2841"/>
  <c r="G17" i="2841"/>
  <c r="F17" i="2841"/>
  <c r="S16" i="2841"/>
  <c r="O16" i="2841"/>
  <c r="J16" i="2841"/>
  <c r="G16" i="2841"/>
  <c r="F16" i="2841"/>
  <c r="K42" i="2721"/>
  <c r="I42" i="2721"/>
  <c r="H42" i="2721"/>
  <c r="K41" i="2721"/>
  <c r="I41" i="2721"/>
  <c r="H41" i="2721"/>
  <c r="O11" i="2841"/>
  <c r="J11" i="2841"/>
  <c r="F11" i="2841"/>
  <c r="S10" i="2841"/>
  <c r="O10" i="2841"/>
  <c r="G10" i="2841"/>
  <c r="F10" i="2841"/>
  <c r="S9" i="2841"/>
  <c r="O9" i="2841"/>
  <c r="J9" i="2841"/>
  <c r="F9" i="2841"/>
  <c r="K45" i="2724"/>
  <c r="G11" i="2841"/>
  <c r="L44" i="2724"/>
  <c r="J10" i="2841"/>
  <c r="K44" i="2724"/>
  <c r="I44" i="2724"/>
  <c r="H44" i="2724"/>
  <c r="L43" i="2724"/>
  <c r="K43" i="2724"/>
  <c r="G9" i="2841"/>
  <c r="I43" i="2724"/>
  <c r="H43" i="2724"/>
  <c r="O116" i="2841"/>
  <c r="L110" i="2841"/>
  <c r="Q110" i="2841"/>
  <c r="E110" i="2841"/>
  <c r="M105" i="2841"/>
  <c r="C105" i="2841"/>
  <c r="M104" i="2841"/>
  <c r="C104" i="2841"/>
  <c r="M103" i="2841"/>
  <c r="C103" i="2841"/>
  <c r="M102" i="2841"/>
  <c r="C102" i="2841"/>
  <c r="M101" i="2841"/>
  <c r="C101" i="2841"/>
  <c r="M100" i="2841"/>
  <c r="C100" i="2841"/>
  <c r="M99" i="2841"/>
  <c r="C99" i="2841"/>
  <c r="M98" i="2841"/>
  <c r="C98" i="2841"/>
  <c r="M97" i="2841"/>
  <c r="C97" i="2841"/>
  <c r="M96" i="2841"/>
  <c r="C96" i="2841"/>
  <c r="K95" i="2841"/>
  <c r="I31" i="2841"/>
  <c r="N29" i="2841"/>
  <c r="N28" i="2841"/>
  <c r="N27" i="2841"/>
  <c r="N26" i="2841"/>
  <c r="N25" i="2841"/>
  <c r="N24" i="2841"/>
  <c r="S97" i="2840"/>
  <c r="M97" i="2840"/>
  <c r="K97" i="2840"/>
  <c r="I97" i="2840"/>
  <c r="C97" i="2840"/>
  <c r="S96" i="2840"/>
  <c r="M96" i="2840"/>
  <c r="K96" i="2840"/>
  <c r="I96" i="2840"/>
  <c r="C96" i="2840"/>
  <c r="O118" i="2840"/>
  <c r="S95" i="2840"/>
  <c r="M95" i="2840"/>
  <c r="K95" i="2840"/>
  <c r="I95" i="2840"/>
  <c r="C95" i="2840"/>
  <c r="S94" i="2840"/>
  <c r="M94" i="2840"/>
  <c r="K94" i="2840"/>
  <c r="I94" i="2840"/>
  <c r="C94" i="2840"/>
  <c r="S93" i="2840"/>
  <c r="M93" i="2840"/>
  <c r="K93" i="2840"/>
  <c r="I93" i="2840"/>
  <c r="C93" i="2840"/>
  <c r="S92" i="2840"/>
  <c r="M92" i="2840"/>
  <c r="K92" i="2840"/>
  <c r="I92" i="2840"/>
  <c r="C92" i="2840"/>
  <c r="Q112" i="2840"/>
  <c r="Q113" i="2840"/>
  <c r="S89" i="2840"/>
  <c r="M89" i="2840"/>
  <c r="K89" i="2840"/>
  <c r="I89" i="2840"/>
  <c r="C89" i="2840"/>
  <c r="S88" i="2840"/>
  <c r="M88" i="2840"/>
  <c r="K88" i="2840"/>
  <c r="K98" i="2840" s="1"/>
  <c r="C88" i="2840"/>
  <c r="E112" i="2840"/>
  <c r="O85" i="2840"/>
  <c r="C85" i="2840"/>
  <c r="S84" i="2840"/>
  <c r="O84" i="2840"/>
  <c r="C84" i="2840"/>
  <c r="S83" i="2840"/>
  <c r="C83" i="2840"/>
  <c r="K85" i="2840"/>
  <c r="J85" i="2840"/>
  <c r="J84" i="2840"/>
  <c r="K84" i="2840"/>
  <c r="K83" i="2840"/>
  <c r="J83" i="2840"/>
  <c r="S82" i="2840"/>
  <c r="O82" i="2840"/>
  <c r="K82" i="2840"/>
  <c r="C82" i="2840"/>
  <c r="O81" i="2840"/>
  <c r="K81" i="2840"/>
  <c r="C81" i="2840"/>
  <c r="S80" i="2840"/>
  <c r="O80" i="2840"/>
  <c r="C80" i="2840"/>
  <c r="J82" i="2840"/>
  <c r="J81" i="2840"/>
  <c r="J80" i="2840"/>
  <c r="K80" i="2840"/>
  <c r="S73" i="2840"/>
  <c r="O73" i="2840"/>
  <c r="K73" i="2840"/>
  <c r="C73" i="2840"/>
  <c r="S72" i="2840"/>
  <c r="O72" i="2840"/>
  <c r="K72" i="2840"/>
  <c r="J72" i="2840"/>
  <c r="C72" i="2840"/>
  <c r="J73" i="2840"/>
  <c r="S70" i="2840"/>
  <c r="O70" i="2840"/>
  <c r="K70" i="2840"/>
  <c r="C70" i="2840"/>
  <c r="J70" i="2840"/>
  <c r="S69" i="2840"/>
  <c r="O69" i="2840"/>
  <c r="K69" i="2840"/>
  <c r="C69" i="2840"/>
  <c r="S68" i="2840"/>
  <c r="O68" i="2840"/>
  <c r="K68" i="2840"/>
  <c r="J68" i="2840"/>
  <c r="C68" i="2840"/>
  <c r="J69" i="2840"/>
  <c r="S63" i="2840"/>
  <c r="O63" i="2840"/>
  <c r="K63" i="2840"/>
  <c r="J63" i="2840"/>
  <c r="C63" i="2840"/>
  <c r="S60" i="2840"/>
  <c r="O60" i="2840"/>
  <c r="K60" i="2840"/>
  <c r="C60" i="2840"/>
  <c r="S59" i="2840"/>
  <c r="O59" i="2840"/>
  <c r="C59" i="2840"/>
  <c r="K59" i="2840"/>
  <c r="S58" i="2840"/>
  <c r="O58" i="2840"/>
  <c r="K58" i="2840"/>
  <c r="C58" i="2840"/>
  <c r="S57" i="2840"/>
  <c r="O57" i="2840"/>
  <c r="C57" i="2840"/>
  <c r="J58" i="2840"/>
  <c r="K57" i="2840"/>
  <c r="J57" i="2840"/>
  <c r="S54" i="2840"/>
  <c r="O54" i="2840"/>
  <c r="C54" i="2840"/>
  <c r="S53" i="2840"/>
  <c r="O53" i="2840"/>
  <c r="K53" i="2840"/>
  <c r="C53" i="2840"/>
  <c r="K54" i="2840"/>
  <c r="J54" i="2840"/>
  <c r="J53" i="2840"/>
  <c r="S52" i="2840"/>
  <c r="O52" i="2840"/>
  <c r="K52" i="2840"/>
  <c r="J52" i="2840"/>
  <c r="C52" i="2840"/>
  <c r="S51" i="2840"/>
  <c r="O51" i="2840"/>
  <c r="K51" i="2840"/>
  <c r="C51" i="2840"/>
  <c r="J51" i="2840"/>
  <c r="S21" i="2840"/>
  <c r="O21" i="2840"/>
  <c r="J21" i="2840"/>
  <c r="G21" i="2840"/>
  <c r="F21" i="2840"/>
  <c r="S20" i="2840"/>
  <c r="O20" i="2840"/>
  <c r="J20" i="2840"/>
  <c r="N20" i="2840"/>
  <c r="F20" i="2840"/>
  <c r="K44" i="2085"/>
  <c r="I44" i="2085"/>
  <c r="H44" i="2085"/>
  <c r="K43" i="2085"/>
  <c r="G20" i="2840"/>
  <c r="I43" i="2085"/>
  <c r="H43" i="2085"/>
  <c r="S19" i="2840"/>
  <c r="O19" i="2840"/>
  <c r="J19" i="2840"/>
  <c r="J22" i="2840"/>
  <c r="G19" i="2840"/>
  <c r="F19" i="2840"/>
  <c r="S18" i="2840"/>
  <c r="O18" i="2840"/>
  <c r="F18" i="2840"/>
  <c r="K43" i="2720"/>
  <c r="I43" i="2720"/>
  <c r="H43" i="2720"/>
  <c r="L42" i="2720"/>
  <c r="J18" i="2840"/>
  <c r="K42" i="2720"/>
  <c r="G18" i="2840"/>
  <c r="I42" i="2720"/>
  <c r="H42" i="2720"/>
  <c r="O17" i="2840"/>
  <c r="J17" i="2840"/>
  <c r="G17" i="2840"/>
  <c r="F17" i="2840"/>
  <c r="S16" i="2840"/>
  <c r="O16" i="2840"/>
  <c r="J16" i="2840"/>
  <c r="G16" i="2840"/>
  <c r="F16" i="2840"/>
  <c r="S15" i="2840"/>
  <c r="O15" i="2840"/>
  <c r="J15" i="2840"/>
  <c r="G15" i="2840"/>
  <c r="F15" i="2840"/>
  <c r="K40" i="2721"/>
  <c r="I40" i="2721"/>
  <c r="H40" i="2721"/>
  <c r="K39" i="2721"/>
  <c r="I39" i="2721"/>
  <c r="H39" i="2721"/>
  <c r="K38" i="2721"/>
  <c r="I38" i="2721"/>
  <c r="H38" i="2721"/>
  <c r="S10" i="2840"/>
  <c r="O10" i="2840"/>
  <c r="J10" i="2840"/>
  <c r="G10" i="2840"/>
  <c r="F10" i="2840"/>
  <c r="S9" i="2840"/>
  <c r="O9" i="2840"/>
  <c r="J9" i="2840"/>
  <c r="F9" i="2840"/>
  <c r="K42" i="2724"/>
  <c r="I42" i="2724"/>
  <c r="H42" i="2724"/>
  <c r="K41" i="2724"/>
  <c r="G9" i="2840"/>
  <c r="I41" i="2724"/>
  <c r="H41" i="2724"/>
  <c r="O119" i="2840"/>
  <c r="L113" i="2840"/>
  <c r="E113" i="2840"/>
  <c r="M108" i="2840"/>
  <c r="C108" i="2840"/>
  <c r="M107" i="2840"/>
  <c r="C107" i="2840"/>
  <c r="M106" i="2840"/>
  <c r="C106" i="2840"/>
  <c r="M105" i="2840"/>
  <c r="C105" i="2840"/>
  <c r="M104" i="2840"/>
  <c r="C104" i="2840"/>
  <c r="M103" i="2840"/>
  <c r="C103" i="2840"/>
  <c r="M102" i="2840"/>
  <c r="C102" i="2840"/>
  <c r="M101" i="2840"/>
  <c r="C101" i="2840"/>
  <c r="M100" i="2840"/>
  <c r="C100" i="2840"/>
  <c r="M99" i="2840"/>
  <c r="C99" i="2840"/>
  <c r="I30" i="2840"/>
  <c r="N28" i="2840"/>
  <c r="N27" i="2840"/>
  <c r="N26" i="2840"/>
  <c r="N25" i="2840"/>
  <c r="N24" i="2840"/>
  <c r="N23" i="2840"/>
  <c r="N21" i="2840"/>
  <c r="N17" i="2840"/>
  <c r="N15" i="2840"/>
  <c r="S98" i="2839"/>
  <c r="M98" i="2839"/>
  <c r="K98" i="2839"/>
  <c r="I98" i="2839"/>
  <c r="C98" i="2839"/>
  <c r="S97" i="2839"/>
  <c r="M97" i="2839"/>
  <c r="K97" i="2839"/>
  <c r="I97" i="2839"/>
  <c r="C97" i="2839"/>
  <c r="S96" i="2839"/>
  <c r="M96" i="2839"/>
  <c r="K96" i="2839"/>
  <c r="I96" i="2839"/>
  <c r="C96" i="2839"/>
  <c r="O119" i="2839"/>
  <c r="Q113" i="2839"/>
  <c r="Q114" i="2839"/>
  <c r="S94" i="2839"/>
  <c r="M94" i="2839"/>
  <c r="K94" i="2839"/>
  <c r="I94" i="2839"/>
  <c r="C94" i="2839"/>
  <c r="S90" i="2839"/>
  <c r="M90" i="2839"/>
  <c r="K90" i="2839"/>
  <c r="C90" i="2839"/>
  <c r="S89" i="2839"/>
  <c r="M89" i="2839"/>
  <c r="K89" i="2839"/>
  <c r="C89" i="2839"/>
  <c r="S88" i="2839"/>
  <c r="M88" i="2839"/>
  <c r="K88" i="2839"/>
  <c r="C88" i="2839"/>
  <c r="E113" i="2839"/>
  <c r="E114" i="2839"/>
  <c r="S85" i="2839"/>
  <c r="O85" i="2839"/>
  <c r="J85" i="2839"/>
  <c r="C85" i="2839"/>
  <c r="K85" i="2839"/>
  <c r="O82" i="2839"/>
  <c r="S83" i="2839"/>
  <c r="O83" i="2839"/>
  <c r="K83" i="2839"/>
  <c r="C83" i="2839"/>
  <c r="S82" i="2839"/>
  <c r="C82" i="2839"/>
  <c r="J83" i="2839"/>
  <c r="L82" i="2839"/>
  <c r="J82" i="2839"/>
  <c r="S81" i="2839"/>
  <c r="K81" i="2839"/>
  <c r="C81" i="2839"/>
  <c r="S80" i="2839"/>
  <c r="K80" i="2839"/>
  <c r="C80" i="2839"/>
  <c r="J81" i="2839"/>
  <c r="J80" i="2839"/>
  <c r="S75" i="2839"/>
  <c r="O75" i="2839"/>
  <c r="K75" i="2839"/>
  <c r="C75" i="2839"/>
  <c r="S74" i="2839"/>
  <c r="O74" i="2839"/>
  <c r="K74" i="2839"/>
  <c r="C74" i="2839"/>
  <c r="J75" i="2839"/>
  <c r="S73" i="2839"/>
  <c r="O73" i="2839"/>
  <c r="K73" i="2839"/>
  <c r="C73" i="2839"/>
  <c r="J73" i="2839"/>
  <c r="S72" i="2839"/>
  <c r="O72" i="2839"/>
  <c r="K72" i="2839"/>
  <c r="C72" i="2839"/>
  <c r="S71" i="2839"/>
  <c r="O71" i="2839"/>
  <c r="K71" i="2839"/>
  <c r="C71" i="2839"/>
  <c r="S70" i="2839"/>
  <c r="O70" i="2839"/>
  <c r="K70" i="2839"/>
  <c r="C70" i="2839"/>
  <c r="J71" i="2839"/>
  <c r="J70" i="2839"/>
  <c r="J68" i="2839"/>
  <c r="S68" i="2839"/>
  <c r="O68" i="2839"/>
  <c r="C68" i="2839"/>
  <c r="K68" i="2839"/>
  <c r="S66" i="2839"/>
  <c r="O66" i="2839"/>
  <c r="K66" i="2839"/>
  <c r="C66" i="2839"/>
  <c r="S65" i="2839"/>
  <c r="O65" i="2839"/>
  <c r="K65" i="2839"/>
  <c r="C65" i="2839"/>
  <c r="J66" i="2839"/>
  <c r="J65" i="2839"/>
  <c r="S64" i="2839"/>
  <c r="O64" i="2839"/>
  <c r="K64" i="2839"/>
  <c r="C64" i="2839"/>
  <c r="J64" i="2839"/>
  <c r="L64" i="2839"/>
  <c r="N64" i="2839"/>
  <c r="O60" i="2839"/>
  <c r="K60" i="2839"/>
  <c r="C60" i="2839"/>
  <c r="S59" i="2839"/>
  <c r="O59" i="2839"/>
  <c r="C59" i="2839"/>
  <c r="S58" i="2839"/>
  <c r="O58" i="2839"/>
  <c r="C58" i="2839"/>
  <c r="J60" i="2839"/>
  <c r="K59" i="2839"/>
  <c r="J59" i="2839"/>
  <c r="K58" i="2839"/>
  <c r="J58" i="2839"/>
  <c r="S55" i="2839"/>
  <c r="O55" i="2839"/>
  <c r="C55" i="2839"/>
  <c r="S54" i="2839"/>
  <c r="O54" i="2839"/>
  <c r="K54" i="2839"/>
  <c r="J54" i="2839"/>
  <c r="C54" i="2839"/>
  <c r="L55" i="2839"/>
  <c r="K55" i="2839"/>
  <c r="J55" i="2839"/>
  <c r="S53" i="2839"/>
  <c r="O53" i="2839"/>
  <c r="K53" i="2839"/>
  <c r="C53" i="2839"/>
  <c r="S52" i="2839"/>
  <c r="O52" i="2839"/>
  <c r="C52" i="2839"/>
  <c r="J53" i="2839"/>
  <c r="K52" i="2839"/>
  <c r="J52" i="2839"/>
  <c r="S22" i="2839"/>
  <c r="O22" i="2839"/>
  <c r="J22" i="2839"/>
  <c r="G22" i="2839"/>
  <c r="F22" i="2839"/>
  <c r="S21" i="2839"/>
  <c r="O21" i="2839"/>
  <c r="J21" i="2839"/>
  <c r="F21" i="2839"/>
  <c r="K42" i="2085"/>
  <c r="I42" i="2085"/>
  <c r="K41" i="2085"/>
  <c r="G21" i="2839"/>
  <c r="I41" i="2085"/>
  <c r="H41" i="2085"/>
  <c r="S20" i="2839"/>
  <c r="O20" i="2839"/>
  <c r="J20" i="2839"/>
  <c r="F20" i="2839"/>
  <c r="O19" i="2839"/>
  <c r="J19" i="2839"/>
  <c r="G19" i="2839"/>
  <c r="F19" i="2839"/>
  <c r="S18" i="2839"/>
  <c r="O18" i="2839"/>
  <c r="J18" i="2839"/>
  <c r="G18" i="2839"/>
  <c r="F18" i="2839"/>
  <c r="K41" i="2720"/>
  <c r="G20" i="2839"/>
  <c r="I41" i="2720"/>
  <c r="H41" i="2720"/>
  <c r="K40" i="2720"/>
  <c r="K39" i="2720"/>
  <c r="I39" i="2720"/>
  <c r="H39" i="2720"/>
  <c r="S17" i="2839"/>
  <c r="O17" i="2839"/>
  <c r="J17" i="2839"/>
  <c r="F17" i="2839"/>
  <c r="S16" i="2839"/>
  <c r="O16" i="2839"/>
  <c r="J16" i="2839"/>
  <c r="G16" i="2839"/>
  <c r="F16" i="2839"/>
  <c r="L37" i="2721"/>
  <c r="K37" i="2721"/>
  <c r="G17" i="2839"/>
  <c r="I37" i="2721"/>
  <c r="H37" i="2721"/>
  <c r="K36" i="2721"/>
  <c r="I36" i="2721"/>
  <c r="H36" i="2721"/>
  <c r="S11" i="2839"/>
  <c r="O11" i="2839"/>
  <c r="J11" i="2839"/>
  <c r="G11" i="2839"/>
  <c r="F11" i="2839"/>
  <c r="O10" i="2839"/>
  <c r="J10" i="2839"/>
  <c r="F10" i="2839"/>
  <c r="S9" i="2839"/>
  <c r="O9" i="2839"/>
  <c r="J9" i="2839"/>
  <c r="F9" i="2839"/>
  <c r="K40" i="2724"/>
  <c r="I40" i="2724"/>
  <c r="H40" i="2724"/>
  <c r="K39" i="2724"/>
  <c r="G10" i="2839"/>
  <c r="I39" i="2724"/>
  <c r="H39" i="2724"/>
  <c r="K38" i="2724"/>
  <c r="G9" i="2839"/>
  <c r="O120" i="2839"/>
  <c r="L114" i="2839"/>
  <c r="M109" i="2839"/>
  <c r="C109" i="2839"/>
  <c r="M108" i="2839"/>
  <c r="C108" i="2839"/>
  <c r="M107" i="2839"/>
  <c r="C107" i="2839"/>
  <c r="M106" i="2839"/>
  <c r="C106" i="2839"/>
  <c r="M105" i="2839"/>
  <c r="C105" i="2839"/>
  <c r="M104" i="2839"/>
  <c r="C104" i="2839"/>
  <c r="M103" i="2839"/>
  <c r="C103" i="2839"/>
  <c r="M102" i="2839"/>
  <c r="C102" i="2839"/>
  <c r="M101" i="2839"/>
  <c r="C101" i="2839"/>
  <c r="M100" i="2839"/>
  <c r="C100" i="2839"/>
  <c r="I31" i="2839"/>
  <c r="N29" i="2839"/>
  <c r="N28" i="2839"/>
  <c r="N27" i="2839"/>
  <c r="N26" i="2839"/>
  <c r="N25" i="2839"/>
  <c r="N24" i="2839"/>
  <c r="S97" i="2838"/>
  <c r="M97" i="2838"/>
  <c r="K97" i="2838"/>
  <c r="I97" i="2838"/>
  <c r="C97" i="2838"/>
  <c r="O119" i="2838"/>
  <c r="S95" i="2838"/>
  <c r="M95" i="2838"/>
  <c r="K95" i="2838"/>
  <c r="I95" i="2838"/>
  <c r="C95" i="2838"/>
  <c r="S94" i="2838"/>
  <c r="M94" i="2838"/>
  <c r="K94" i="2838"/>
  <c r="I94" i="2838"/>
  <c r="C94" i="2838"/>
  <c r="Q113" i="2838"/>
  <c r="S90" i="2838"/>
  <c r="M90" i="2838"/>
  <c r="K90" i="2838"/>
  <c r="C90" i="2838"/>
  <c r="S89" i="2838"/>
  <c r="M89" i="2838"/>
  <c r="K89" i="2838"/>
  <c r="C89" i="2838"/>
  <c r="S88" i="2838"/>
  <c r="M88" i="2838"/>
  <c r="K88" i="2838"/>
  <c r="C88" i="2838"/>
  <c r="E113" i="2838"/>
  <c r="E114" i="2838"/>
  <c r="S85" i="2838"/>
  <c r="O85" i="2838"/>
  <c r="J85" i="2838"/>
  <c r="C85" i="2838"/>
  <c r="S84" i="2838"/>
  <c r="O84" i="2838"/>
  <c r="K84" i="2838"/>
  <c r="C84" i="2838"/>
  <c r="K85" i="2838"/>
  <c r="J84" i="2838"/>
  <c r="S83" i="2838"/>
  <c r="O83" i="2838"/>
  <c r="C83" i="2838"/>
  <c r="S82" i="2838"/>
  <c r="C82" i="2838"/>
  <c r="K83" i="2838"/>
  <c r="J83" i="2838"/>
  <c r="K82" i="2838"/>
  <c r="J82" i="2838"/>
  <c r="S81" i="2838"/>
  <c r="K81" i="2838"/>
  <c r="C81" i="2838"/>
  <c r="K80" i="2838"/>
  <c r="C80" i="2838"/>
  <c r="S79" i="2838"/>
  <c r="O79" i="2838"/>
  <c r="K79" i="2838"/>
  <c r="C79" i="2838"/>
  <c r="J80" i="2838"/>
  <c r="J81" i="2838"/>
  <c r="J79" i="2838"/>
  <c r="S75" i="2838"/>
  <c r="O75" i="2838"/>
  <c r="K75" i="2838"/>
  <c r="C75" i="2838"/>
  <c r="J75" i="2838"/>
  <c r="S74" i="2838"/>
  <c r="O74" i="2838"/>
  <c r="K74" i="2838"/>
  <c r="J74" i="2838"/>
  <c r="C74" i="2838"/>
  <c r="S73" i="2838"/>
  <c r="O73" i="2838"/>
  <c r="C73" i="2838"/>
  <c r="L73" i="2838"/>
  <c r="S70" i="2838"/>
  <c r="S69" i="2838"/>
  <c r="O70" i="2838"/>
  <c r="K70" i="2838"/>
  <c r="C70" i="2838"/>
  <c r="O69" i="2838"/>
  <c r="K69" i="2838"/>
  <c r="C69" i="2838"/>
  <c r="J70" i="2838"/>
  <c r="S68" i="2838"/>
  <c r="O68" i="2838"/>
  <c r="J68" i="2838"/>
  <c r="C68" i="2838"/>
  <c r="S67" i="2838"/>
  <c r="O67" i="2838"/>
  <c r="C67" i="2838"/>
  <c r="L68" i="2838"/>
  <c r="K67" i="2838"/>
  <c r="J67" i="2838"/>
  <c r="S65" i="2838"/>
  <c r="O65" i="2838"/>
  <c r="K65" i="2838"/>
  <c r="C65" i="2838"/>
  <c r="S64" i="2838"/>
  <c r="O64" i="2838"/>
  <c r="K64" i="2838"/>
  <c r="C64" i="2838"/>
  <c r="J65" i="2838"/>
  <c r="J64" i="2838"/>
  <c r="S61" i="2838"/>
  <c r="O61" i="2838"/>
  <c r="K61" i="2838"/>
  <c r="J61" i="2838"/>
  <c r="C61" i="2838"/>
  <c r="S55" i="2838"/>
  <c r="O55" i="2838"/>
  <c r="C55" i="2838"/>
  <c r="K55" i="2838"/>
  <c r="J55" i="2838"/>
  <c r="S53" i="2838"/>
  <c r="O53" i="2838"/>
  <c r="C53" i="2838"/>
  <c r="S52" i="2838"/>
  <c r="O52" i="2838"/>
  <c r="K52" i="2838"/>
  <c r="C52" i="2838"/>
  <c r="K53" i="2838"/>
  <c r="J53" i="2838"/>
  <c r="J52" i="2838"/>
  <c r="O22" i="2838"/>
  <c r="J22" i="2838"/>
  <c r="N22" i="2838"/>
  <c r="F22" i="2838"/>
  <c r="S21" i="2838"/>
  <c r="O21" i="2838"/>
  <c r="J21" i="2838"/>
  <c r="N21" i="2838"/>
  <c r="F21" i="2838"/>
  <c r="S20" i="2838"/>
  <c r="O20" i="2838"/>
  <c r="J20" i="2838"/>
  <c r="N20" i="2838"/>
  <c r="G20" i="2838"/>
  <c r="F20" i="2838"/>
  <c r="K40" i="2085"/>
  <c r="G22" i="2838"/>
  <c r="K39" i="2085"/>
  <c r="G21" i="2838"/>
  <c r="I39" i="2085"/>
  <c r="H39" i="2085"/>
  <c r="K38" i="2085"/>
  <c r="I38" i="2085"/>
  <c r="H38" i="2085"/>
  <c r="S19" i="2838"/>
  <c r="O19" i="2838"/>
  <c r="J19" i="2838"/>
  <c r="G19" i="2838"/>
  <c r="F19" i="2838"/>
  <c r="S18" i="2838"/>
  <c r="O18" i="2838"/>
  <c r="J18" i="2838"/>
  <c r="N18" i="2838"/>
  <c r="F18" i="2838"/>
  <c r="K38" i="2720"/>
  <c r="I38" i="2720"/>
  <c r="H38" i="2720"/>
  <c r="K37" i="2720"/>
  <c r="G18" i="2838"/>
  <c r="I37" i="2720"/>
  <c r="H37" i="2720"/>
  <c r="O17" i="2838"/>
  <c r="J17" i="2838"/>
  <c r="F17" i="2838"/>
  <c r="S16" i="2838"/>
  <c r="O16" i="2838"/>
  <c r="J16" i="2838"/>
  <c r="F16" i="2838"/>
  <c r="K35" i="2721"/>
  <c r="G17" i="2838"/>
  <c r="N17" i="2838"/>
  <c r="L34" i="2721"/>
  <c r="K34" i="2721"/>
  <c r="G16" i="2838"/>
  <c r="I34" i="2721"/>
  <c r="H34" i="2721"/>
  <c r="S12" i="2838"/>
  <c r="O12" i="2838"/>
  <c r="J12" i="2838"/>
  <c r="N12" i="2838"/>
  <c r="F12" i="2838"/>
  <c r="S11" i="2838"/>
  <c r="O11" i="2838"/>
  <c r="F11" i="2838"/>
  <c r="K39" i="2723"/>
  <c r="G12" i="2838"/>
  <c r="L38" i="2723"/>
  <c r="J11" i="2838"/>
  <c r="K38" i="2723"/>
  <c r="P38" i="2723"/>
  <c r="K11" i="2838"/>
  <c r="I38" i="2723"/>
  <c r="S10" i="2838"/>
  <c r="O10" i="2838"/>
  <c r="J10" i="2838"/>
  <c r="F10" i="2838"/>
  <c r="S9" i="2838"/>
  <c r="O9" i="2838"/>
  <c r="J9" i="2838"/>
  <c r="F9" i="2838"/>
  <c r="K37" i="2724"/>
  <c r="G10" i="2838"/>
  <c r="I37" i="2724"/>
  <c r="H37" i="2724"/>
  <c r="K36" i="2724"/>
  <c r="G9" i="2838"/>
  <c r="I36" i="2724"/>
  <c r="H36" i="2724"/>
  <c r="O120" i="2838"/>
  <c r="Q114" i="2838"/>
  <c r="L114" i="2838"/>
  <c r="M109" i="2838"/>
  <c r="C109" i="2838"/>
  <c r="M108" i="2838"/>
  <c r="C108" i="2838"/>
  <c r="M107" i="2838"/>
  <c r="C107" i="2838"/>
  <c r="M106" i="2838"/>
  <c r="C106" i="2838"/>
  <c r="M105" i="2838"/>
  <c r="C105" i="2838"/>
  <c r="M104" i="2838"/>
  <c r="C104" i="2838"/>
  <c r="M103" i="2838"/>
  <c r="C103" i="2838"/>
  <c r="M102" i="2838"/>
  <c r="C102" i="2838"/>
  <c r="M101" i="2838"/>
  <c r="C101" i="2838"/>
  <c r="M100" i="2838"/>
  <c r="C100" i="2838"/>
  <c r="I31" i="2838"/>
  <c r="N29" i="2838"/>
  <c r="N28" i="2838"/>
  <c r="N27" i="2838"/>
  <c r="N26" i="2838"/>
  <c r="N25" i="2838"/>
  <c r="N24" i="2838"/>
  <c r="O123" i="2837"/>
  <c r="S101" i="2837"/>
  <c r="M101" i="2837"/>
  <c r="K101" i="2837"/>
  <c r="I101" i="2837"/>
  <c r="C101" i="2837"/>
  <c r="S100" i="2837"/>
  <c r="M100" i="2837"/>
  <c r="K100" i="2837"/>
  <c r="I100" i="2837"/>
  <c r="C100" i="2837"/>
  <c r="S98" i="2837"/>
  <c r="M98" i="2837"/>
  <c r="K98" i="2837"/>
  <c r="I98" i="2837"/>
  <c r="C98" i="2837"/>
  <c r="S97" i="2837"/>
  <c r="M97" i="2837"/>
  <c r="K97" i="2837"/>
  <c r="I97" i="2837"/>
  <c r="C97" i="2837"/>
  <c r="S96" i="2837"/>
  <c r="M96" i="2837"/>
  <c r="K96" i="2837"/>
  <c r="I96" i="2837"/>
  <c r="C96" i="2837"/>
  <c r="Q117" i="2837"/>
  <c r="S94" i="2837"/>
  <c r="M94" i="2837"/>
  <c r="K94" i="2837"/>
  <c r="I94" i="2837"/>
  <c r="C94" i="2837"/>
  <c r="L117" i="2837"/>
  <c r="L118" i="2837"/>
  <c r="S92" i="2837"/>
  <c r="M92" i="2837"/>
  <c r="K92" i="2837"/>
  <c r="C92" i="2837"/>
  <c r="E117" i="2837"/>
  <c r="E118" i="2837"/>
  <c r="S89" i="2837"/>
  <c r="O89" i="2837"/>
  <c r="K89" i="2837"/>
  <c r="C89" i="2837"/>
  <c r="S88" i="2837"/>
  <c r="O88" i="2837"/>
  <c r="K88" i="2837"/>
  <c r="J88" i="2837"/>
  <c r="C88" i="2837"/>
  <c r="S87" i="2837"/>
  <c r="O87" i="2837"/>
  <c r="C87" i="2837"/>
  <c r="S86" i="2837"/>
  <c r="C86" i="2837"/>
  <c r="K87" i="2837"/>
  <c r="J87" i="2837"/>
  <c r="K86" i="2837"/>
  <c r="J86" i="2837"/>
  <c r="S85" i="2837"/>
  <c r="K85" i="2837"/>
  <c r="C85" i="2837"/>
  <c r="S84" i="2837"/>
  <c r="O84" i="2837"/>
  <c r="K84" i="2837"/>
  <c r="C84" i="2837"/>
  <c r="J85" i="2837"/>
  <c r="J84" i="2837"/>
  <c r="S81" i="2837"/>
  <c r="O81" i="2837"/>
  <c r="C81" i="2837"/>
  <c r="K81" i="2837"/>
  <c r="J81" i="2837"/>
  <c r="S79" i="2837"/>
  <c r="O79" i="2837"/>
  <c r="K79" i="2837"/>
  <c r="C79" i="2837"/>
  <c r="O78" i="2837"/>
  <c r="K78" i="2837"/>
  <c r="C78" i="2837"/>
  <c r="S77" i="2837"/>
  <c r="O77" i="2837"/>
  <c r="K77" i="2837"/>
  <c r="J77" i="2837"/>
  <c r="C77" i="2837"/>
  <c r="J79" i="2837"/>
  <c r="N77" i="2837"/>
  <c r="G77" i="2837"/>
  <c r="L77" i="2837"/>
  <c r="J78" i="2837"/>
  <c r="S75" i="2837"/>
  <c r="O75" i="2837"/>
  <c r="K75" i="2837"/>
  <c r="J75" i="2837"/>
  <c r="C75" i="2837"/>
  <c r="O74" i="2837"/>
  <c r="K74" i="2837"/>
  <c r="J74" i="2837"/>
  <c r="C74" i="2837"/>
  <c r="S73" i="2837"/>
  <c r="O73" i="2837"/>
  <c r="K73" i="2837"/>
  <c r="C73" i="2837"/>
  <c r="N73" i="2837"/>
  <c r="L73" i="2837"/>
  <c r="J73" i="2837"/>
  <c r="S71" i="2837"/>
  <c r="O71" i="2837"/>
  <c r="C71" i="2837"/>
  <c r="O70" i="2837"/>
  <c r="C70" i="2837"/>
  <c r="S69" i="2837"/>
  <c r="O69" i="2837"/>
  <c r="J69" i="2837"/>
  <c r="C69" i="2837"/>
  <c r="K71" i="2837"/>
  <c r="J71" i="2837"/>
  <c r="K69" i="2837"/>
  <c r="S67" i="2837"/>
  <c r="O67" i="2837"/>
  <c r="K67" i="2837"/>
  <c r="J67" i="2837"/>
  <c r="C67" i="2837"/>
  <c r="S66" i="2837"/>
  <c r="O66" i="2837"/>
  <c r="K66" i="2837"/>
  <c r="C66" i="2837"/>
  <c r="J66" i="2837"/>
  <c r="S60" i="2837"/>
  <c r="O60" i="2837"/>
  <c r="K60" i="2837"/>
  <c r="J60" i="2837"/>
  <c r="C60" i="2837"/>
  <c r="S57" i="2837"/>
  <c r="O57" i="2837"/>
  <c r="K57" i="2837"/>
  <c r="C57" i="2837"/>
  <c r="S56" i="2837"/>
  <c r="O56" i="2837"/>
  <c r="C56" i="2837"/>
  <c r="J57" i="2837"/>
  <c r="K56" i="2837"/>
  <c r="J56" i="2837"/>
  <c r="S54" i="2837"/>
  <c r="O54" i="2837"/>
  <c r="C54" i="2837"/>
  <c r="K54" i="2837"/>
  <c r="S53" i="2837"/>
  <c r="O53" i="2837"/>
  <c r="C53" i="2837"/>
  <c r="K53" i="2837"/>
  <c r="J53" i="2837"/>
  <c r="S24" i="2837"/>
  <c r="O24" i="2837"/>
  <c r="J24" i="2837"/>
  <c r="G24" i="2837"/>
  <c r="N24" i="2837"/>
  <c r="F24" i="2837"/>
  <c r="O23" i="2837"/>
  <c r="J23" i="2837"/>
  <c r="F23" i="2837"/>
  <c r="S22" i="2837"/>
  <c r="O22" i="2837"/>
  <c r="J22" i="2837"/>
  <c r="G22" i="2837"/>
  <c r="N22" i="2837"/>
  <c r="F22" i="2837"/>
  <c r="K37" i="2085"/>
  <c r="I37" i="2085"/>
  <c r="K36" i="2085"/>
  <c r="G23" i="2837"/>
  <c r="N23" i="2837"/>
  <c r="I36" i="2085"/>
  <c r="H35" i="2085"/>
  <c r="L35" i="2085"/>
  <c r="K35" i="2085"/>
  <c r="S24" i="2836"/>
  <c r="O24" i="2836"/>
  <c r="J24" i="2836"/>
  <c r="F24" i="2836"/>
  <c r="R34" i="2085"/>
  <c r="K34" i="2085"/>
  <c r="P34" i="2085"/>
  <c r="K24" i="2836"/>
  <c r="Q34" i="2085"/>
  <c r="I34" i="2085"/>
  <c r="H34" i="2085"/>
  <c r="R33" i="2085"/>
  <c r="Q33" i="2085"/>
  <c r="P33" i="2085"/>
  <c r="O21" i="2837"/>
  <c r="J21" i="2837"/>
  <c r="G21" i="2837"/>
  <c r="F21" i="2837"/>
  <c r="S20" i="2837"/>
  <c r="O20" i="2837"/>
  <c r="J20" i="2837"/>
  <c r="N20" i="2837"/>
  <c r="G20" i="2837"/>
  <c r="F20" i="2837"/>
  <c r="S19" i="2837"/>
  <c r="O19" i="2837"/>
  <c r="J19" i="2837"/>
  <c r="G19" i="2837"/>
  <c r="F19" i="2837"/>
  <c r="K36" i="2720"/>
  <c r="I36" i="2720"/>
  <c r="H36" i="2720"/>
  <c r="K35" i="2720"/>
  <c r="K34" i="2720"/>
  <c r="I34" i="2720"/>
  <c r="H34" i="2720"/>
  <c r="O14" i="2837"/>
  <c r="J14" i="2837"/>
  <c r="F14" i="2837"/>
  <c r="S13" i="2837"/>
  <c r="O13" i="2837"/>
  <c r="G13" i="2837"/>
  <c r="F13" i="2837"/>
  <c r="S12" i="2837"/>
  <c r="O12" i="2837"/>
  <c r="J12" i="2837"/>
  <c r="F12" i="2837"/>
  <c r="K37" i="2723"/>
  <c r="G14" i="2837"/>
  <c r="I37" i="2723"/>
  <c r="L36" i="2723"/>
  <c r="J13" i="2837"/>
  <c r="N13" i="2837"/>
  <c r="K36" i="2723"/>
  <c r="K35" i="2723"/>
  <c r="Q35" i="2723"/>
  <c r="I35" i="2723"/>
  <c r="S11" i="2837"/>
  <c r="O11" i="2837"/>
  <c r="J11" i="2837"/>
  <c r="G11" i="2837"/>
  <c r="F11" i="2837"/>
  <c r="O10" i="2837"/>
  <c r="J10" i="2837"/>
  <c r="F10" i="2837"/>
  <c r="S9" i="2837"/>
  <c r="O9" i="2837"/>
  <c r="J9" i="2837"/>
  <c r="N9" i="2837"/>
  <c r="G9" i="2837"/>
  <c r="F9" i="2837"/>
  <c r="K35" i="2724"/>
  <c r="I35" i="2724"/>
  <c r="H35" i="2724"/>
  <c r="K34" i="2724"/>
  <c r="G10" i="2837"/>
  <c r="I34" i="2724"/>
  <c r="H34" i="2724"/>
  <c r="L33" i="2724"/>
  <c r="K33" i="2724"/>
  <c r="N11" i="2837"/>
  <c r="O124" i="2837"/>
  <c r="Q118" i="2837"/>
  <c r="M113" i="2837"/>
  <c r="C113" i="2837"/>
  <c r="M112" i="2837"/>
  <c r="C112" i="2837"/>
  <c r="M111" i="2837"/>
  <c r="C111" i="2837"/>
  <c r="M110" i="2837"/>
  <c r="C110" i="2837"/>
  <c r="M109" i="2837"/>
  <c r="C109" i="2837"/>
  <c r="M108" i="2837"/>
  <c r="C108" i="2837"/>
  <c r="M107" i="2837"/>
  <c r="C107" i="2837"/>
  <c r="M106" i="2837"/>
  <c r="C106" i="2837"/>
  <c r="M105" i="2837"/>
  <c r="C105" i="2837"/>
  <c r="M104" i="2837"/>
  <c r="C104" i="2837"/>
  <c r="I33" i="2837"/>
  <c r="N31" i="2837"/>
  <c r="N30" i="2837"/>
  <c r="N29" i="2837"/>
  <c r="N28" i="2837"/>
  <c r="N27" i="2837"/>
  <c r="N26" i="2837"/>
  <c r="S98" i="2836"/>
  <c r="M98" i="2836"/>
  <c r="K98" i="2836"/>
  <c r="I98" i="2836"/>
  <c r="C98" i="2836"/>
  <c r="O120" i="2836"/>
  <c r="O121" i="2836"/>
  <c r="S96" i="2836"/>
  <c r="M96" i="2836"/>
  <c r="K96" i="2836"/>
  <c r="I96" i="2836"/>
  <c r="C96" i="2836"/>
  <c r="S95" i="2836"/>
  <c r="M95" i="2836"/>
  <c r="K95" i="2836"/>
  <c r="I95" i="2836"/>
  <c r="C95" i="2836"/>
  <c r="S94" i="2836"/>
  <c r="M94" i="2836"/>
  <c r="K94" i="2836"/>
  <c r="I94" i="2836"/>
  <c r="C94" i="2836"/>
  <c r="L96" i="2836"/>
  <c r="N96" i="2836"/>
  <c r="L95" i="2836"/>
  <c r="N95" i="2836"/>
  <c r="L94" i="2836"/>
  <c r="N94" i="2836"/>
  <c r="Q114" i="2836"/>
  <c r="S92" i="2836"/>
  <c r="M92" i="2836"/>
  <c r="K92" i="2836"/>
  <c r="I92" i="2836"/>
  <c r="C92" i="2836"/>
  <c r="L114" i="2836"/>
  <c r="L115" i="2836"/>
  <c r="S90" i="2836"/>
  <c r="M90" i="2836"/>
  <c r="C90" i="2836"/>
  <c r="L64" i="2716"/>
  <c r="E114" i="2836"/>
  <c r="E115" i="2836"/>
  <c r="O83" i="2836"/>
  <c r="O84" i="2836"/>
  <c r="S85" i="2836"/>
  <c r="O85" i="2836"/>
  <c r="C85" i="2836"/>
  <c r="S84" i="2836"/>
  <c r="C84" i="2836"/>
  <c r="S83" i="2836"/>
  <c r="K83" i="2836"/>
  <c r="J83" i="2836"/>
  <c r="C83" i="2836"/>
  <c r="L85" i="2836"/>
  <c r="J85" i="2836"/>
  <c r="K84" i="2836"/>
  <c r="N83" i="2836"/>
  <c r="J84" i="2836"/>
  <c r="O81" i="2836"/>
  <c r="S82" i="2836"/>
  <c r="K82" i="2836"/>
  <c r="C82" i="2836"/>
  <c r="S81" i="2836"/>
  <c r="C81" i="2836"/>
  <c r="J82" i="2836"/>
  <c r="K81" i="2836"/>
  <c r="J81" i="2836"/>
  <c r="S78" i="2836"/>
  <c r="O78" i="2836"/>
  <c r="K78" i="2836"/>
  <c r="C78" i="2836"/>
  <c r="S77" i="2836"/>
  <c r="O77" i="2836"/>
  <c r="K77" i="2836"/>
  <c r="C77" i="2836"/>
  <c r="J78" i="2836"/>
  <c r="J77" i="2836"/>
  <c r="S76" i="2836"/>
  <c r="O76" i="2836"/>
  <c r="J76" i="2836"/>
  <c r="C76" i="2836"/>
  <c r="S75" i="2836"/>
  <c r="O75" i="2836"/>
  <c r="C75" i="2836"/>
  <c r="N75" i="2836"/>
  <c r="G75" i="2836"/>
  <c r="L75" i="2836"/>
  <c r="J75" i="2836"/>
  <c r="S74" i="2836"/>
  <c r="O74" i="2836"/>
  <c r="C74" i="2836"/>
  <c r="S73" i="2836"/>
  <c r="O73" i="2836"/>
  <c r="K73" i="2836"/>
  <c r="C73" i="2836"/>
  <c r="L74" i="2836"/>
  <c r="J74" i="2836"/>
  <c r="J73" i="2836"/>
  <c r="S72" i="2836"/>
  <c r="O72" i="2836"/>
  <c r="K72" i="2836"/>
  <c r="C72" i="2836"/>
  <c r="S71" i="2836"/>
  <c r="O71" i="2836"/>
  <c r="K71" i="2836"/>
  <c r="C71" i="2836"/>
  <c r="J72" i="2836"/>
  <c r="J71" i="2836"/>
  <c r="S67" i="2836"/>
  <c r="O67" i="2836"/>
  <c r="K67" i="2836"/>
  <c r="J67" i="2836"/>
  <c r="C67" i="2836"/>
  <c r="S66" i="2836"/>
  <c r="O66" i="2836"/>
  <c r="K66" i="2836"/>
  <c r="C66" i="2836"/>
  <c r="J66" i="2836"/>
  <c r="S64" i="2836"/>
  <c r="O64" i="2836"/>
  <c r="N64" i="2836"/>
  <c r="K64" i="2836"/>
  <c r="C64" i="2836"/>
  <c r="L64" i="2836"/>
  <c r="S61" i="2836"/>
  <c r="O61" i="2836"/>
  <c r="C61" i="2836"/>
  <c r="S60" i="2836"/>
  <c r="O60" i="2836"/>
  <c r="K60" i="2836"/>
  <c r="C60" i="2836"/>
  <c r="K61" i="2836"/>
  <c r="J61" i="2836"/>
  <c r="S57" i="2836"/>
  <c r="O57" i="2836"/>
  <c r="K57" i="2836"/>
  <c r="J57" i="2836"/>
  <c r="C57" i="2836"/>
  <c r="S56" i="2836"/>
  <c r="O56" i="2836"/>
  <c r="J56" i="2836"/>
  <c r="C56" i="2836"/>
  <c r="K56" i="2836"/>
  <c r="K68" i="2836" s="1"/>
  <c r="S55" i="2836"/>
  <c r="O55" i="2836"/>
  <c r="K55" i="2836"/>
  <c r="C55" i="2836"/>
  <c r="S54" i="2836"/>
  <c r="O54" i="2836"/>
  <c r="K54" i="2836"/>
  <c r="C54" i="2836"/>
  <c r="J54" i="2836"/>
  <c r="O22" i="2836"/>
  <c r="J22" i="2836"/>
  <c r="F22" i="2836"/>
  <c r="S21" i="2836"/>
  <c r="O21" i="2836"/>
  <c r="J21" i="2836"/>
  <c r="N21" i="2836"/>
  <c r="F21" i="2836"/>
  <c r="S20" i="2836"/>
  <c r="O20" i="2836"/>
  <c r="F20" i="2836"/>
  <c r="K33" i="2720"/>
  <c r="G22" i="2836"/>
  <c r="N22" i="2836"/>
  <c r="I33" i="2720"/>
  <c r="H33" i="2720"/>
  <c r="K32" i="2720"/>
  <c r="G21" i="2836"/>
  <c r="L31" i="2720"/>
  <c r="J20" i="2836"/>
  <c r="N20" i="2836"/>
  <c r="K31" i="2720"/>
  <c r="G20" i="2836"/>
  <c r="I31" i="2720"/>
  <c r="H31" i="2720"/>
  <c r="S15" i="2836"/>
  <c r="O15" i="2836"/>
  <c r="J15" i="2836"/>
  <c r="F15" i="2836"/>
  <c r="S14" i="2836"/>
  <c r="O14" i="2836"/>
  <c r="F14" i="2836"/>
  <c r="K34" i="2723"/>
  <c r="Q34" i="2723"/>
  <c r="I34" i="2723"/>
  <c r="L83" i="2836"/>
  <c r="L33" i="2723"/>
  <c r="J14" i="2836"/>
  <c r="K33" i="2723"/>
  <c r="G14" i="2836"/>
  <c r="I33" i="2723"/>
  <c r="O13" i="2836"/>
  <c r="J13" i="2836"/>
  <c r="F13" i="2836"/>
  <c r="S12" i="2836"/>
  <c r="O12" i="2836"/>
  <c r="J12" i="2836"/>
  <c r="G12" i="2836"/>
  <c r="F12" i="2836"/>
  <c r="O11" i="2836"/>
  <c r="J11" i="2836"/>
  <c r="G11" i="2836"/>
  <c r="F11" i="2836"/>
  <c r="O10" i="2836"/>
  <c r="J10" i="2836"/>
  <c r="G10" i="2836"/>
  <c r="F10" i="2836"/>
  <c r="S9" i="2836"/>
  <c r="O9" i="2836"/>
  <c r="J9" i="2836"/>
  <c r="J25" i="2836"/>
  <c r="F9" i="2836"/>
  <c r="K32" i="2724"/>
  <c r="G13" i="2836"/>
  <c r="K31" i="2724"/>
  <c r="I32" i="2724"/>
  <c r="H32" i="2724"/>
  <c r="K30" i="2724"/>
  <c r="K29" i="2724"/>
  <c r="I28" i="2724"/>
  <c r="H28" i="2724"/>
  <c r="L28" i="2724"/>
  <c r="K28" i="2724"/>
  <c r="G9" i="2836"/>
  <c r="P28" i="2724"/>
  <c r="Q115" i="2836"/>
  <c r="M110" i="2836"/>
  <c r="C110" i="2836"/>
  <c r="M109" i="2836"/>
  <c r="C109" i="2836"/>
  <c r="M108" i="2836"/>
  <c r="C108" i="2836"/>
  <c r="M107" i="2836"/>
  <c r="C107" i="2836"/>
  <c r="M106" i="2836"/>
  <c r="C106" i="2836"/>
  <c r="M105" i="2836"/>
  <c r="C105" i="2836"/>
  <c r="M104" i="2836"/>
  <c r="C104" i="2836"/>
  <c r="M103" i="2836"/>
  <c r="C103" i="2836"/>
  <c r="M102" i="2836"/>
  <c r="C102" i="2836"/>
  <c r="M101" i="2836"/>
  <c r="C101" i="2836"/>
  <c r="I33" i="2836"/>
  <c r="N31" i="2836"/>
  <c r="N30" i="2836"/>
  <c r="N29" i="2836"/>
  <c r="N28" i="2836"/>
  <c r="N27" i="2836"/>
  <c r="N26" i="2836"/>
  <c r="S95" i="2835"/>
  <c r="M95" i="2835"/>
  <c r="K95" i="2835"/>
  <c r="I95" i="2835"/>
  <c r="C95" i="2835"/>
  <c r="S94" i="2835"/>
  <c r="M94" i="2835"/>
  <c r="K94" i="2835"/>
  <c r="I94" i="2835"/>
  <c r="C94" i="2835"/>
  <c r="S93" i="2835"/>
  <c r="M93" i="2835"/>
  <c r="K93" i="2835"/>
  <c r="I93" i="2835"/>
  <c r="C93" i="2835"/>
  <c r="S92" i="2835"/>
  <c r="M92" i="2835"/>
  <c r="K92" i="2835"/>
  <c r="I92" i="2835"/>
  <c r="C92" i="2835"/>
  <c r="S91" i="2835"/>
  <c r="M91" i="2835"/>
  <c r="K91" i="2835"/>
  <c r="I91" i="2835"/>
  <c r="C91" i="2835"/>
  <c r="O117" i="2835"/>
  <c r="O118" i="2835"/>
  <c r="S89" i="2835"/>
  <c r="M89" i="2835"/>
  <c r="K89" i="2835"/>
  <c r="K97" i="2835" s="1"/>
  <c r="I89" i="2835"/>
  <c r="C89" i="2835"/>
  <c r="Q111" i="2835"/>
  <c r="Q112" i="2835"/>
  <c r="S87" i="2835"/>
  <c r="M87" i="2835"/>
  <c r="K87" i="2835"/>
  <c r="I87" i="2835"/>
  <c r="C87" i="2835"/>
  <c r="L111" i="2835"/>
  <c r="S80" i="2835"/>
  <c r="O80" i="2835"/>
  <c r="C80" i="2835"/>
  <c r="S79" i="2835"/>
  <c r="C79" i="2835"/>
  <c r="K80" i="2835"/>
  <c r="J80" i="2835"/>
  <c r="K79" i="2835"/>
  <c r="J79" i="2835"/>
  <c r="O78" i="2835"/>
  <c r="S78" i="2835"/>
  <c r="C78" i="2835"/>
  <c r="S77" i="2835"/>
  <c r="K77" i="2835"/>
  <c r="C77" i="2835"/>
  <c r="K78" i="2835"/>
  <c r="J78" i="2835"/>
  <c r="J77" i="2835"/>
  <c r="S74" i="2835"/>
  <c r="O74" i="2835"/>
  <c r="K74" i="2835"/>
  <c r="C74" i="2835"/>
  <c r="S73" i="2835"/>
  <c r="O73" i="2835"/>
  <c r="K73" i="2835"/>
  <c r="C73" i="2835"/>
  <c r="J74" i="2835"/>
  <c r="J73" i="2835"/>
  <c r="S72" i="2835"/>
  <c r="O72" i="2835"/>
  <c r="K72" i="2835"/>
  <c r="C72" i="2835"/>
  <c r="S71" i="2835"/>
  <c r="O71" i="2835"/>
  <c r="K71" i="2835"/>
  <c r="C71" i="2835"/>
  <c r="J72" i="2835"/>
  <c r="S70" i="2835"/>
  <c r="O70" i="2835"/>
  <c r="L70" i="2835"/>
  <c r="K70" i="2835"/>
  <c r="J70" i="2835"/>
  <c r="C70" i="2835"/>
  <c r="S69" i="2835"/>
  <c r="O69" i="2835"/>
  <c r="K69" i="2835"/>
  <c r="J69" i="2835"/>
  <c r="C69" i="2835"/>
  <c r="S68" i="2835"/>
  <c r="S67" i="2835"/>
  <c r="O68" i="2835"/>
  <c r="C68" i="2835"/>
  <c r="O67" i="2835"/>
  <c r="C67" i="2835"/>
  <c r="K68" i="2835"/>
  <c r="J68" i="2835"/>
  <c r="L67" i="2835"/>
  <c r="J67" i="2835"/>
  <c r="S63" i="2835"/>
  <c r="O63" i="2835"/>
  <c r="K63" i="2835"/>
  <c r="C63" i="2835"/>
  <c r="S62" i="2835"/>
  <c r="O62" i="2835"/>
  <c r="K62" i="2835"/>
  <c r="J62" i="2835"/>
  <c r="C62" i="2835"/>
  <c r="J63" i="2835"/>
  <c r="S60" i="2835"/>
  <c r="O60" i="2835"/>
  <c r="K60" i="2835"/>
  <c r="C60" i="2835"/>
  <c r="J60" i="2835"/>
  <c r="S57" i="2835"/>
  <c r="O57" i="2835"/>
  <c r="K57" i="2835"/>
  <c r="C57" i="2835"/>
  <c r="S56" i="2835"/>
  <c r="O56" i="2835"/>
  <c r="K56" i="2835"/>
  <c r="C56" i="2835"/>
  <c r="J57" i="2835"/>
  <c r="J56" i="2835"/>
  <c r="S53" i="2835"/>
  <c r="O53" i="2835"/>
  <c r="K53" i="2835"/>
  <c r="C53" i="2835"/>
  <c r="S52" i="2835"/>
  <c r="O52" i="2835"/>
  <c r="K52" i="2835"/>
  <c r="J52" i="2835"/>
  <c r="C52" i="2835"/>
  <c r="J53" i="2835"/>
  <c r="S51" i="2835"/>
  <c r="O51" i="2835"/>
  <c r="K51" i="2835"/>
  <c r="C51" i="2835"/>
  <c r="S50" i="2835"/>
  <c r="O50" i="2835"/>
  <c r="K50" i="2835"/>
  <c r="C50" i="2835"/>
  <c r="J51" i="2835"/>
  <c r="J50" i="2835"/>
  <c r="S20" i="2835"/>
  <c r="O20" i="2835"/>
  <c r="J20" i="2835"/>
  <c r="F20" i="2835"/>
  <c r="S19" i="2835"/>
  <c r="O19" i="2835"/>
  <c r="J19" i="2835"/>
  <c r="F19" i="2835"/>
  <c r="K28" i="2085"/>
  <c r="G20" i="2835"/>
  <c r="I28" i="2085"/>
  <c r="H28" i="2085"/>
  <c r="K27" i="2085"/>
  <c r="G19" i="2835"/>
  <c r="I27" i="2085"/>
  <c r="H27" i="2085"/>
  <c r="S18" i="2835"/>
  <c r="O18" i="2835"/>
  <c r="J18" i="2835"/>
  <c r="G18" i="2835"/>
  <c r="N18" i="2835"/>
  <c r="F18" i="2835"/>
  <c r="S17" i="2835"/>
  <c r="O17" i="2835"/>
  <c r="J17" i="2835"/>
  <c r="F17" i="2835"/>
  <c r="K26" i="2720"/>
  <c r="I26" i="2720"/>
  <c r="H26" i="2720"/>
  <c r="K25" i="2720"/>
  <c r="G17" i="2835"/>
  <c r="N17" i="2835"/>
  <c r="I25" i="2720"/>
  <c r="H25" i="2720"/>
  <c r="S12" i="2835"/>
  <c r="O12" i="2835"/>
  <c r="J12" i="2835"/>
  <c r="F12" i="2835"/>
  <c r="S11" i="2835"/>
  <c r="O11" i="2835"/>
  <c r="J11" i="2835"/>
  <c r="F11" i="2835"/>
  <c r="K28" i="2723"/>
  <c r="G12" i="2835"/>
  <c r="N12" i="2835"/>
  <c r="K27" i="2723"/>
  <c r="G11" i="2835"/>
  <c r="I27" i="2723"/>
  <c r="S10" i="2835"/>
  <c r="O10" i="2835"/>
  <c r="J10" i="2835"/>
  <c r="N10" i="2835"/>
  <c r="G10" i="2835"/>
  <c r="F10" i="2835"/>
  <c r="S9" i="2835"/>
  <c r="O9" i="2835"/>
  <c r="J9" i="2835"/>
  <c r="F9" i="2835"/>
  <c r="K23" i="2724"/>
  <c r="I23" i="2724"/>
  <c r="H23" i="2724"/>
  <c r="K22" i="2724"/>
  <c r="G9" i="2835"/>
  <c r="I22" i="2724"/>
  <c r="H22" i="2724"/>
  <c r="L112" i="2835"/>
  <c r="E112" i="2835"/>
  <c r="M107" i="2835"/>
  <c r="C107" i="2835"/>
  <c r="M106" i="2835"/>
  <c r="C106" i="2835"/>
  <c r="M105" i="2835"/>
  <c r="C105" i="2835"/>
  <c r="M104" i="2835"/>
  <c r="C104" i="2835"/>
  <c r="M103" i="2835"/>
  <c r="C103" i="2835"/>
  <c r="M102" i="2835"/>
  <c r="C102" i="2835"/>
  <c r="M101" i="2835"/>
  <c r="C101" i="2835"/>
  <c r="M100" i="2835"/>
  <c r="C100" i="2835"/>
  <c r="M99" i="2835"/>
  <c r="C99" i="2835"/>
  <c r="M98" i="2835"/>
  <c r="C98" i="2835"/>
  <c r="I29" i="2835"/>
  <c r="N27" i="2835"/>
  <c r="N26" i="2835"/>
  <c r="N25" i="2835"/>
  <c r="N24" i="2835"/>
  <c r="N23" i="2835"/>
  <c r="N22" i="2835"/>
  <c r="S100" i="2834"/>
  <c r="M100" i="2834"/>
  <c r="K100" i="2834"/>
  <c r="I100" i="2834"/>
  <c r="C100" i="2834"/>
  <c r="S99" i="2834"/>
  <c r="M99" i="2834"/>
  <c r="K99" i="2834"/>
  <c r="I99" i="2834"/>
  <c r="C99" i="2834"/>
  <c r="S98" i="2834"/>
  <c r="M98" i="2834"/>
  <c r="K98" i="2834"/>
  <c r="I98" i="2834"/>
  <c r="C98" i="2834"/>
  <c r="O122" i="2834"/>
  <c r="O123" i="2834"/>
  <c r="S96" i="2834"/>
  <c r="M96" i="2834"/>
  <c r="K96" i="2834"/>
  <c r="I96" i="2834"/>
  <c r="C96" i="2834"/>
  <c r="S95" i="2834"/>
  <c r="M95" i="2834"/>
  <c r="K95" i="2834"/>
  <c r="I95" i="2834"/>
  <c r="C95" i="2834"/>
  <c r="S94" i="2834"/>
  <c r="M94" i="2834"/>
  <c r="K94" i="2834"/>
  <c r="I94" i="2834"/>
  <c r="C94" i="2834"/>
  <c r="Q116" i="2834"/>
  <c r="S92" i="2834"/>
  <c r="M92" i="2834"/>
  <c r="K92" i="2834"/>
  <c r="I92" i="2834"/>
  <c r="C92" i="2834"/>
  <c r="S91" i="2834"/>
  <c r="M91" i="2834"/>
  <c r="K91" i="2834"/>
  <c r="I91" i="2834"/>
  <c r="C91" i="2834"/>
  <c r="L116" i="2834"/>
  <c r="S89" i="2834"/>
  <c r="M89" i="2834"/>
  <c r="K89" i="2834"/>
  <c r="C89" i="2834"/>
  <c r="S88" i="2834"/>
  <c r="M88" i="2834"/>
  <c r="K88" i="2834"/>
  <c r="K102" i="2834" s="1"/>
  <c r="C88" i="2834"/>
  <c r="E116" i="2834"/>
  <c r="S83" i="2834"/>
  <c r="O83" i="2834"/>
  <c r="K83" i="2834"/>
  <c r="C83" i="2834"/>
  <c r="S82" i="2834"/>
  <c r="K82" i="2834"/>
  <c r="C82" i="2834"/>
  <c r="J83" i="2834"/>
  <c r="J82" i="2834"/>
  <c r="S81" i="2834"/>
  <c r="K81" i="2834"/>
  <c r="C81" i="2834"/>
  <c r="S80" i="2834"/>
  <c r="O80" i="2834"/>
  <c r="K80" i="2834"/>
  <c r="C80" i="2834"/>
  <c r="J81" i="2834"/>
  <c r="J80" i="2834"/>
  <c r="S77" i="2834"/>
  <c r="O77" i="2834"/>
  <c r="K77" i="2834"/>
  <c r="J77" i="2834"/>
  <c r="C77" i="2834"/>
  <c r="S76" i="2834"/>
  <c r="O76" i="2834"/>
  <c r="K76" i="2834"/>
  <c r="C76" i="2834"/>
  <c r="J76" i="2834"/>
  <c r="S75" i="2834"/>
  <c r="O75" i="2834"/>
  <c r="K75" i="2834"/>
  <c r="C75" i="2834"/>
  <c r="S74" i="2834"/>
  <c r="O74" i="2834"/>
  <c r="C74" i="2834"/>
  <c r="J75" i="2834"/>
  <c r="O68" i="2834"/>
  <c r="K68" i="2834"/>
  <c r="J68" i="2834"/>
  <c r="C68" i="2834"/>
  <c r="K67" i="2834"/>
  <c r="S73" i="2834"/>
  <c r="O73" i="2834"/>
  <c r="K73" i="2834"/>
  <c r="J73" i="2834"/>
  <c r="C73" i="2834"/>
  <c r="S69" i="2834"/>
  <c r="O70" i="2834"/>
  <c r="K70" i="2834"/>
  <c r="C70" i="2834"/>
  <c r="O69" i="2834"/>
  <c r="K69" i="2834"/>
  <c r="C69" i="2834"/>
  <c r="J70" i="2834"/>
  <c r="J69" i="2834"/>
  <c r="S67" i="2834"/>
  <c r="O67" i="2834"/>
  <c r="J67" i="2834"/>
  <c r="C67" i="2834"/>
  <c r="S64" i="2834"/>
  <c r="O64" i="2834"/>
  <c r="K64" i="2834"/>
  <c r="J64" i="2834"/>
  <c r="C64" i="2834"/>
  <c r="S63" i="2834"/>
  <c r="O63" i="2834"/>
  <c r="K63" i="2834"/>
  <c r="C63" i="2834"/>
  <c r="J63" i="2834"/>
  <c r="S62" i="2834"/>
  <c r="O62" i="2834"/>
  <c r="K62" i="2834"/>
  <c r="C62" i="2834"/>
  <c r="S61" i="2834"/>
  <c r="O61" i="2834"/>
  <c r="K61" i="2834"/>
  <c r="C61" i="2834"/>
  <c r="J62" i="2834"/>
  <c r="S58" i="2834"/>
  <c r="O58" i="2834"/>
  <c r="K58" i="2834"/>
  <c r="C58" i="2834"/>
  <c r="S57" i="2834"/>
  <c r="O57" i="2834"/>
  <c r="K57" i="2834"/>
  <c r="C57" i="2834"/>
  <c r="J58" i="2834"/>
  <c r="S54" i="2834"/>
  <c r="O54" i="2834"/>
  <c r="K54" i="2834"/>
  <c r="C54" i="2834"/>
  <c r="S53" i="2834"/>
  <c r="O53" i="2834"/>
  <c r="K53" i="2834"/>
  <c r="C53" i="2834"/>
  <c r="J53" i="2834"/>
  <c r="S52" i="2834"/>
  <c r="O52" i="2834"/>
  <c r="K52" i="2834"/>
  <c r="J52" i="2834"/>
  <c r="C52" i="2834"/>
  <c r="O51" i="2834"/>
  <c r="K51" i="2834"/>
  <c r="J51" i="2834"/>
  <c r="C51" i="2834"/>
  <c r="S50" i="2834"/>
  <c r="O50" i="2834"/>
  <c r="C50" i="2834"/>
  <c r="K50" i="2834"/>
  <c r="J50" i="2834"/>
  <c r="S20" i="2834"/>
  <c r="O20" i="2834"/>
  <c r="J20" i="2834"/>
  <c r="F20" i="2834"/>
  <c r="S19" i="2834"/>
  <c r="O19" i="2834"/>
  <c r="J19" i="2834"/>
  <c r="G19" i="2834"/>
  <c r="N19" i="2834"/>
  <c r="F19" i="2834"/>
  <c r="K26" i="2085"/>
  <c r="Q26" i="2085"/>
  <c r="I26" i="2085"/>
  <c r="H26" i="2085"/>
  <c r="K25" i="2085"/>
  <c r="I25" i="2085"/>
  <c r="H25" i="2085"/>
  <c r="S18" i="2834"/>
  <c r="O18" i="2834"/>
  <c r="J18" i="2834"/>
  <c r="F18" i="2834"/>
  <c r="S17" i="2834"/>
  <c r="O17" i="2834"/>
  <c r="J17" i="2834"/>
  <c r="G17" i="2834"/>
  <c r="F17" i="2834"/>
  <c r="K24" i="2720"/>
  <c r="G18" i="2834"/>
  <c r="I24" i="2720"/>
  <c r="H24" i="2720"/>
  <c r="K23" i="2720"/>
  <c r="I23" i="2720"/>
  <c r="H23" i="2720"/>
  <c r="S12" i="2834"/>
  <c r="O12" i="2834"/>
  <c r="J12" i="2834"/>
  <c r="F12" i="2834"/>
  <c r="S11" i="2834"/>
  <c r="O11" i="2834"/>
  <c r="J11" i="2834"/>
  <c r="F11" i="2834"/>
  <c r="K26" i="2723"/>
  <c r="Q26" i="2723"/>
  <c r="I26" i="2723"/>
  <c r="K25" i="2723"/>
  <c r="P25" i="2723"/>
  <c r="K11" i="2834"/>
  <c r="I25" i="2723"/>
  <c r="S10" i="2834"/>
  <c r="O10" i="2834"/>
  <c r="J10" i="2834"/>
  <c r="G10" i="2834"/>
  <c r="F10" i="2834"/>
  <c r="S9" i="2834"/>
  <c r="O9" i="2834"/>
  <c r="J9" i="2834"/>
  <c r="F9" i="2834"/>
  <c r="K21" i="2724"/>
  <c r="I21" i="2724"/>
  <c r="H21" i="2724"/>
  <c r="K20" i="2724"/>
  <c r="G9" i="2834"/>
  <c r="I20" i="2724"/>
  <c r="H20" i="2724"/>
  <c r="Q117" i="2834"/>
  <c r="L117" i="2834"/>
  <c r="E117" i="2834"/>
  <c r="M112" i="2834"/>
  <c r="C112" i="2834"/>
  <c r="M111" i="2834"/>
  <c r="C111" i="2834"/>
  <c r="M110" i="2834"/>
  <c r="C110" i="2834"/>
  <c r="M109" i="2834"/>
  <c r="C109" i="2834"/>
  <c r="M108" i="2834"/>
  <c r="C108" i="2834"/>
  <c r="M107" i="2834"/>
  <c r="C107" i="2834"/>
  <c r="M106" i="2834"/>
  <c r="C106" i="2834"/>
  <c r="M105" i="2834"/>
  <c r="C105" i="2834"/>
  <c r="M104" i="2834"/>
  <c r="C104" i="2834"/>
  <c r="M103" i="2834"/>
  <c r="C103" i="2834"/>
  <c r="I29" i="2834"/>
  <c r="N27" i="2834"/>
  <c r="N26" i="2834"/>
  <c r="N25" i="2834"/>
  <c r="N24" i="2834"/>
  <c r="N23" i="2834"/>
  <c r="N22" i="2834"/>
  <c r="S98" i="2833"/>
  <c r="M98" i="2833"/>
  <c r="K98" i="2833"/>
  <c r="I98" i="2833"/>
  <c r="C98" i="2833"/>
  <c r="S97" i="2833"/>
  <c r="M97" i="2833"/>
  <c r="K97" i="2833"/>
  <c r="I97" i="2833"/>
  <c r="C97" i="2833"/>
  <c r="S96" i="2833"/>
  <c r="M96" i="2833"/>
  <c r="K96" i="2833"/>
  <c r="I96" i="2833"/>
  <c r="C96" i="2833"/>
  <c r="S95" i="2833"/>
  <c r="M95" i="2833"/>
  <c r="K95" i="2833"/>
  <c r="I95" i="2833"/>
  <c r="C95" i="2833"/>
  <c r="O120" i="2833"/>
  <c r="S93" i="2833"/>
  <c r="M93" i="2833"/>
  <c r="K93" i="2833"/>
  <c r="K100" i="2833" s="1"/>
  <c r="I93" i="2833"/>
  <c r="C93" i="2833"/>
  <c r="Q114" i="2833"/>
  <c r="S91" i="2833"/>
  <c r="M91" i="2833"/>
  <c r="K91" i="2833"/>
  <c r="I91" i="2833"/>
  <c r="C91" i="2833"/>
  <c r="L114" i="2833"/>
  <c r="L115" i="2833"/>
  <c r="S89" i="2833"/>
  <c r="M89" i="2833"/>
  <c r="K89" i="2833"/>
  <c r="C89" i="2833"/>
  <c r="S82" i="2833"/>
  <c r="K82" i="2833"/>
  <c r="C82" i="2833"/>
  <c r="S81" i="2833"/>
  <c r="O81" i="2833"/>
  <c r="K81" i="2833"/>
  <c r="C81" i="2833"/>
  <c r="E114" i="2833"/>
  <c r="E115" i="2833"/>
  <c r="S84" i="2833"/>
  <c r="O84" i="2833"/>
  <c r="K84" i="2833"/>
  <c r="C84" i="2833"/>
  <c r="S83" i="2833"/>
  <c r="K83" i="2833"/>
  <c r="C83" i="2833"/>
  <c r="J84" i="2833"/>
  <c r="J83" i="2833"/>
  <c r="J82" i="2833"/>
  <c r="S78" i="2833"/>
  <c r="O78" i="2833"/>
  <c r="K78" i="2833"/>
  <c r="C78" i="2833"/>
  <c r="S77" i="2833"/>
  <c r="O77" i="2833"/>
  <c r="C77" i="2833"/>
  <c r="J78" i="2833"/>
  <c r="J77" i="2833"/>
  <c r="S76" i="2833"/>
  <c r="O76" i="2833"/>
  <c r="K76" i="2833"/>
  <c r="C76" i="2833"/>
  <c r="S75" i="2833"/>
  <c r="O75" i="2833"/>
  <c r="K75" i="2833"/>
  <c r="C75" i="2833"/>
  <c r="J76" i="2833"/>
  <c r="J75" i="2833"/>
  <c r="S73" i="2833"/>
  <c r="O73" i="2833"/>
  <c r="K73" i="2833"/>
  <c r="C73" i="2833"/>
  <c r="J73" i="2833"/>
  <c r="S72" i="2833"/>
  <c r="O72" i="2833"/>
  <c r="K72" i="2833"/>
  <c r="J72" i="2833"/>
  <c r="C72" i="2833"/>
  <c r="S71" i="2833"/>
  <c r="O71" i="2833"/>
  <c r="C71" i="2833"/>
  <c r="K71" i="2833"/>
  <c r="S66" i="2833"/>
  <c r="O66" i="2833"/>
  <c r="K66" i="2833"/>
  <c r="J66" i="2833"/>
  <c r="C66" i="2833"/>
  <c r="S62" i="2833"/>
  <c r="O62" i="2833"/>
  <c r="K62" i="2833"/>
  <c r="J62" i="2833"/>
  <c r="C62" i="2833"/>
  <c r="S61" i="2833"/>
  <c r="O61" i="2833"/>
  <c r="K61" i="2833"/>
  <c r="C61" i="2833"/>
  <c r="S60" i="2833"/>
  <c r="O60" i="2833"/>
  <c r="K60" i="2833"/>
  <c r="C60" i="2833"/>
  <c r="J61" i="2833"/>
  <c r="J60" i="2833"/>
  <c r="S57" i="2833"/>
  <c r="O57" i="2833"/>
  <c r="K57" i="2833"/>
  <c r="J57" i="2833"/>
  <c r="C57" i="2833"/>
  <c r="O56" i="2833"/>
  <c r="K56" i="2833"/>
  <c r="C56" i="2833"/>
  <c r="S55" i="2833"/>
  <c r="O55" i="2833"/>
  <c r="K55" i="2833"/>
  <c r="C55" i="2833"/>
  <c r="J56" i="2833"/>
  <c r="J55" i="2833"/>
  <c r="S54" i="2833"/>
  <c r="O54" i="2833"/>
  <c r="K54" i="2833"/>
  <c r="C54" i="2833"/>
  <c r="S53" i="2833"/>
  <c r="O53" i="2833"/>
  <c r="C53" i="2833"/>
  <c r="J54" i="2833"/>
  <c r="J53" i="2833"/>
  <c r="K53" i="2833"/>
  <c r="C51" i="2833"/>
  <c r="S52" i="2833"/>
  <c r="O52" i="2833"/>
  <c r="K52" i="2833"/>
  <c r="C52" i="2833"/>
  <c r="S51" i="2833"/>
  <c r="O51" i="2833"/>
  <c r="K51" i="2833"/>
  <c r="J52" i="2833"/>
  <c r="J51" i="2833"/>
  <c r="O23" i="2833"/>
  <c r="J23" i="2833"/>
  <c r="F23" i="2833"/>
  <c r="S22" i="2833"/>
  <c r="O22" i="2833"/>
  <c r="J22" i="2833"/>
  <c r="F22" i="2833"/>
  <c r="O21" i="2833"/>
  <c r="J21" i="2833"/>
  <c r="F21" i="2833"/>
  <c r="S20" i="2833"/>
  <c r="O20" i="2833"/>
  <c r="F20" i="2833"/>
  <c r="K24" i="2085"/>
  <c r="Q24" i="2085"/>
  <c r="K23" i="2085"/>
  <c r="G22" i="2833"/>
  <c r="I23" i="2085"/>
  <c r="H23" i="2085"/>
  <c r="K22" i="2085"/>
  <c r="G21" i="2833"/>
  <c r="L21" i="2085"/>
  <c r="J20" i="2833"/>
  <c r="K21" i="2085"/>
  <c r="G20" i="2833"/>
  <c r="I21" i="2085"/>
  <c r="H21" i="2085"/>
  <c r="S19" i="2833"/>
  <c r="O19" i="2833"/>
  <c r="J19" i="2833"/>
  <c r="G19" i="2833"/>
  <c r="F19" i="2833"/>
  <c r="S18" i="2833"/>
  <c r="O18" i="2833"/>
  <c r="F18" i="2833"/>
  <c r="K22" i="2720"/>
  <c r="I22" i="2720"/>
  <c r="H22" i="2720"/>
  <c r="L21" i="2720"/>
  <c r="J18" i="2833"/>
  <c r="K21" i="2720"/>
  <c r="G18" i="2833"/>
  <c r="I21" i="2720"/>
  <c r="H21" i="2720"/>
  <c r="O13" i="2833"/>
  <c r="J13" i="2833"/>
  <c r="F13" i="2833"/>
  <c r="S12" i="2833"/>
  <c r="O12" i="2833"/>
  <c r="J12" i="2833"/>
  <c r="F12" i="2833"/>
  <c r="S11" i="2833"/>
  <c r="O11" i="2833"/>
  <c r="G11" i="2833"/>
  <c r="F11" i="2833"/>
  <c r="K24" i="2723"/>
  <c r="P24" i="2723"/>
  <c r="K23" i="2723"/>
  <c r="G12" i="2833"/>
  <c r="N12" i="2833"/>
  <c r="I23" i="2723"/>
  <c r="L22" i="2723"/>
  <c r="J11" i="2833"/>
  <c r="K22" i="2723"/>
  <c r="Q22" i="2723"/>
  <c r="I22" i="2723"/>
  <c r="S10" i="2833"/>
  <c r="O10" i="2833"/>
  <c r="G10" i="2833"/>
  <c r="F10" i="2833"/>
  <c r="R18" i="2724"/>
  <c r="Q18" i="2724"/>
  <c r="P18" i="2724"/>
  <c r="L19" i="2724"/>
  <c r="J10" i="2833"/>
  <c r="K19" i="2724"/>
  <c r="I19" i="2724"/>
  <c r="H19" i="2724"/>
  <c r="O121" i="2833"/>
  <c r="Q115" i="2833"/>
  <c r="M110" i="2833"/>
  <c r="C110" i="2833"/>
  <c r="M109" i="2833"/>
  <c r="C109" i="2833"/>
  <c r="M108" i="2833"/>
  <c r="C108" i="2833"/>
  <c r="M107" i="2833"/>
  <c r="C107" i="2833"/>
  <c r="M106" i="2833"/>
  <c r="C106" i="2833"/>
  <c r="M105" i="2833"/>
  <c r="C105" i="2833"/>
  <c r="M104" i="2833"/>
  <c r="C104" i="2833"/>
  <c r="M103" i="2833"/>
  <c r="C103" i="2833"/>
  <c r="M102" i="2833"/>
  <c r="C102" i="2833"/>
  <c r="M101" i="2833"/>
  <c r="C101" i="2833"/>
  <c r="I32" i="2833"/>
  <c r="N30" i="2833"/>
  <c r="N29" i="2833"/>
  <c r="N28" i="2833"/>
  <c r="N27" i="2833"/>
  <c r="N26" i="2833"/>
  <c r="N25" i="2833"/>
  <c r="S96" i="2832"/>
  <c r="M96" i="2832"/>
  <c r="K96" i="2832"/>
  <c r="I96" i="2832"/>
  <c r="C96" i="2832"/>
  <c r="S95" i="2832"/>
  <c r="M95" i="2832"/>
  <c r="K95" i="2832"/>
  <c r="I95" i="2832"/>
  <c r="C95" i="2832"/>
  <c r="O118" i="2832"/>
  <c r="O119" i="2832"/>
  <c r="S93" i="2832"/>
  <c r="M93" i="2832"/>
  <c r="K93" i="2832"/>
  <c r="I93" i="2832"/>
  <c r="C93" i="2832"/>
  <c r="S92" i="2832"/>
  <c r="M92" i="2832"/>
  <c r="K92" i="2832"/>
  <c r="I92" i="2832"/>
  <c r="C92" i="2832"/>
  <c r="Q112" i="2832"/>
  <c r="S90" i="2832"/>
  <c r="M90" i="2832"/>
  <c r="K90" i="2832"/>
  <c r="I90" i="2832"/>
  <c r="C90" i="2832"/>
  <c r="L112" i="2832"/>
  <c r="L113" i="2832"/>
  <c r="S88" i="2832"/>
  <c r="M88" i="2832"/>
  <c r="K88" i="2832"/>
  <c r="C88" i="2832"/>
  <c r="S87" i="2832"/>
  <c r="M87" i="2832"/>
  <c r="K87" i="2832"/>
  <c r="C87" i="2832"/>
  <c r="E112" i="2832"/>
  <c r="S84" i="2832"/>
  <c r="O84" i="2832"/>
  <c r="C84" i="2832"/>
  <c r="S83" i="2832"/>
  <c r="O83" i="2832"/>
  <c r="K83" i="2832"/>
  <c r="C83" i="2832"/>
  <c r="K84" i="2832"/>
  <c r="J84" i="2832"/>
  <c r="J83" i="2832"/>
  <c r="S82" i="2832"/>
  <c r="O82" i="2832"/>
  <c r="K82" i="2832"/>
  <c r="C82" i="2832"/>
  <c r="S81" i="2832"/>
  <c r="O81" i="2832"/>
  <c r="K81" i="2832"/>
  <c r="C81" i="2832"/>
  <c r="J82" i="2832"/>
  <c r="J81" i="2832"/>
  <c r="S80" i="2832"/>
  <c r="O80" i="2832"/>
  <c r="K80" i="2832"/>
  <c r="C80" i="2832"/>
  <c r="S79" i="2832"/>
  <c r="O79" i="2832"/>
  <c r="K79" i="2832"/>
  <c r="C79" i="2832"/>
  <c r="J79" i="2832"/>
  <c r="S74" i="2832"/>
  <c r="O74" i="2832"/>
  <c r="K74" i="2832"/>
  <c r="C74" i="2832"/>
  <c r="S73" i="2832"/>
  <c r="O73" i="2832"/>
  <c r="C73" i="2832"/>
  <c r="J74" i="2832"/>
  <c r="L73" i="2832"/>
  <c r="J73" i="2832"/>
  <c r="S72" i="2832"/>
  <c r="O72" i="2832"/>
  <c r="K72" i="2832"/>
  <c r="C72" i="2832"/>
  <c r="S71" i="2832"/>
  <c r="O71" i="2832"/>
  <c r="K71" i="2832"/>
  <c r="C71" i="2832"/>
  <c r="J72" i="2832"/>
  <c r="S70" i="2832"/>
  <c r="O70" i="2832"/>
  <c r="C70" i="2832"/>
  <c r="S69" i="2832"/>
  <c r="O69" i="2832"/>
  <c r="K69" i="2832"/>
  <c r="C69" i="2832"/>
  <c r="L70" i="2832"/>
  <c r="J69" i="2832"/>
  <c r="S67" i="2832"/>
  <c r="O67" i="2832"/>
  <c r="K67" i="2832"/>
  <c r="K85" i="2832" s="1"/>
  <c r="C67" i="2832"/>
  <c r="J67" i="2832"/>
  <c r="S65" i="2832"/>
  <c r="O65" i="2832"/>
  <c r="K65" i="2832"/>
  <c r="C65" i="2832"/>
  <c r="S64" i="2832"/>
  <c r="O64" i="2832"/>
  <c r="K64" i="2832"/>
  <c r="J64" i="2832"/>
  <c r="C64" i="2832"/>
  <c r="J65" i="2832"/>
  <c r="S61" i="2832"/>
  <c r="O61" i="2832"/>
  <c r="K61" i="2832"/>
  <c r="C61" i="2832"/>
  <c r="S60" i="2832"/>
  <c r="O60" i="2832"/>
  <c r="J60" i="2832"/>
  <c r="C60" i="2832"/>
  <c r="J61" i="2832"/>
  <c r="K60" i="2832"/>
  <c r="S59" i="2832"/>
  <c r="O59" i="2832"/>
  <c r="K59" i="2832"/>
  <c r="C59" i="2832"/>
  <c r="J59" i="2832"/>
  <c r="S55" i="2832"/>
  <c r="O55" i="2832"/>
  <c r="J55" i="2832"/>
  <c r="C55" i="2832"/>
  <c r="S54" i="2832"/>
  <c r="O54" i="2832"/>
  <c r="C54" i="2832"/>
  <c r="L55" i="2832"/>
  <c r="K55" i="2832"/>
  <c r="K54" i="2832"/>
  <c r="J54" i="2832"/>
  <c r="S53" i="2832"/>
  <c r="O53" i="2832"/>
  <c r="K53" i="2832"/>
  <c r="C53" i="2832"/>
  <c r="S52" i="2832"/>
  <c r="O52" i="2832"/>
  <c r="K52" i="2832"/>
  <c r="C52" i="2832"/>
  <c r="J53" i="2832"/>
  <c r="J52" i="2832"/>
  <c r="S51" i="2832"/>
  <c r="O51" i="2832"/>
  <c r="K51" i="2832"/>
  <c r="J51" i="2832"/>
  <c r="C51" i="2832"/>
  <c r="S22" i="2832"/>
  <c r="O22" i="2832"/>
  <c r="J22" i="2832"/>
  <c r="N22" i="2832"/>
  <c r="F22" i="2832"/>
  <c r="O21" i="2832"/>
  <c r="J21" i="2832"/>
  <c r="F21" i="2832"/>
  <c r="S20" i="2832"/>
  <c r="O20" i="2832"/>
  <c r="J20" i="2832"/>
  <c r="F20" i="2832"/>
  <c r="K20" i="2085"/>
  <c r="G22" i="2832"/>
  <c r="I20" i="2085"/>
  <c r="H20" i="2085"/>
  <c r="K19" i="2085"/>
  <c r="G21" i="2832"/>
  <c r="N21" i="2832"/>
  <c r="I19" i="2085"/>
  <c r="H19" i="2085"/>
  <c r="K18" i="2085"/>
  <c r="G20" i="2832"/>
  <c r="S19" i="2832"/>
  <c r="O19" i="2832"/>
  <c r="J19" i="2832"/>
  <c r="F19" i="2832"/>
  <c r="O18" i="2832"/>
  <c r="J18" i="2832"/>
  <c r="G18" i="2832"/>
  <c r="F18" i="2832"/>
  <c r="S17" i="2832"/>
  <c r="O17" i="2832"/>
  <c r="J17" i="2832"/>
  <c r="F17" i="2832"/>
  <c r="K20" i="2720"/>
  <c r="G19" i="2832"/>
  <c r="I20" i="2720"/>
  <c r="H20" i="2720"/>
  <c r="K19" i="2720"/>
  <c r="H19" i="2720"/>
  <c r="I19" i="2720"/>
  <c r="K18" i="2720"/>
  <c r="G17" i="2832"/>
  <c r="S12" i="2832"/>
  <c r="O12" i="2832"/>
  <c r="J12" i="2832"/>
  <c r="F12" i="2832"/>
  <c r="S11" i="2832"/>
  <c r="O11" i="2832"/>
  <c r="J11" i="2832"/>
  <c r="F11" i="2832"/>
  <c r="K21" i="2723"/>
  <c r="P21" i="2723"/>
  <c r="K12" i="2832"/>
  <c r="I21" i="2723"/>
  <c r="K20" i="2723"/>
  <c r="P20" i="2723"/>
  <c r="K11" i="2832"/>
  <c r="I20" i="2723"/>
  <c r="S8" i="2832"/>
  <c r="O8" i="2832"/>
  <c r="J8" i="2832"/>
  <c r="F8" i="2832"/>
  <c r="S7" i="2832"/>
  <c r="O7" i="2832"/>
  <c r="J7" i="2832"/>
  <c r="G7" i="2832"/>
  <c r="F7" i="2832"/>
  <c r="K17" i="2725"/>
  <c r="G8" i="2832"/>
  <c r="I17" i="2725"/>
  <c r="H17" i="2725"/>
  <c r="K16" i="2725"/>
  <c r="I16" i="2725"/>
  <c r="H16" i="2725"/>
  <c r="Q113" i="2832"/>
  <c r="E113" i="2832"/>
  <c r="M108" i="2832"/>
  <c r="C108" i="2832"/>
  <c r="M107" i="2832"/>
  <c r="C107" i="2832"/>
  <c r="M106" i="2832"/>
  <c r="C106" i="2832"/>
  <c r="M105" i="2832"/>
  <c r="C105" i="2832"/>
  <c r="M104" i="2832"/>
  <c r="C104" i="2832"/>
  <c r="M103" i="2832"/>
  <c r="C103" i="2832"/>
  <c r="M102" i="2832"/>
  <c r="C102" i="2832"/>
  <c r="M101" i="2832"/>
  <c r="C101" i="2832"/>
  <c r="M100" i="2832"/>
  <c r="C100" i="2832"/>
  <c r="M99" i="2832"/>
  <c r="C99" i="2832"/>
  <c r="I31" i="2832"/>
  <c r="N29" i="2832"/>
  <c r="N28" i="2832"/>
  <c r="N27" i="2832"/>
  <c r="N26" i="2832"/>
  <c r="N25" i="2832"/>
  <c r="N24" i="2832"/>
  <c r="O119" i="2831"/>
  <c r="O120" i="2831"/>
  <c r="S97" i="2831"/>
  <c r="M97" i="2831"/>
  <c r="K97" i="2831"/>
  <c r="I97" i="2831"/>
  <c r="C97" i="2831"/>
  <c r="S95" i="2831"/>
  <c r="M95" i="2831"/>
  <c r="K95" i="2831"/>
  <c r="I95" i="2831"/>
  <c r="C95" i="2831"/>
  <c r="S94" i="2831"/>
  <c r="M94" i="2831"/>
  <c r="I94" i="2831"/>
  <c r="C94" i="2831"/>
  <c r="K94" i="2831"/>
  <c r="Q113" i="2831"/>
  <c r="S92" i="2831"/>
  <c r="M92" i="2831"/>
  <c r="K92" i="2831"/>
  <c r="K99" i="2831" s="1"/>
  <c r="I92" i="2831"/>
  <c r="C92" i="2831"/>
  <c r="L113" i="2831"/>
  <c r="S90" i="2831"/>
  <c r="M90" i="2831"/>
  <c r="K90" i="2831"/>
  <c r="C90" i="2831"/>
  <c r="S89" i="2831"/>
  <c r="M89" i="2831"/>
  <c r="K89" i="2831"/>
  <c r="C89" i="2831"/>
  <c r="E113" i="2831"/>
  <c r="E114" i="2831"/>
  <c r="S86" i="2831"/>
  <c r="O86" i="2831"/>
  <c r="J86" i="2831"/>
  <c r="C86" i="2831"/>
  <c r="S85" i="2831"/>
  <c r="O85" i="2831"/>
  <c r="K85" i="2831"/>
  <c r="J85" i="2831"/>
  <c r="C85" i="2831"/>
  <c r="K86" i="2831"/>
  <c r="S84" i="2831"/>
  <c r="O84" i="2831"/>
  <c r="K84" i="2831"/>
  <c r="C84" i="2831"/>
  <c r="S83" i="2831"/>
  <c r="O83" i="2831"/>
  <c r="K83" i="2831"/>
  <c r="C83" i="2831"/>
  <c r="J84" i="2831"/>
  <c r="J83" i="2831"/>
  <c r="S77" i="2831"/>
  <c r="O77" i="2831"/>
  <c r="K77" i="2831"/>
  <c r="C77" i="2831"/>
  <c r="J77" i="2831"/>
  <c r="S76" i="2831"/>
  <c r="O76" i="2831"/>
  <c r="K76" i="2831"/>
  <c r="C76" i="2831"/>
  <c r="S75" i="2831"/>
  <c r="O75" i="2831"/>
  <c r="K75" i="2831"/>
  <c r="C75" i="2831"/>
  <c r="S74" i="2831"/>
  <c r="O74" i="2831"/>
  <c r="K74" i="2831"/>
  <c r="C74" i="2831"/>
  <c r="S73" i="2831"/>
  <c r="O73" i="2831"/>
  <c r="K73" i="2831"/>
  <c r="C73" i="2831"/>
  <c r="J74" i="2831"/>
  <c r="J73" i="2831"/>
  <c r="S72" i="2831"/>
  <c r="O72" i="2831"/>
  <c r="C72" i="2831"/>
  <c r="K72" i="2831"/>
  <c r="J72" i="2831"/>
  <c r="K70" i="2831"/>
  <c r="S70" i="2831"/>
  <c r="O70" i="2831"/>
  <c r="C70" i="2831"/>
  <c r="J70" i="2831"/>
  <c r="S67" i="2831"/>
  <c r="O67" i="2831"/>
  <c r="K67" i="2831"/>
  <c r="C67" i="2831"/>
  <c r="S66" i="2831"/>
  <c r="O66" i="2831"/>
  <c r="K66" i="2831"/>
  <c r="J66" i="2831"/>
  <c r="C66" i="2831"/>
  <c r="J67" i="2831"/>
  <c r="S63" i="2831"/>
  <c r="O63" i="2831"/>
  <c r="K63" i="2831"/>
  <c r="C63" i="2831"/>
  <c r="S62" i="2831"/>
  <c r="O62" i="2831"/>
  <c r="K62" i="2831"/>
  <c r="C62" i="2831"/>
  <c r="J62" i="2831"/>
  <c r="S61" i="2831"/>
  <c r="O61" i="2831"/>
  <c r="K61" i="2831"/>
  <c r="C61" i="2831"/>
  <c r="S60" i="2831"/>
  <c r="O60" i="2831"/>
  <c r="K60" i="2831"/>
  <c r="C60" i="2831"/>
  <c r="J61" i="2831"/>
  <c r="S57" i="2831"/>
  <c r="O57" i="2831"/>
  <c r="J57" i="2831"/>
  <c r="C57" i="2831"/>
  <c r="O56" i="2831"/>
  <c r="K56" i="2831"/>
  <c r="C56" i="2831"/>
  <c r="S55" i="2831"/>
  <c r="O55" i="2831"/>
  <c r="K55" i="2831"/>
  <c r="J55" i="2831"/>
  <c r="C55" i="2831"/>
  <c r="K57" i="2831"/>
  <c r="J56" i="2831"/>
  <c r="S54" i="2831"/>
  <c r="O54" i="2831"/>
  <c r="K54" i="2831"/>
  <c r="C54" i="2831"/>
  <c r="S53" i="2831"/>
  <c r="O53" i="2831"/>
  <c r="K53" i="2831"/>
  <c r="J53" i="2831"/>
  <c r="C53" i="2831"/>
  <c r="J54" i="2831"/>
  <c r="S23" i="2831"/>
  <c r="O23" i="2831"/>
  <c r="J23" i="2831"/>
  <c r="F23" i="2831"/>
  <c r="S22" i="2831"/>
  <c r="O22" i="2831"/>
  <c r="J22" i="2831"/>
  <c r="G22" i="2831"/>
  <c r="F22" i="2831"/>
  <c r="K17" i="2085"/>
  <c r="Q17" i="2085"/>
  <c r="I17" i="2085"/>
  <c r="H17" i="2085"/>
  <c r="K16" i="2085"/>
  <c r="I16" i="2085"/>
  <c r="H16" i="2085"/>
  <c r="S21" i="2831"/>
  <c r="O21" i="2831"/>
  <c r="J21" i="2831"/>
  <c r="G21" i="2831"/>
  <c r="F21" i="2831"/>
  <c r="O20" i="2831"/>
  <c r="J20" i="2831"/>
  <c r="G20" i="2831"/>
  <c r="F20" i="2831"/>
  <c r="O19" i="2831"/>
  <c r="J19" i="2831"/>
  <c r="F19" i="2831"/>
  <c r="S18" i="2831"/>
  <c r="O18" i="2831"/>
  <c r="J18" i="2831"/>
  <c r="G18" i="2831"/>
  <c r="F18" i="2831"/>
  <c r="K17" i="2720"/>
  <c r="I17" i="2720"/>
  <c r="H17" i="2720"/>
  <c r="K16" i="2720"/>
  <c r="K15" i="2720"/>
  <c r="G19" i="2831"/>
  <c r="I15" i="2720"/>
  <c r="H15" i="2720"/>
  <c r="K14" i="2720"/>
  <c r="O13" i="2831"/>
  <c r="J13" i="2831"/>
  <c r="G13" i="2831"/>
  <c r="F13" i="2831"/>
  <c r="S12" i="2831"/>
  <c r="O12" i="2831"/>
  <c r="J12" i="2831"/>
  <c r="F12" i="2831"/>
  <c r="S11" i="2831"/>
  <c r="O11" i="2831"/>
  <c r="J11" i="2831"/>
  <c r="G11" i="2831"/>
  <c r="F11" i="2831"/>
  <c r="K19" i="2723"/>
  <c r="P19" i="2723"/>
  <c r="I19" i="2723"/>
  <c r="K18" i="2723"/>
  <c r="Q18" i="2723"/>
  <c r="K17" i="2723"/>
  <c r="I17" i="2723"/>
  <c r="S8" i="2831"/>
  <c r="O8" i="2831"/>
  <c r="J8" i="2831"/>
  <c r="G8" i="2831"/>
  <c r="F8" i="2831"/>
  <c r="S7" i="2831"/>
  <c r="O7" i="2831"/>
  <c r="J7" i="2831"/>
  <c r="J24" i="2831"/>
  <c r="F7" i="2831"/>
  <c r="K15" i="2725"/>
  <c r="I15" i="2725"/>
  <c r="H15" i="2725"/>
  <c r="H74" i="2725"/>
  <c r="D12" i="325"/>
  <c r="K14" i="2725"/>
  <c r="G7" i="2831"/>
  <c r="I14" i="2725"/>
  <c r="H14" i="2725"/>
  <c r="Q114" i="2831"/>
  <c r="L114" i="2831"/>
  <c r="M109" i="2831"/>
  <c r="C109" i="2831"/>
  <c r="M108" i="2831"/>
  <c r="C108" i="2831"/>
  <c r="M107" i="2831"/>
  <c r="C107" i="2831"/>
  <c r="M106" i="2831"/>
  <c r="C106" i="2831"/>
  <c r="M105" i="2831"/>
  <c r="C105" i="2831"/>
  <c r="M104" i="2831"/>
  <c r="C104" i="2831"/>
  <c r="M103" i="2831"/>
  <c r="C103" i="2831"/>
  <c r="M102" i="2831"/>
  <c r="C102" i="2831"/>
  <c r="M101" i="2831"/>
  <c r="C101" i="2831"/>
  <c r="M100" i="2831"/>
  <c r="C100" i="2831"/>
  <c r="I32" i="2831"/>
  <c r="N30" i="2831"/>
  <c r="N29" i="2831"/>
  <c r="N28" i="2831"/>
  <c r="N27" i="2831"/>
  <c r="N26" i="2831"/>
  <c r="N25" i="2831"/>
  <c r="O22" i="2830"/>
  <c r="J22" i="2830"/>
  <c r="F22" i="2830"/>
  <c r="S21" i="2830"/>
  <c r="O21" i="2830"/>
  <c r="F21" i="2830"/>
  <c r="S20" i="2830"/>
  <c r="O20" i="2830"/>
  <c r="F20" i="2830"/>
  <c r="K15" i="2085"/>
  <c r="G22" i="2830"/>
  <c r="N22" i="2830"/>
  <c r="L14" i="2085"/>
  <c r="Q14" i="2085"/>
  <c r="K14" i="2085"/>
  <c r="G21" i="2830"/>
  <c r="I14" i="2085"/>
  <c r="H14" i="2085"/>
  <c r="L13" i="2085"/>
  <c r="J20" i="2830"/>
  <c r="H13" i="2085"/>
  <c r="K13" i="2085"/>
  <c r="G20" i="2830"/>
  <c r="I13" i="2085"/>
  <c r="S19" i="2830"/>
  <c r="O19" i="2830"/>
  <c r="J19" i="2830"/>
  <c r="N19" i="2830"/>
  <c r="F19" i="2830"/>
  <c r="S18" i="2830"/>
  <c r="O18" i="2830"/>
  <c r="J18" i="2830"/>
  <c r="G18" i="2830"/>
  <c r="F18" i="2830"/>
  <c r="K13" i="2720"/>
  <c r="G19" i="2830"/>
  <c r="I13" i="2720"/>
  <c r="H13" i="2720"/>
  <c r="K12" i="2720"/>
  <c r="I12" i="2720"/>
  <c r="H12" i="2720"/>
  <c r="O13" i="2830"/>
  <c r="J13" i="2830"/>
  <c r="G13" i="2830"/>
  <c r="F13" i="2830"/>
  <c r="S12" i="2830"/>
  <c r="O12" i="2830"/>
  <c r="J12" i="2830"/>
  <c r="F12" i="2830"/>
  <c r="S11" i="2830"/>
  <c r="O11" i="2830"/>
  <c r="J11" i="2830"/>
  <c r="F11" i="2830"/>
  <c r="K16" i="2723"/>
  <c r="L15" i="2723"/>
  <c r="K15" i="2723"/>
  <c r="I15" i="2723"/>
  <c r="H15" i="2723"/>
  <c r="K14" i="2723"/>
  <c r="G11" i="2830"/>
  <c r="H14" i="2723"/>
  <c r="S9" i="2830"/>
  <c r="O9" i="2830"/>
  <c r="J9" i="2830"/>
  <c r="F9" i="2830"/>
  <c r="K12" i="2724"/>
  <c r="G9" i="2830"/>
  <c r="I12" i="2724"/>
  <c r="H12" i="2724"/>
  <c r="S8" i="2830"/>
  <c r="O8" i="2830"/>
  <c r="J8" i="2830"/>
  <c r="G8" i="2830"/>
  <c r="F8" i="2830"/>
  <c r="S7" i="2830"/>
  <c r="O7" i="2830"/>
  <c r="J7" i="2830"/>
  <c r="F7" i="2830"/>
  <c r="K13" i="2725"/>
  <c r="I13" i="2725"/>
  <c r="H13" i="2725"/>
  <c r="K12" i="2725"/>
  <c r="G7" i="2830"/>
  <c r="I12" i="2725"/>
  <c r="H12" i="2725"/>
  <c r="O116" i="2830"/>
  <c r="Q110" i="2830"/>
  <c r="L110" i="2830"/>
  <c r="E110" i="2830"/>
  <c r="M105" i="2830"/>
  <c r="C105" i="2830"/>
  <c r="M104" i="2830"/>
  <c r="C104" i="2830"/>
  <c r="M103" i="2830"/>
  <c r="C103" i="2830"/>
  <c r="M102" i="2830"/>
  <c r="C102" i="2830"/>
  <c r="M101" i="2830"/>
  <c r="C101" i="2830"/>
  <c r="M100" i="2830"/>
  <c r="C100" i="2830"/>
  <c r="M99" i="2830"/>
  <c r="C99" i="2830"/>
  <c r="M98" i="2830"/>
  <c r="C98" i="2830"/>
  <c r="M97" i="2830"/>
  <c r="C97" i="2830"/>
  <c r="M96" i="2830"/>
  <c r="C96" i="2830"/>
  <c r="K95" i="2830"/>
  <c r="I31" i="2830"/>
  <c r="N29" i="2830"/>
  <c r="N28" i="2830"/>
  <c r="N27" i="2830"/>
  <c r="N26" i="2830"/>
  <c r="N25" i="2830"/>
  <c r="N24" i="2830"/>
  <c r="S93" i="2829"/>
  <c r="M93" i="2829"/>
  <c r="K93" i="2829"/>
  <c r="I93" i="2829"/>
  <c r="C93" i="2829"/>
  <c r="S92" i="2829"/>
  <c r="M92" i="2829"/>
  <c r="K92" i="2829"/>
  <c r="I92" i="2829"/>
  <c r="C92" i="2829"/>
  <c r="O115" i="2829"/>
  <c r="S91" i="2829"/>
  <c r="M91" i="2829"/>
  <c r="K91" i="2829"/>
  <c r="I91" i="2829"/>
  <c r="C91" i="2829"/>
  <c r="S90" i="2829"/>
  <c r="M90" i="2829"/>
  <c r="K90" i="2829"/>
  <c r="I90" i="2829"/>
  <c r="C90" i="2829"/>
  <c r="Q109" i="2829"/>
  <c r="Q110" i="2829"/>
  <c r="S88" i="2829"/>
  <c r="M88" i="2829"/>
  <c r="K88" i="2829"/>
  <c r="I88" i="2829"/>
  <c r="C88" i="2829"/>
  <c r="L109" i="2829"/>
  <c r="L110" i="2829"/>
  <c r="S86" i="2829"/>
  <c r="M86" i="2829"/>
  <c r="K86" i="2829"/>
  <c r="K95" i="2829"/>
  <c r="C86" i="2829"/>
  <c r="E109" i="2829"/>
  <c r="E110" i="2829"/>
  <c r="S83" i="2829"/>
  <c r="O83" i="2829"/>
  <c r="K83" i="2829"/>
  <c r="C83" i="2829"/>
  <c r="J83" i="2829"/>
  <c r="S81" i="2829"/>
  <c r="O81" i="2829"/>
  <c r="K81" i="2829"/>
  <c r="C81" i="2829"/>
  <c r="S80" i="2829"/>
  <c r="C80" i="2829"/>
  <c r="J81" i="2829"/>
  <c r="K80" i="2829"/>
  <c r="J80" i="2829"/>
  <c r="S79" i="2829"/>
  <c r="O79" i="2829"/>
  <c r="K79" i="2829"/>
  <c r="J79" i="2829"/>
  <c r="C79" i="2829"/>
  <c r="S78" i="2829"/>
  <c r="O78" i="2829"/>
  <c r="K78" i="2829"/>
  <c r="C78" i="2829"/>
  <c r="S75" i="2829"/>
  <c r="O75" i="2829"/>
  <c r="C75" i="2829"/>
  <c r="S74" i="2829"/>
  <c r="O74" i="2829"/>
  <c r="K74" i="2829"/>
  <c r="C74" i="2829"/>
  <c r="J75" i="2829"/>
  <c r="J74" i="2829"/>
  <c r="S73" i="2829"/>
  <c r="O73" i="2829"/>
  <c r="K73" i="2829"/>
  <c r="C73" i="2829"/>
  <c r="S72" i="2829"/>
  <c r="O72" i="2829"/>
  <c r="K72" i="2829"/>
  <c r="C72" i="2829"/>
  <c r="J72" i="2829"/>
  <c r="S71" i="2829"/>
  <c r="O71" i="2829"/>
  <c r="K71" i="2829"/>
  <c r="J71" i="2829"/>
  <c r="C71" i="2829"/>
  <c r="S70" i="2829"/>
  <c r="O70" i="2829"/>
  <c r="C70" i="2829"/>
  <c r="K70" i="2829"/>
  <c r="J70" i="2829"/>
  <c r="S67" i="2829"/>
  <c r="O67" i="2829"/>
  <c r="K67" i="2829"/>
  <c r="C67" i="2829"/>
  <c r="S63" i="2829"/>
  <c r="O63" i="2829"/>
  <c r="K63" i="2829"/>
  <c r="C63" i="2829"/>
  <c r="J63" i="2829"/>
  <c r="S60" i="2829"/>
  <c r="O60" i="2829"/>
  <c r="K60" i="2829"/>
  <c r="J60" i="2829"/>
  <c r="C60" i="2829"/>
  <c r="S59" i="2829"/>
  <c r="O59" i="2829"/>
  <c r="K59" i="2829"/>
  <c r="C59" i="2829"/>
  <c r="J59" i="2829"/>
  <c r="S54" i="2829"/>
  <c r="O54" i="2829"/>
  <c r="K54" i="2829"/>
  <c r="C54" i="2829"/>
  <c r="S53" i="2829"/>
  <c r="O53" i="2829"/>
  <c r="K53" i="2829"/>
  <c r="C53" i="2829"/>
  <c r="J54" i="2829"/>
  <c r="J53" i="2829"/>
  <c r="S52" i="2829"/>
  <c r="O52" i="2829"/>
  <c r="K52" i="2829"/>
  <c r="C52" i="2829"/>
  <c r="S51" i="2829"/>
  <c r="O51" i="2829"/>
  <c r="K51" i="2829"/>
  <c r="C51" i="2829"/>
  <c r="J52" i="2829"/>
  <c r="J51" i="2829"/>
  <c r="S50" i="2829"/>
  <c r="O50" i="2829"/>
  <c r="K50" i="2829"/>
  <c r="C50" i="2829"/>
  <c r="J50" i="2829"/>
  <c r="S21" i="2829"/>
  <c r="O21" i="2829"/>
  <c r="J21" i="2829"/>
  <c r="G21" i="2829"/>
  <c r="N21" i="2829"/>
  <c r="F21" i="2829"/>
  <c r="S20" i="2829"/>
  <c r="O20" i="2829"/>
  <c r="J20" i="2829"/>
  <c r="F20" i="2829"/>
  <c r="K12" i="2085"/>
  <c r="H11" i="2085"/>
  <c r="K11" i="2085"/>
  <c r="G20" i="2829"/>
  <c r="I11" i="2085"/>
  <c r="S19" i="2829"/>
  <c r="O19" i="2829"/>
  <c r="J19" i="2829"/>
  <c r="G19" i="2829"/>
  <c r="F19" i="2829"/>
  <c r="S18" i="2829"/>
  <c r="O18" i="2829"/>
  <c r="J18" i="2829"/>
  <c r="F18" i="2829"/>
  <c r="K11" i="2720"/>
  <c r="I11" i="2720"/>
  <c r="H11" i="2720"/>
  <c r="K10" i="2720"/>
  <c r="G18" i="2829"/>
  <c r="I10" i="2720"/>
  <c r="H10" i="2720"/>
  <c r="S16" i="2829"/>
  <c r="O16" i="2829"/>
  <c r="J16" i="2829"/>
  <c r="G16" i="2829"/>
  <c r="F16" i="2829"/>
  <c r="K11" i="2721"/>
  <c r="P11" i="2721"/>
  <c r="K16" i="2829"/>
  <c r="S13" i="2829"/>
  <c r="O13" i="2829"/>
  <c r="J13" i="2829"/>
  <c r="G13" i="2829"/>
  <c r="F13" i="2829"/>
  <c r="O12" i="2829"/>
  <c r="J12" i="2829"/>
  <c r="F12" i="2829"/>
  <c r="S11" i="2829"/>
  <c r="O11" i="2829"/>
  <c r="J11" i="2829"/>
  <c r="F11" i="2829"/>
  <c r="K13" i="2723"/>
  <c r="P13" i="2723"/>
  <c r="K13" i="2829"/>
  <c r="I13" i="2723"/>
  <c r="H13" i="2723"/>
  <c r="K12" i="2723"/>
  <c r="G12" i="2829"/>
  <c r="N12" i="2829"/>
  <c r="P12" i="2723"/>
  <c r="I12" i="2723"/>
  <c r="H12" i="2723"/>
  <c r="H78" i="2723"/>
  <c r="D14" i="325"/>
  <c r="K11" i="2723"/>
  <c r="P11" i="2723"/>
  <c r="K11" i="2829"/>
  <c r="S10" i="2829"/>
  <c r="O10" i="2829"/>
  <c r="F10" i="2829"/>
  <c r="L11" i="2724"/>
  <c r="J10" i="2829"/>
  <c r="L80" i="2724"/>
  <c r="K11" i="2724"/>
  <c r="G10" i="2829"/>
  <c r="P11" i="2724"/>
  <c r="K10" i="2829"/>
  <c r="I11" i="2724"/>
  <c r="H11" i="2724"/>
  <c r="S8" i="2829"/>
  <c r="O8" i="2829"/>
  <c r="J8" i="2829"/>
  <c r="G8" i="2829"/>
  <c r="F8" i="2829"/>
  <c r="S7" i="2829"/>
  <c r="O7" i="2829"/>
  <c r="J7" i="2829"/>
  <c r="F7" i="2829"/>
  <c r="K11" i="2725"/>
  <c r="I11" i="2725"/>
  <c r="H11" i="2725"/>
  <c r="K10" i="2725"/>
  <c r="P10" i="2725"/>
  <c r="K7" i="2829"/>
  <c r="I10" i="2725"/>
  <c r="H10" i="2725"/>
  <c r="O116" i="2829"/>
  <c r="M105" i="2829"/>
  <c r="C105" i="2829"/>
  <c r="M104" i="2829"/>
  <c r="C104" i="2829"/>
  <c r="M103" i="2829"/>
  <c r="C103" i="2829"/>
  <c r="M102" i="2829"/>
  <c r="C102" i="2829"/>
  <c r="M101" i="2829"/>
  <c r="C101" i="2829"/>
  <c r="M100" i="2829"/>
  <c r="C100" i="2829"/>
  <c r="M99" i="2829"/>
  <c r="C99" i="2829"/>
  <c r="M98" i="2829"/>
  <c r="C98" i="2829"/>
  <c r="M97" i="2829"/>
  <c r="C97" i="2829"/>
  <c r="M96" i="2829"/>
  <c r="C96" i="2829"/>
  <c r="I30" i="2829"/>
  <c r="N28" i="2829"/>
  <c r="N27" i="2829"/>
  <c r="N26" i="2829"/>
  <c r="N25" i="2829"/>
  <c r="N24" i="2829"/>
  <c r="N23" i="2829"/>
  <c r="S97" i="2828"/>
  <c r="M97" i="2828"/>
  <c r="K97" i="2828"/>
  <c r="I97" i="2828"/>
  <c r="C97" i="2828"/>
  <c r="S96" i="2828"/>
  <c r="M96" i="2828"/>
  <c r="K96" i="2828"/>
  <c r="I96" i="2828"/>
  <c r="C96" i="2828"/>
  <c r="S95" i="2828"/>
  <c r="M95" i="2828"/>
  <c r="K95" i="2828"/>
  <c r="I95" i="2828"/>
  <c r="C95" i="2828"/>
  <c r="S94" i="2828"/>
  <c r="M94" i="2828"/>
  <c r="K94" i="2828"/>
  <c r="I94" i="2828"/>
  <c r="C94" i="2828"/>
  <c r="O118" i="2828"/>
  <c r="O119" i="2828"/>
  <c r="S92" i="2828"/>
  <c r="M92" i="2828"/>
  <c r="K92" i="2828"/>
  <c r="I92" i="2828"/>
  <c r="C92" i="2828"/>
  <c r="S91" i="2828"/>
  <c r="M91" i="2828"/>
  <c r="K91" i="2828"/>
  <c r="I91" i="2828"/>
  <c r="C91" i="2828"/>
  <c r="S90" i="2828"/>
  <c r="M90" i="2828"/>
  <c r="K90" i="2828"/>
  <c r="I90" i="2828"/>
  <c r="C90" i="2828"/>
  <c r="Q112" i="2828"/>
  <c r="Q113" i="2828"/>
  <c r="S89" i="2828"/>
  <c r="M89" i="2828"/>
  <c r="K89" i="2828"/>
  <c r="I89" i="2828"/>
  <c r="C89" i="2828"/>
  <c r="S88" i="2828"/>
  <c r="M88" i="2828"/>
  <c r="K88" i="2828"/>
  <c r="I88" i="2828"/>
  <c r="C88" i="2828"/>
  <c r="L112" i="2828"/>
  <c r="L113" i="2828"/>
  <c r="S87" i="2828"/>
  <c r="M87" i="2828"/>
  <c r="K87" i="2828"/>
  <c r="K98" i="2828"/>
  <c r="I87" i="2828"/>
  <c r="C87" i="2828"/>
  <c r="N20" i="2716"/>
  <c r="E112" i="2828"/>
  <c r="E113" i="2828"/>
  <c r="S81" i="2828"/>
  <c r="O81" i="2828"/>
  <c r="C81" i="2828"/>
  <c r="S80" i="2828"/>
  <c r="C80" i="2828"/>
  <c r="K81" i="2828"/>
  <c r="J81" i="2828"/>
  <c r="O79" i="2828"/>
  <c r="S79" i="2828"/>
  <c r="C79" i="2828"/>
  <c r="S78" i="2828"/>
  <c r="O78" i="2828"/>
  <c r="C78" i="2828"/>
  <c r="K78" i="2828"/>
  <c r="K79" i="2828"/>
  <c r="J79" i="2828"/>
  <c r="J78" i="2828"/>
  <c r="S75" i="2828"/>
  <c r="O75" i="2828"/>
  <c r="K75" i="2828"/>
  <c r="C75" i="2828"/>
  <c r="E38" i="325"/>
  <c r="J75" i="2828"/>
  <c r="S73" i="2828"/>
  <c r="O73" i="2828"/>
  <c r="C73" i="2828"/>
  <c r="S72" i="2828"/>
  <c r="O72" i="2828"/>
  <c r="K72" i="2828"/>
  <c r="C72" i="2828"/>
  <c r="J73" i="2828"/>
  <c r="K73" i="2828"/>
  <c r="S71" i="2828"/>
  <c r="O71" i="2828"/>
  <c r="C71" i="2828"/>
  <c r="O70" i="2828"/>
  <c r="K70" i="2828"/>
  <c r="C70" i="2828"/>
  <c r="S69" i="2828"/>
  <c r="O69" i="2828"/>
  <c r="L69" i="2828"/>
  <c r="K69" i="2828"/>
  <c r="J69" i="2828"/>
  <c r="C69" i="2828"/>
  <c r="L71" i="2828"/>
  <c r="K71" i="2828"/>
  <c r="J71" i="2828"/>
  <c r="J70" i="2828"/>
  <c r="S68" i="2828"/>
  <c r="O68" i="2828"/>
  <c r="K68" i="2828"/>
  <c r="J68" i="2828"/>
  <c r="C68" i="2828"/>
  <c r="S67" i="2828"/>
  <c r="O67" i="2828"/>
  <c r="K67" i="2828"/>
  <c r="C67" i="2828"/>
  <c r="J67" i="2828"/>
  <c r="S66" i="2828"/>
  <c r="O66" i="2828"/>
  <c r="K66" i="2828"/>
  <c r="J66" i="2828"/>
  <c r="C66" i="2828"/>
  <c r="S65" i="2828"/>
  <c r="O65" i="2828"/>
  <c r="K65" i="2828"/>
  <c r="C65" i="2828"/>
  <c r="J65" i="2828"/>
  <c r="S63" i="2828"/>
  <c r="O63" i="2828"/>
  <c r="K63" i="2828"/>
  <c r="C63" i="2828"/>
  <c r="S62" i="2828"/>
  <c r="O62" i="2828"/>
  <c r="K62" i="2828"/>
  <c r="C62" i="2828"/>
  <c r="J63" i="2828"/>
  <c r="S59" i="2828"/>
  <c r="O59" i="2828"/>
  <c r="K59" i="2828"/>
  <c r="C59" i="2828"/>
  <c r="S58" i="2828"/>
  <c r="O58" i="2828"/>
  <c r="K58" i="2828"/>
  <c r="C58" i="2828"/>
  <c r="J58" i="2828"/>
  <c r="S53" i="2828"/>
  <c r="O53" i="2828"/>
  <c r="K53" i="2828"/>
  <c r="C53" i="2828"/>
  <c r="S52" i="2828"/>
  <c r="O52" i="2828"/>
  <c r="K52" i="2828"/>
  <c r="C52" i="2828"/>
  <c r="J52" i="2828"/>
  <c r="S51" i="2828"/>
  <c r="O51" i="2828"/>
  <c r="K51" i="2828"/>
  <c r="C51" i="2828"/>
  <c r="S48" i="2828"/>
  <c r="O48" i="2828"/>
  <c r="K48" i="2828"/>
  <c r="C48" i="2828"/>
  <c r="J48" i="2828"/>
  <c r="S20" i="2828"/>
  <c r="O20" i="2828"/>
  <c r="J20" i="2828"/>
  <c r="F20" i="2828"/>
  <c r="S19" i="2828"/>
  <c r="O19" i="2828"/>
  <c r="J19" i="2828"/>
  <c r="F19" i="2828"/>
  <c r="K10" i="2085"/>
  <c r="G20" i="2828"/>
  <c r="I10" i="2085"/>
  <c r="H10" i="2085"/>
  <c r="K9" i="2085"/>
  <c r="G19" i="2828"/>
  <c r="I9" i="2085"/>
  <c r="H9" i="2085"/>
  <c r="S18" i="2828"/>
  <c r="O18" i="2828"/>
  <c r="J18" i="2828"/>
  <c r="F18" i="2828"/>
  <c r="S17" i="2828"/>
  <c r="O17" i="2828"/>
  <c r="J17" i="2828"/>
  <c r="G17" i="2828"/>
  <c r="F17" i="2828"/>
  <c r="K9" i="2720"/>
  <c r="G18" i="2828"/>
  <c r="I9" i="2720"/>
  <c r="H9" i="2720"/>
  <c r="K8" i="2720"/>
  <c r="I8" i="2720"/>
  <c r="H8" i="2720"/>
  <c r="S16" i="2828"/>
  <c r="O16" i="2828"/>
  <c r="J16" i="2828"/>
  <c r="F16" i="2828"/>
  <c r="S15" i="2828"/>
  <c r="O15" i="2828"/>
  <c r="J15" i="2828"/>
  <c r="F15" i="2828"/>
  <c r="K10" i="2721"/>
  <c r="G16" i="2828"/>
  <c r="I10" i="2721"/>
  <c r="H10" i="2721"/>
  <c r="K9" i="2721"/>
  <c r="I9" i="2721"/>
  <c r="H9" i="2721"/>
  <c r="S12" i="2828"/>
  <c r="O12" i="2828"/>
  <c r="J12" i="2828"/>
  <c r="F12" i="2828"/>
  <c r="S11" i="2828"/>
  <c r="O11" i="2828"/>
  <c r="F11" i="2828"/>
  <c r="K10" i="2723"/>
  <c r="G12" i="2828"/>
  <c r="N12" i="2828"/>
  <c r="I10" i="2723"/>
  <c r="L9" i="2723"/>
  <c r="J11" i="2828"/>
  <c r="K9" i="2723"/>
  <c r="G11" i="2828"/>
  <c r="I9" i="2723"/>
  <c r="S8" i="2828"/>
  <c r="O8" i="2828"/>
  <c r="J8" i="2828"/>
  <c r="G8" i="2828"/>
  <c r="F8" i="2828"/>
  <c r="S7" i="2828"/>
  <c r="O7" i="2828"/>
  <c r="F7" i="2828"/>
  <c r="K9" i="2725"/>
  <c r="I9" i="2725"/>
  <c r="H9" i="2725"/>
  <c r="L8" i="2725"/>
  <c r="J7" i="2828"/>
  <c r="K8" i="2725"/>
  <c r="G7" i="2828"/>
  <c r="I8" i="2725"/>
  <c r="H8" i="2725"/>
  <c r="M108" i="2828"/>
  <c r="C108" i="2828"/>
  <c r="M107" i="2828"/>
  <c r="C107" i="2828"/>
  <c r="M106" i="2828"/>
  <c r="C106" i="2828"/>
  <c r="M105" i="2828"/>
  <c r="C105" i="2828"/>
  <c r="M104" i="2828"/>
  <c r="C104" i="2828"/>
  <c r="M103" i="2828"/>
  <c r="C103" i="2828"/>
  <c r="M102" i="2828"/>
  <c r="C102" i="2828"/>
  <c r="M101" i="2828"/>
  <c r="C101" i="2828"/>
  <c r="M100" i="2828"/>
  <c r="C100" i="2828"/>
  <c r="M99" i="2828"/>
  <c r="C99" i="2828"/>
  <c r="I29" i="2828"/>
  <c r="N27" i="2828"/>
  <c r="N26" i="2828"/>
  <c r="N25" i="2828"/>
  <c r="N24" i="2828"/>
  <c r="N23" i="2828"/>
  <c r="N22" i="2828"/>
  <c r="S100" i="2827"/>
  <c r="M100" i="2827"/>
  <c r="K100" i="2827"/>
  <c r="I100" i="2827"/>
  <c r="C100" i="2827"/>
  <c r="S99" i="2827"/>
  <c r="M99" i="2827"/>
  <c r="K99" i="2827"/>
  <c r="I99" i="2827"/>
  <c r="C99" i="2827"/>
  <c r="S98" i="2827"/>
  <c r="M98" i="2827"/>
  <c r="K98" i="2827"/>
  <c r="I98" i="2827"/>
  <c r="C98" i="2827"/>
  <c r="S97" i="2827"/>
  <c r="M97" i="2827"/>
  <c r="K97" i="2827"/>
  <c r="I97" i="2827"/>
  <c r="C97" i="2827"/>
  <c r="S96" i="2827"/>
  <c r="M96" i="2827"/>
  <c r="K96" i="2827"/>
  <c r="I96" i="2827"/>
  <c r="C96" i="2827"/>
  <c r="S95" i="2827"/>
  <c r="M95" i="2827"/>
  <c r="K95" i="2827"/>
  <c r="I95" i="2827"/>
  <c r="C95" i="2827"/>
  <c r="O121" i="2827"/>
  <c r="O122" i="2827"/>
  <c r="S93" i="2827"/>
  <c r="M93" i="2827"/>
  <c r="K93" i="2827"/>
  <c r="I93" i="2827"/>
  <c r="C93" i="2827"/>
  <c r="S92" i="2827"/>
  <c r="M92" i="2827"/>
  <c r="K92" i="2827"/>
  <c r="I92" i="2827"/>
  <c r="C92" i="2827"/>
  <c r="Q115" i="2827"/>
  <c r="S91" i="2827"/>
  <c r="M91" i="2827"/>
  <c r="K91" i="2827"/>
  <c r="I91" i="2827"/>
  <c r="C91" i="2827"/>
  <c r="L115" i="2827"/>
  <c r="L116" i="2827"/>
  <c r="S89" i="2827"/>
  <c r="M89" i="2827"/>
  <c r="K89" i="2827"/>
  <c r="I89" i="2827"/>
  <c r="C89" i="2827"/>
  <c r="S88" i="2827"/>
  <c r="M88" i="2827"/>
  <c r="K88" i="2827"/>
  <c r="C88" i="2827"/>
  <c r="E115" i="2827"/>
  <c r="S83" i="2827"/>
  <c r="O83" i="2827"/>
  <c r="K83" i="2827"/>
  <c r="C83" i="2827"/>
  <c r="S82" i="2827"/>
  <c r="K82" i="2827"/>
  <c r="C82" i="2827"/>
  <c r="J83" i="2827"/>
  <c r="J82" i="2827"/>
  <c r="S81" i="2827"/>
  <c r="C81" i="2827"/>
  <c r="S80" i="2827"/>
  <c r="O80" i="2827"/>
  <c r="K80" i="2827"/>
  <c r="C80" i="2827"/>
  <c r="J81" i="2827"/>
  <c r="J80" i="2827"/>
  <c r="S76" i="2827"/>
  <c r="O76" i="2827"/>
  <c r="K76" i="2827"/>
  <c r="C76" i="2827"/>
  <c r="J76" i="2827"/>
  <c r="C74" i="2827"/>
  <c r="K74" i="2827"/>
  <c r="O74" i="2827"/>
  <c r="S74" i="2827"/>
  <c r="C75" i="2827"/>
  <c r="O75" i="2827"/>
  <c r="S75" i="2827"/>
  <c r="J74" i="2827"/>
  <c r="S73" i="2827"/>
  <c r="O73" i="2827"/>
  <c r="C73" i="2827"/>
  <c r="M73" i="2827"/>
  <c r="J73" i="2827"/>
  <c r="S71" i="2827"/>
  <c r="O71" i="2827"/>
  <c r="K71" i="2827"/>
  <c r="C71" i="2827"/>
  <c r="S70" i="2827"/>
  <c r="O70" i="2827"/>
  <c r="K70" i="2827"/>
  <c r="C70" i="2827"/>
  <c r="J71" i="2827"/>
  <c r="J70" i="2827"/>
  <c r="S69" i="2827"/>
  <c r="O69" i="2827"/>
  <c r="K69" i="2827"/>
  <c r="C69" i="2827"/>
  <c r="S68" i="2827"/>
  <c r="O68" i="2827"/>
  <c r="K68" i="2827"/>
  <c r="C68" i="2827"/>
  <c r="J69" i="2827"/>
  <c r="J68" i="2827"/>
  <c r="S66" i="2827"/>
  <c r="O66" i="2827"/>
  <c r="K66" i="2827"/>
  <c r="C66" i="2827"/>
  <c r="S65" i="2827"/>
  <c r="O65" i="2827"/>
  <c r="K65" i="2827"/>
  <c r="J65" i="2827"/>
  <c r="C65" i="2827"/>
  <c r="S63" i="2827"/>
  <c r="O63" i="2827"/>
  <c r="K63" i="2827"/>
  <c r="C63" i="2827"/>
  <c r="J63" i="2827"/>
  <c r="S62" i="2827"/>
  <c r="O62" i="2827"/>
  <c r="K62" i="2827"/>
  <c r="C62" i="2827"/>
  <c r="S61" i="2827"/>
  <c r="O61" i="2827"/>
  <c r="J61" i="2827"/>
  <c r="C61" i="2827"/>
  <c r="J62" i="2827"/>
  <c r="K61" i="2827"/>
  <c r="S60" i="2827"/>
  <c r="O60" i="2827"/>
  <c r="K60" i="2827"/>
  <c r="C60" i="2827"/>
  <c r="J60" i="2827"/>
  <c r="S56" i="2827"/>
  <c r="O56" i="2827"/>
  <c r="K56" i="2827"/>
  <c r="C56" i="2827"/>
  <c r="S55" i="2827"/>
  <c r="O55" i="2827"/>
  <c r="K55" i="2827"/>
  <c r="C55" i="2827"/>
  <c r="J56" i="2827"/>
  <c r="J55" i="2827"/>
  <c r="S54" i="2827"/>
  <c r="O54" i="2827"/>
  <c r="K54" i="2827"/>
  <c r="C54" i="2827"/>
  <c r="S53" i="2827"/>
  <c r="O53" i="2827"/>
  <c r="K53" i="2827"/>
  <c r="C53" i="2827"/>
  <c r="J54" i="2827"/>
  <c r="J53" i="2827"/>
  <c r="S52" i="2827"/>
  <c r="O52" i="2827"/>
  <c r="K52" i="2827"/>
  <c r="C52" i="2827"/>
  <c r="S51" i="2827"/>
  <c r="O51" i="2827"/>
  <c r="K51" i="2827"/>
  <c r="C51" i="2827"/>
  <c r="J52" i="2827"/>
  <c r="J51" i="2827"/>
  <c r="S23" i="2827"/>
  <c r="O23" i="2827"/>
  <c r="J23" i="2827"/>
  <c r="F23" i="2827"/>
  <c r="O22" i="2827"/>
  <c r="J22" i="2827"/>
  <c r="F22" i="2827"/>
  <c r="S21" i="2827"/>
  <c r="O21" i="2827"/>
  <c r="F21" i="2827"/>
  <c r="K8" i="2085"/>
  <c r="Q8" i="2085"/>
  <c r="I8" i="2085"/>
  <c r="H8" i="2085"/>
  <c r="K7" i="2085"/>
  <c r="G22" i="2827"/>
  <c r="L6" i="2085"/>
  <c r="K6" i="2085"/>
  <c r="G21" i="2827"/>
  <c r="I6" i="2085"/>
  <c r="H6" i="2085"/>
  <c r="S20" i="2827"/>
  <c r="O20" i="2827"/>
  <c r="J20" i="2827"/>
  <c r="F20" i="2827"/>
  <c r="S19" i="2827"/>
  <c r="O19" i="2827"/>
  <c r="F19" i="2827"/>
  <c r="K7" i="2720"/>
  <c r="I7" i="2720"/>
  <c r="H7" i="2720"/>
  <c r="L6" i="2720"/>
  <c r="J19" i="2827"/>
  <c r="K6" i="2720"/>
  <c r="G19" i="2827"/>
  <c r="I6" i="2720"/>
  <c r="H6" i="2720"/>
  <c r="O18" i="2827"/>
  <c r="J18" i="2827"/>
  <c r="F18" i="2827"/>
  <c r="S17" i="2827"/>
  <c r="O17" i="2827"/>
  <c r="J17" i="2827"/>
  <c r="F17" i="2827"/>
  <c r="S16" i="2827"/>
  <c r="O16" i="2827"/>
  <c r="J16" i="2827"/>
  <c r="N16" i="2827"/>
  <c r="G16" i="2827"/>
  <c r="F16" i="2827"/>
  <c r="K8" i="2721"/>
  <c r="G18" i="2827"/>
  <c r="N18" i="2827"/>
  <c r="L7" i="2721"/>
  <c r="K7" i="2721"/>
  <c r="I7" i="2721"/>
  <c r="H7" i="2721"/>
  <c r="K6" i="2721"/>
  <c r="I6" i="2721"/>
  <c r="H6" i="2721"/>
  <c r="S13" i="2827"/>
  <c r="O13" i="2827"/>
  <c r="J13" i="2827"/>
  <c r="G13" i="2827"/>
  <c r="N13" i="2827"/>
  <c r="F13" i="2827"/>
  <c r="O12" i="2827"/>
  <c r="J12" i="2827"/>
  <c r="G12" i="2827"/>
  <c r="N12" i="2827"/>
  <c r="F12" i="2827"/>
  <c r="S11" i="2827"/>
  <c r="O11" i="2827"/>
  <c r="J11" i="2827"/>
  <c r="F11" i="2827"/>
  <c r="K8" i="2723"/>
  <c r="I8" i="2723"/>
  <c r="K7" i="2723"/>
  <c r="K6" i="2723"/>
  <c r="G11" i="2827"/>
  <c r="I6" i="2723"/>
  <c r="S10" i="2827"/>
  <c r="O10" i="2827"/>
  <c r="J10" i="2827"/>
  <c r="G10" i="2827"/>
  <c r="F10" i="2827"/>
  <c r="S9" i="2827"/>
  <c r="O9" i="2827"/>
  <c r="J9" i="2827"/>
  <c r="F9" i="2827"/>
  <c r="N19" i="2827"/>
  <c r="K7" i="2724"/>
  <c r="I7" i="2724"/>
  <c r="H7" i="2724"/>
  <c r="K6" i="2724"/>
  <c r="G9" i="2827"/>
  <c r="N9" i="2827"/>
  <c r="I6" i="2724"/>
  <c r="H6" i="2724"/>
  <c r="Q116" i="2827"/>
  <c r="E116" i="2827"/>
  <c r="M111" i="2827"/>
  <c r="C111" i="2827"/>
  <c r="M110" i="2827"/>
  <c r="C110" i="2827"/>
  <c r="M109" i="2827"/>
  <c r="C109" i="2827"/>
  <c r="M108" i="2827"/>
  <c r="C108" i="2827"/>
  <c r="M107" i="2827"/>
  <c r="C107" i="2827"/>
  <c r="M106" i="2827"/>
  <c r="C106" i="2827"/>
  <c r="M105" i="2827"/>
  <c r="C105" i="2827"/>
  <c r="M104" i="2827"/>
  <c r="C104" i="2827"/>
  <c r="M103" i="2827"/>
  <c r="C103" i="2827"/>
  <c r="M102" i="2827"/>
  <c r="C102" i="2827"/>
  <c r="I32" i="2827"/>
  <c r="N30" i="2827"/>
  <c r="N29" i="2827"/>
  <c r="N28" i="2827"/>
  <c r="N27" i="2827"/>
  <c r="N26" i="2827"/>
  <c r="N25" i="2827"/>
  <c r="S94" i="2826"/>
  <c r="M94" i="2826"/>
  <c r="K94" i="2826"/>
  <c r="I94" i="2826"/>
  <c r="C94" i="2826"/>
  <c r="S93" i="2826"/>
  <c r="M93" i="2826"/>
  <c r="L93" i="2826"/>
  <c r="K93" i="2826"/>
  <c r="I93" i="2826"/>
  <c r="C93" i="2826"/>
  <c r="S92" i="2826"/>
  <c r="M92" i="2826"/>
  <c r="K92" i="2826"/>
  <c r="I92" i="2826"/>
  <c r="C92" i="2826"/>
  <c r="L94" i="2826"/>
  <c r="N94" i="2826"/>
  <c r="N93" i="2826"/>
  <c r="O115" i="2826"/>
  <c r="S88" i="2826"/>
  <c r="M88" i="2826"/>
  <c r="K88" i="2826"/>
  <c r="I88" i="2826"/>
  <c r="C88" i="2826"/>
  <c r="L109" i="2826"/>
  <c r="S86" i="2826"/>
  <c r="M86" i="2826"/>
  <c r="K86" i="2826"/>
  <c r="C86" i="2826"/>
  <c r="S85" i="2826"/>
  <c r="M85" i="2826"/>
  <c r="K85" i="2826"/>
  <c r="C85" i="2826"/>
  <c r="N18" i="2716"/>
  <c r="L86" i="2826" s="1"/>
  <c r="E109" i="2826"/>
  <c r="S80" i="2826"/>
  <c r="O80" i="2826"/>
  <c r="K80" i="2826"/>
  <c r="C80" i="2826"/>
  <c r="S79" i="2826"/>
  <c r="K79" i="2826"/>
  <c r="C79" i="2826"/>
  <c r="J80" i="2826"/>
  <c r="J79" i="2826"/>
  <c r="S74" i="2826"/>
  <c r="O74" i="2826"/>
  <c r="K74" i="2826"/>
  <c r="C74" i="2826"/>
  <c r="S73" i="2826"/>
  <c r="O73" i="2826"/>
  <c r="K73" i="2826"/>
  <c r="C73" i="2826"/>
  <c r="J74" i="2826"/>
  <c r="L76" i="2827"/>
  <c r="L75" i="2828"/>
  <c r="L74" i="2829"/>
  <c r="L77" i="2831"/>
  <c r="L77" i="2833"/>
  <c r="L78" i="2833"/>
  <c r="L76" i="2834"/>
  <c r="L77" i="2834"/>
  <c r="L73" i="2835"/>
  <c r="L74" i="2835"/>
  <c r="L77" i="2836"/>
  <c r="L78" i="2836"/>
  <c r="L81" i="2837"/>
  <c r="L75" i="2838"/>
  <c r="L75" i="2847"/>
  <c r="L73" i="2848"/>
  <c r="S72" i="2826"/>
  <c r="O72" i="2826"/>
  <c r="C72" i="2826"/>
  <c r="S71" i="2826"/>
  <c r="O71" i="2826"/>
  <c r="C71" i="2826"/>
  <c r="K72" i="2826"/>
  <c r="J71" i="2826"/>
  <c r="S67" i="2826"/>
  <c r="O67" i="2826"/>
  <c r="K67" i="2826"/>
  <c r="J67" i="2826"/>
  <c r="C67" i="2826"/>
  <c r="S66" i="2826"/>
  <c r="O66" i="2826"/>
  <c r="K66" i="2826"/>
  <c r="C66" i="2826"/>
  <c r="S65" i="2826"/>
  <c r="O65" i="2826"/>
  <c r="C65" i="2826"/>
  <c r="J66" i="2826"/>
  <c r="J65" i="2826"/>
  <c r="K65" i="2826"/>
  <c r="S63" i="2826"/>
  <c r="O63" i="2826"/>
  <c r="K63" i="2826"/>
  <c r="C63" i="2826"/>
  <c r="S62" i="2826"/>
  <c r="O62" i="2826"/>
  <c r="K62" i="2826"/>
  <c r="C62" i="2826"/>
  <c r="J63" i="2826"/>
  <c r="S61" i="2826"/>
  <c r="O61" i="2826"/>
  <c r="K61" i="2826"/>
  <c r="C61" i="2826"/>
  <c r="S60" i="2826"/>
  <c r="O60" i="2826"/>
  <c r="K60" i="2826"/>
  <c r="C60" i="2826"/>
  <c r="J60" i="2826"/>
  <c r="S59" i="2826"/>
  <c r="O59" i="2826"/>
  <c r="K59" i="2826"/>
  <c r="C59" i="2826"/>
  <c r="J59" i="2826"/>
  <c r="S53" i="2826"/>
  <c r="O53" i="2826"/>
  <c r="K53" i="2826"/>
  <c r="C53" i="2826"/>
  <c r="S52" i="2826"/>
  <c r="O52" i="2826"/>
  <c r="K52" i="2826"/>
  <c r="C52" i="2826"/>
  <c r="J52" i="2826"/>
  <c r="S51" i="2826"/>
  <c r="O51" i="2826"/>
  <c r="K51" i="2826"/>
  <c r="C51" i="2826"/>
  <c r="S50" i="2826"/>
  <c r="O50" i="2826"/>
  <c r="N50" i="2826"/>
  <c r="K50" i="2826"/>
  <c r="C50" i="2826"/>
  <c r="J51" i="2826"/>
  <c r="J50" i="2826"/>
  <c r="S49" i="2826"/>
  <c r="O49" i="2826"/>
  <c r="K49" i="2826"/>
  <c r="C49" i="2826"/>
  <c r="S48" i="2826"/>
  <c r="O48" i="2826"/>
  <c r="K48" i="2826"/>
  <c r="C48" i="2826"/>
  <c r="J49" i="2826"/>
  <c r="J48" i="2826"/>
  <c r="S20" i="2826"/>
  <c r="K5" i="2085"/>
  <c r="G20" i="2826"/>
  <c r="I5" i="2085"/>
  <c r="H5" i="2085"/>
  <c r="K4" i="2085"/>
  <c r="Z4" i="2085"/>
  <c r="H4" i="2085"/>
  <c r="I4" i="2085"/>
  <c r="K5" i="2720"/>
  <c r="I5" i="2720"/>
  <c r="H5" i="2720"/>
  <c r="K4" i="2720"/>
  <c r="I4" i="2720"/>
  <c r="H4" i="2720"/>
  <c r="S16" i="2826"/>
  <c r="O16" i="2826"/>
  <c r="J16" i="2826"/>
  <c r="F16" i="2826"/>
  <c r="S15" i="2826"/>
  <c r="O15" i="2826"/>
  <c r="J15" i="2826"/>
  <c r="F15" i="2826"/>
  <c r="K5" i="2721"/>
  <c r="G16" i="2826"/>
  <c r="I5" i="2721"/>
  <c r="H5" i="2721"/>
  <c r="K4" i="2721"/>
  <c r="G15" i="2826"/>
  <c r="N15" i="2826"/>
  <c r="I4" i="2721"/>
  <c r="H4" i="2721"/>
  <c r="S12" i="2826"/>
  <c r="O12" i="2826"/>
  <c r="J12" i="2826"/>
  <c r="F12" i="2826"/>
  <c r="S11" i="2826"/>
  <c r="O11" i="2826"/>
  <c r="J11" i="2826"/>
  <c r="F11" i="2826"/>
  <c r="K5" i="2723"/>
  <c r="Q5" i="2723"/>
  <c r="I5" i="2723"/>
  <c r="K4" i="2723"/>
  <c r="G11" i="2826"/>
  <c r="I4" i="2723"/>
  <c r="S10" i="2826"/>
  <c r="O10" i="2826"/>
  <c r="J10" i="2826"/>
  <c r="F10" i="2826"/>
  <c r="F9" i="2826"/>
  <c r="K5" i="2724"/>
  <c r="G10" i="2826"/>
  <c r="N10" i="2826"/>
  <c r="I5" i="2724"/>
  <c r="H5" i="2724"/>
  <c r="K4" i="2724"/>
  <c r="G9" i="2826"/>
  <c r="I4" i="2724"/>
  <c r="H4" i="2724"/>
  <c r="N16" i="2826"/>
  <c r="N55" i="2716"/>
  <c r="L87" i="2849" s="1"/>
  <c r="N72" i="2851"/>
  <c r="M72" i="2851"/>
  <c r="L72" i="2851"/>
  <c r="N72" i="2850"/>
  <c r="L72" i="2850"/>
  <c r="L64" i="2850"/>
  <c r="N63" i="2850"/>
  <c r="L63" i="2850"/>
  <c r="N55" i="2849"/>
  <c r="L55" i="2849"/>
  <c r="N54" i="2849"/>
  <c r="L54" i="2849"/>
  <c r="L51" i="2850"/>
  <c r="R71" i="2085"/>
  <c r="P71" i="2085"/>
  <c r="R70" i="2085"/>
  <c r="Q70" i="2085"/>
  <c r="P70" i="2085"/>
  <c r="K20" i="2850"/>
  <c r="R76" i="2720"/>
  <c r="Q76" i="2720"/>
  <c r="P76" i="2720"/>
  <c r="R75" i="2720"/>
  <c r="Q75" i="2720"/>
  <c r="P75" i="2720"/>
  <c r="R61" i="2722"/>
  <c r="Q61" i="2722"/>
  <c r="P61" i="2722"/>
  <c r="R60" i="2722"/>
  <c r="Q60" i="2722"/>
  <c r="P60" i="2722"/>
  <c r="J98" i="2851"/>
  <c r="L98" i="2851"/>
  <c r="N98" i="2851"/>
  <c r="L86" i="2848"/>
  <c r="N54" i="2716"/>
  <c r="L85" i="2848" s="1"/>
  <c r="N75" i="2851"/>
  <c r="L75" i="2851"/>
  <c r="N58" i="2851"/>
  <c r="L58" i="2851"/>
  <c r="N57" i="2851"/>
  <c r="L57" i="2851"/>
  <c r="N53" i="2848"/>
  <c r="G53" i="2848"/>
  <c r="L53" i="2848"/>
  <c r="N52" i="2848"/>
  <c r="L52" i="2848"/>
  <c r="N50" i="2849"/>
  <c r="G50" i="2849"/>
  <c r="M50" i="2849"/>
  <c r="L50" i="2849"/>
  <c r="Q68" i="2085"/>
  <c r="Q67" i="2085"/>
  <c r="R68" i="2085"/>
  <c r="R67" i="2085"/>
  <c r="P68" i="2085"/>
  <c r="P67" i="2085"/>
  <c r="K20" i="2849"/>
  <c r="N74" i="2850"/>
  <c r="L74" i="2850"/>
  <c r="N55" i="2850"/>
  <c r="L55" i="2850"/>
  <c r="N54" i="2850"/>
  <c r="L54" i="2850"/>
  <c r="Q64" i="2085"/>
  <c r="J91" i="2851"/>
  <c r="L91" i="2851"/>
  <c r="N91" i="2851"/>
  <c r="P63" i="2085"/>
  <c r="R65" i="2085"/>
  <c r="Q65" i="2085"/>
  <c r="P65" i="2085"/>
  <c r="K20" i="2848"/>
  <c r="R64" i="2085"/>
  <c r="P64" i="2085"/>
  <c r="K19" i="2848"/>
  <c r="R63" i="2085"/>
  <c r="Q63" i="2085"/>
  <c r="R62" i="2085"/>
  <c r="Q62" i="2085"/>
  <c r="P62" i="2085"/>
  <c r="Q54" i="2085"/>
  <c r="L51" i="2845"/>
  <c r="L52" i="2845"/>
  <c r="N52" i="2845"/>
  <c r="L48" i="2846"/>
  <c r="N48" i="2846"/>
  <c r="P50" i="2085"/>
  <c r="K20" i="2843"/>
  <c r="Q49" i="2085"/>
  <c r="P48" i="2085"/>
  <c r="K19" i="2842"/>
  <c r="Q56" i="2720"/>
  <c r="P54" i="2720"/>
  <c r="Q47" i="2723"/>
  <c r="Q46" i="2723"/>
  <c r="P45" i="2723"/>
  <c r="P50" i="2724"/>
  <c r="P49" i="2724"/>
  <c r="K10" i="2843"/>
  <c r="J98" i="2836"/>
  <c r="L98" i="2836"/>
  <c r="N98" i="2836"/>
  <c r="L93" i="2840"/>
  <c r="N93" i="2840"/>
  <c r="L92" i="2840"/>
  <c r="N92" i="2840"/>
  <c r="N78" i="2836"/>
  <c r="M78" i="2836"/>
  <c r="N73" i="2838"/>
  <c r="R37" i="2720"/>
  <c r="Q37" i="2720"/>
  <c r="P37" i="2720"/>
  <c r="K18" i="2838"/>
  <c r="N70" i="2831"/>
  <c r="N61" i="2831"/>
  <c r="G61" i="2831"/>
  <c r="L61" i="2831"/>
  <c r="L70" i="2828"/>
  <c r="L71" i="2829"/>
  <c r="L73" i="2831"/>
  <c r="L74" i="2831"/>
  <c r="L71" i="2832"/>
  <c r="L72" i="2832"/>
  <c r="L73" i="2833"/>
  <c r="L73" i="2834"/>
  <c r="L69" i="2835"/>
  <c r="L73" i="2836"/>
  <c r="L75" i="2837"/>
  <c r="L72" i="2839"/>
  <c r="L73" i="2839"/>
  <c r="L70" i="2840"/>
  <c r="L71" i="2843"/>
  <c r="L71" i="2844"/>
  <c r="L72" i="2844"/>
  <c r="L72" i="2845"/>
  <c r="L73" i="2845"/>
  <c r="L69" i="2846"/>
  <c r="L70" i="2846"/>
  <c r="L71" i="2846"/>
  <c r="L69" i="2847"/>
  <c r="L70" i="2847"/>
  <c r="L69" i="2848"/>
  <c r="L70" i="2848"/>
  <c r="L71" i="2849"/>
  <c r="L72" i="2849"/>
  <c r="L70" i="2850"/>
  <c r="L71" i="2850"/>
  <c r="L73" i="2851"/>
  <c r="O20" i="2826"/>
  <c r="J20" i="2826"/>
  <c r="F20" i="2826"/>
  <c r="S19" i="2826"/>
  <c r="O19" i="2826"/>
  <c r="J19" i="2826"/>
  <c r="G19" i="2826"/>
  <c r="F19" i="2826"/>
  <c r="S18" i="2826"/>
  <c r="O18" i="2826"/>
  <c r="J18" i="2826"/>
  <c r="G18" i="2826"/>
  <c r="F18" i="2826"/>
  <c r="S17" i="2826"/>
  <c r="O17" i="2826"/>
  <c r="J17" i="2826"/>
  <c r="G17" i="2826"/>
  <c r="F17" i="2826"/>
  <c r="S9" i="2826"/>
  <c r="O9" i="2826"/>
  <c r="J9" i="2826"/>
  <c r="J21" i="2826"/>
  <c r="O116" i="2826"/>
  <c r="Q110" i="2826"/>
  <c r="L110" i="2826"/>
  <c r="E110" i="2826"/>
  <c r="M105" i="2826"/>
  <c r="C105" i="2826"/>
  <c r="M104" i="2826"/>
  <c r="C104" i="2826"/>
  <c r="M103" i="2826"/>
  <c r="C103" i="2826"/>
  <c r="M102" i="2826"/>
  <c r="C102" i="2826"/>
  <c r="M101" i="2826"/>
  <c r="C101" i="2826"/>
  <c r="M100" i="2826"/>
  <c r="C100" i="2826"/>
  <c r="M99" i="2826"/>
  <c r="C99" i="2826"/>
  <c r="M98" i="2826"/>
  <c r="C98" i="2826"/>
  <c r="M97" i="2826"/>
  <c r="C97" i="2826"/>
  <c r="M96" i="2826"/>
  <c r="C96" i="2826"/>
  <c r="I29" i="2826"/>
  <c r="N27" i="2826"/>
  <c r="N26" i="2826"/>
  <c r="N25" i="2826"/>
  <c r="N24" i="2826"/>
  <c r="N23" i="2826"/>
  <c r="N22" i="2826"/>
  <c r="D35" i="325"/>
  <c r="L56" i="2851"/>
  <c r="N56" i="2851"/>
  <c r="N59" i="2851"/>
  <c r="L59" i="2851"/>
  <c r="P74" i="2720"/>
  <c r="Q66" i="2725"/>
  <c r="L53" i="2847"/>
  <c r="P58" i="2085"/>
  <c r="P56" i="2085"/>
  <c r="P54" i="2085"/>
  <c r="Q65" i="2720"/>
  <c r="P61" i="2723"/>
  <c r="P61" i="2720"/>
  <c r="P56" i="2723"/>
  <c r="N84" i="2846"/>
  <c r="L84" i="2846"/>
  <c r="Q47" i="2085"/>
  <c r="P58" i="2720"/>
  <c r="P46" i="2085"/>
  <c r="Q45" i="2085"/>
  <c r="L50" i="2843"/>
  <c r="Q51" i="2720"/>
  <c r="L74" i="2725"/>
  <c r="L93" i="2845"/>
  <c r="N93" i="2845"/>
  <c r="P49" i="2720"/>
  <c r="K19" i="2843"/>
  <c r="Q49" i="2720"/>
  <c r="R49" i="2720"/>
  <c r="P44" i="2723"/>
  <c r="Q42" i="2723"/>
  <c r="Q43" i="2725"/>
  <c r="L68" i="2839"/>
  <c r="Q35" i="2085"/>
  <c r="Q45" i="2720"/>
  <c r="Q40" i="2725"/>
  <c r="L57" i="2836"/>
  <c r="P41" i="2720"/>
  <c r="K20" i="2839"/>
  <c r="Q40" i="2720"/>
  <c r="P33" i="2725"/>
  <c r="Q35" i="2720"/>
  <c r="P34" i="2720"/>
  <c r="K19" i="2837"/>
  <c r="L54" i="2834"/>
  <c r="P33" i="2720"/>
  <c r="P32" i="2720"/>
  <c r="K21" i="2836"/>
  <c r="L50" i="2835"/>
  <c r="N70" i="2834"/>
  <c r="L70" i="2834"/>
  <c r="P25" i="2725"/>
  <c r="N54" i="2832"/>
  <c r="G54" i="2832"/>
  <c r="Q24" i="2720"/>
  <c r="P22" i="2724"/>
  <c r="K9" i="2835"/>
  <c r="P23" i="2725"/>
  <c r="Q23" i="2725"/>
  <c r="R23" i="2725"/>
  <c r="Q22" i="2725"/>
  <c r="Q19" i="2725"/>
  <c r="L73" i="2829"/>
  <c r="P17" i="2085"/>
  <c r="K23" i="2831"/>
  <c r="Q16" i="2723"/>
  <c r="C39" i="325"/>
  <c r="P18" i="2720"/>
  <c r="Q17" i="2720"/>
  <c r="R13" i="2721"/>
  <c r="Q13" i="2721"/>
  <c r="P13" i="2721"/>
  <c r="Q14" i="2725"/>
  <c r="L52" i="2829"/>
  <c r="P12" i="2085"/>
  <c r="K21" i="2829"/>
  <c r="P12" i="2725"/>
  <c r="K7" i="2830"/>
  <c r="N79" i="2828"/>
  <c r="G79" i="2828"/>
  <c r="L79" i="2828"/>
  <c r="L78" i="2829"/>
  <c r="N78" i="2829"/>
  <c r="P10" i="2085"/>
  <c r="K20" i="2828"/>
  <c r="P12" i="2720"/>
  <c r="K18" i="2830"/>
  <c r="R9" i="2721"/>
  <c r="P9" i="2721"/>
  <c r="K15" i="2828"/>
  <c r="Q7" i="2085"/>
  <c r="Q6" i="2723"/>
  <c r="N80" i="2826"/>
  <c r="L68" i="2827"/>
  <c r="L69" i="2827"/>
  <c r="L65" i="2828"/>
  <c r="L66" i="2828"/>
  <c r="L67" i="2829"/>
  <c r="L67" i="2832"/>
  <c r="L67" i="2834"/>
  <c r="L68" i="2834"/>
  <c r="L70" i="2837"/>
  <c r="L67" i="2838"/>
  <c r="L69" i="2845"/>
  <c r="L65" i="2846"/>
  <c r="L66" i="2846"/>
  <c r="L65" i="2847"/>
  <c r="L62" i="2826"/>
  <c r="P5" i="2085"/>
  <c r="K20" i="2826"/>
  <c r="P4" i="2721"/>
  <c r="K15" i="2826"/>
  <c r="L83" i="2851"/>
  <c r="N52" i="2851"/>
  <c r="L52" i="2851"/>
  <c r="N51" i="2851"/>
  <c r="L51" i="2851"/>
  <c r="Q71" i="2720"/>
  <c r="R73" i="2720"/>
  <c r="Q73" i="2720"/>
  <c r="P73" i="2720"/>
  <c r="R72" i="2720"/>
  <c r="Q72" i="2720"/>
  <c r="P72" i="2720"/>
  <c r="R71" i="2720"/>
  <c r="P71" i="2720"/>
  <c r="P75" i="2723"/>
  <c r="P72" i="2085"/>
  <c r="R74" i="2085"/>
  <c r="Q74" i="2085"/>
  <c r="P74" i="2085"/>
  <c r="R73" i="2085"/>
  <c r="P73" i="2085"/>
  <c r="K23" i="2851"/>
  <c r="R72" i="2085"/>
  <c r="P69" i="2085"/>
  <c r="K19" i="2850"/>
  <c r="R75" i="2723"/>
  <c r="Q75" i="2723"/>
  <c r="R74" i="2723"/>
  <c r="Q74" i="2723"/>
  <c r="P74" i="2723"/>
  <c r="R73" i="2723"/>
  <c r="Q73" i="2723"/>
  <c r="P73" i="2723"/>
  <c r="P71" i="2725"/>
  <c r="R71" i="2725"/>
  <c r="Q71" i="2725"/>
  <c r="L81" i="2848"/>
  <c r="L82" i="2848"/>
  <c r="L83" i="2849"/>
  <c r="L84" i="2849"/>
  <c r="L84" i="2850"/>
  <c r="N84" i="2850"/>
  <c r="N50" i="2850"/>
  <c r="N53" i="2849"/>
  <c r="N52" i="2849"/>
  <c r="L52" i="2849"/>
  <c r="N51" i="2849"/>
  <c r="L51" i="2849"/>
  <c r="R75" i="2085"/>
  <c r="Q75" i="2085"/>
  <c r="P75" i="2085"/>
  <c r="R69" i="2085"/>
  <c r="Q69" i="2085"/>
  <c r="R66" i="2085"/>
  <c r="Q66" i="2085"/>
  <c r="R61" i="2085"/>
  <c r="Q61" i="2085"/>
  <c r="P61" i="2085"/>
  <c r="R72" i="2723"/>
  <c r="Q72" i="2723"/>
  <c r="P72" i="2723"/>
  <c r="R71" i="2723"/>
  <c r="Q71" i="2723"/>
  <c r="P71" i="2723"/>
  <c r="R70" i="2723"/>
  <c r="Q70" i="2723"/>
  <c r="P69" i="2725"/>
  <c r="R56" i="2085"/>
  <c r="R55" i="2085"/>
  <c r="P55" i="2085"/>
  <c r="R69" i="2725"/>
  <c r="Q69" i="2725"/>
  <c r="R68" i="2725"/>
  <c r="Q68" i="2725"/>
  <c r="P68" i="2725"/>
  <c r="R67" i="2725"/>
  <c r="Q67" i="2725"/>
  <c r="P67" i="2725"/>
  <c r="R66" i="2725"/>
  <c r="Q56" i="2085"/>
  <c r="Q64" i="2725"/>
  <c r="P63" i="2725"/>
  <c r="R70" i="2725"/>
  <c r="P70" i="2725"/>
  <c r="R65" i="2725"/>
  <c r="Q65" i="2725"/>
  <c r="P65" i="2725"/>
  <c r="R64" i="2725"/>
  <c r="P64" i="2725"/>
  <c r="R63" i="2725"/>
  <c r="Q63" i="2725"/>
  <c r="P57" i="2721"/>
  <c r="Q57" i="2721"/>
  <c r="R57" i="2721"/>
  <c r="Q61" i="2725"/>
  <c r="P60" i="2725"/>
  <c r="R62" i="2725"/>
  <c r="R61" i="2725"/>
  <c r="P61" i="2725"/>
  <c r="R60" i="2725"/>
  <c r="Q60" i="2725"/>
  <c r="P59" i="2725"/>
  <c r="Q58" i="2725"/>
  <c r="N82" i="2843"/>
  <c r="L82" i="2843"/>
  <c r="R41" i="2085"/>
  <c r="Q41" i="2085"/>
  <c r="P41" i="2085"/>
  <c r="K21" i="2839"/>
  <c r="Q44" i="2721"/>
  <c r="Q49" i="2725"/>
  <c r="N60" i="2840"/>
  <c r="L60" i="2840"/>
  <c r="L53" i="2840"/>
  <c r="L54" i="2840"/>
  <c r="N54" i="2845"/>
  <c r="M54" i="2845"/>
  <c r="G54" i="2845"/>
  <c r="N51" i="2846"/>
  <c r="L78" i="2723"/>
  <c r="P46" i="2725"/>
  <c r="N64" i="2838"/>
  <c r="L64" i="2838"/>
  <c r="L50" i="2834"/>
  <c r="Q16" i="2721"/>
  <c r="Q17" i="2722"/>
  <c r="P16" i="2722"/>
  <c r="P16" i="2724"/>
  <c r="P18" i="2725"/>
  <c r="L51" i="2828"/>
  <c r="P8" i="2725"/>
  <c r="K7" i="2828"/>
  <c r="N82" i="2827"/>
  <c r="G50" i="2826"/>
  <c r="M50" i="2826"/>
  <c r="L50" i="2826"/>
  <c r="N61" i="2826"/>
  <c r="L61" i="2826"/>
  <c r="R81" i="2720"/>
  <c r="Q81" i="2720"/>
  <c r="P81" i="2720"/>
  <c r="P76" i="2724"/>
  <c r="R75" i="2724"/>
  <c r="Q75" i="2724"/>
  <c r="P75" i="2724"/>
  <c r="R76" i="2724"/>
  <c r="Q76" i="2724"/>
  <c r="R73" i="2724"/>
  <c r="Q73" i="2724"/>
  <c r="P73" i="2724"/>
  <c r="L80" i="2851"/>
  <c r="N52" i="2850"/>
  <c r="L52" i="2850"/>
  <c r="N49" i="2850"/>
  <c r="L49" i="2850"/>
  <c r="N48" i="2850"/>
  <c r="L48" i="2850"/>
  <c r="N49" i="2849"/>
  <c r="Q66" i="2724"/>
  <c r="Q65" i="2724"/>
  <c r="R67" i="2724"/>
  <c r="Q67" i="2724"/>
  <c r="P67" i="2724"/>
  <c r="K10" i="2849"/>
  <c r="R66" i="2724"/>
  <c r="R65" i="2724"/>
  <c r="P65" i="2724"/>
  <c r="K10" i="2848"/>
  <c r="N73" i="2849"/>
  <c r="L73" i="2849"/>
  <c r="N72" i="2848"/>
  <c r="L72" i="2848"/>
  <c r="N71" i="2848"/>
  <c r="L71" i="2848"/>
  <c r="L60" i="2851"/>
  <c r="R58" i="2725"/>
  <c r="P58" i="2725"/>
  <c r="R57" i="2725"/>
  <c r="Q57" i="2725"/>
  <c r="P57" i="2725"/>
  <c r="R56" i="2725"/>
  <c r="R55" i="2725"/>
  <c r="Q55" i="2725"/>
  <c r="P55" i="2725"/>
  <c r="N69" i="2847"/>
  <c r="Q53" i="2722"/>
  <c r="N55" i="2839"/>
  <c r="G55" i="2839"/>
  <c r="M55" i="2839"/>
  <c r="R36" i="2723"/>
  <c r="P33" i="2721"/>
  <c r="P32" i="2721"/>
  <c r="P29" i="2724"/>
  <c r="Q28" i="2724"/>
  <c r="Q21" i="2725"/>
  <c r="Q26" i="2724"/>
  <c r="P19" i="2725"/>
  <c r="L63" i="2834"/>
  <c r="Q25" i="2722"/>
  <c r="L100" i="2834"/>
  <c r="N100" i="2834"/>
  <c r="L99" i="2834"/>
  <c r="N99" i="2834"/>
  <c r="L66" i="2833"/>
  <c r="L64" i="2832"/>
  <c r="N57" i="2834"/>
  <c r="L57" i="2834"/>
  <c r="P15" i="2724"/>
  <c r="R10" i="2723"/>
  <c r="Q10" i="2723"/>
  <c r="L95" i="2827"/>
  <c r="AA4" i="2722"/>
  <c r="I68" i="2722"/>
  <c r="Q80" i="2720"/>
  <c r="R80" i="2720"/>
  <c r="P80" i="2720"/>
  <c r="Q74" i="2724"/>
  <c r="R74" i="2724"/>
  <c r="R72" i="2724"/>
  <c r="P74" i="2724"/>
  <c r="P70" i="2720"/>
  <c r="R78" i="2720"/>
  <c r="Q78" i="2720"/>
  <c r="R77" i="2720"/>
  <c r="P77" i="2720"/>
  <c r="R74" i="2720"/>
  <c r="Q74" i="2720"/>
  <c r="R70" i="2720"/>
  <c r="Q70" i="2720"/>
  <c r="Q69" i="2721"/>
  <c r="R69" i="2721"/>
  <c r="P69" i="2721"/>
  <c r="Q68" i="2724"/>
  <c r="P64" i="2724"/>
  <c r="K9" i="2848"/>
  <c r="N81" i="2851"/>
  <c r="L81" i="2851"/>
  <c r="N80" i="2850"/>
  <c r="G80" i="2850"/>
  <c r="L80" i="2850"/>
  <c r="P60" i="2085"/>
  <c r="P59" i="2085"/>
  <c r="P66" i="2721"/>
  <c r="K17" i="2851"/>
  <c r="Q63" i="2724"/>
  <c r="Q62" i="2724"/>
  <c r="P54" i="2725"/>
  <c r="N51" i="2848"/>
  <c r="G51" i="2848"/>
  <c r="L51" i="2848"/>
  <c r="Q63" i="2721"/>
  <c r="Q52" i="2085"/>
  <c r="P61" i="2721"/>
  <c r="P59" i="2724"/>
  <c r="P62" i="2720"/>
  <c r="Q62" i="2723"/>
  <c r="P48" i="2725"/>
  <c r="L71" i="2847"/>
  <c r="Q60" i="2720"/>
  <c r="N85" i="2845"/>
  <c r="L85" i="2845"/>
  <c r="P57" i="2723"/>
  <c r="P55" i="2723"/>
  <c r="P53" i="2723"/>
  <c r="Q51" i="2724"/>
  <c r="J92" i="2846"/>
  <c r="L92" i="2846"/>
  <c r="N92" i="2846"/>
  <c r="L88" i="2843"/>
  <c r="Q53" i="2720"/>
  <c r="P51" i="2723"/>
  <c r="Q47" i="2724"/>
  <c r="P39" i="2085"/>
  <c r="P51" i="2720"/>
  <c r="Q37" i="2085"/>
  <c r="Q36" i="2725"/>
  <c r="P42" i="2724"/>
  <c r="K10" i="2840"/>
  <c r="P34" i="2725"/>
  <c r="L96" i="2846"/>
  <c r="N96" i="2846"/>
  <c r="L92" i="2843"/>
  <c r="Q44" i="2720"/>
  <c r="P42" i="2723"/>
  <c r="N53" i="2838"/>
  <c r="Q29" i="2725"/>
  <c r="N83" i="2838"/>
  <c r="Q39" i="2723"/>
  <c r="P36" i="2724"/>
  <c r="K9" i="2838"/>
  <c r="Q27" i="2725"/>
  <c r="L95" i="2838"/>
  <c r="N95" i="2838"/>
  <c r="L55" i="2836"/>
  <c r="P29" i="2085"/>
  <c r="Q31" i="2721"/>
  <c r="R30" i="2721"/>
  <c r="Q30" i="2721"/>
  <c r="P30" i="2721"/>
  <c r="L98" i="2837"/>
  <c r="N98" i="2837"/>
  <c r="N81" i="2836"/>
  <c r="L81" i="2836"/>
  <c r="P32" i="2724"/>
  <c r="P27" i="2721"/>
  <c r="P32" i="2723"/>
  <c r="P30" i="2724"/>
  <c r="P20" i="2725"/>
  <c r="Q29" i="2723"/>
  <c r="N60" i="2835"/>
  <c r="M60" i="2835"/>
  <c r="G60" i="2835"/>
  <c r="P22" i="2085"/>
  <c r="Q25" i="2724"/>
  <c r="Q18" i="2725"/>
  <c r="Q23" i="2720"/>
  <c r="Q23" i="2723"/>
  <c r="P24" i="2724"/>
  <c r="N81" i="2833"/>
  <c r="L81" i="2833"/>
  <c r="Q19" i="2085"/>
  <c r="P18" i="2085"/>
  <c r="Q21" i="2724"/>
  <c r="L95" i="2831"/>
  <c r="P14" i="2085"/>
  <c r="P15" i="2725"/>
  <c r="K8" i="2831"/>
  <c r="N98" i="2833"/>
  <c r="J90" i="2832"/>
  <c r="L90" i="2832"/>
  <c r="N60" i="2831"/>
  <c r="L60" i="2831"/>
  <c r="L53" i="2831"/>
  <c r="L98" i="2833"/>
  <c r="N90" i="2832"/>
  <c r="P14" i="2720"/>
  <c r="Q17" i="2723"/>
  <c r="N67" i="2828"/>
  <c r="L67" i="2828"/>
  <c r="P10" i="2721"/>
  <c r="K16" i="2828"/>
  <c r="Q10" i="2724"/>
  <c r="P9" i="2724"/>
  <c r="L100" i="2827"/>
  <c r="N100" i="2827"/>
  <c r="J99" i="2827"/>
  <c r="L99" i="2827"/>
  <c r="N99" i="2827"/>
  <c r="Q8" i="2724"/>
  <c r="R7" i="2725"/>
  <c r="Q7" i="2725"/>
  <c r="L88" i="2826"/>
  <c r="L72" i="2826"/>
  <c r="L74" i="2827"/>
  <c r="L72" i="2828"/>
  <c r="L72" i="2829"/>
  <c r="L75" i="2831"/>
  <c r="L76" i="2831"/>
  <c r="L74" i="2832"/>
  <c r="L75" i="2833"/>
  <c r="L75" i="2834"/>
  <c r="L78" i="2837"/>
  <c r="L79" i="2837"/>
  <c r="L74" i="2838"/>
  <c r="L74" i="2839"/>
  <c r="L75" i="2839"/>
  <c r="L73" i="2840"/>
  <c r="L72" i="2843"/>
  <c r="L73" i="2843"/>
  <c r="L73" i="2844"/>
  <c r="L74" i="2844"/>
  <c r="L74" i="2845"/>
  <c r="L72" i="2847"/>
  <c r="L73" i="2847"/>
  <c r="L74" i="2851"/>
  <c r="Q4" i="2723"/>
  <c r="Q4" i="2724"/>
  <c r="Q4" i="2725"/>
  <c r="Q68" i="2720"/>
  <c r="R68" i="2720"/>
  <c r="P68" i="2720"/>
  <c r="R67" i="2721"/>
  <c r="Q67" i="2721"/>
  <c r="R70" i="2724"/>
  <c r="R60" i="2085"/>
  <c r="R63" i="2724"/>
  <c r="P63" i="2724"/>
  <c r="R57" i="2085"/>
  <c r="P57" i="2085"/>
  <c r="Q62" i="2721"/>
  <c r="R62" i="2721"/>
  <c r="P62" i="2721"/>
  <c r="P62" i="2723"/>
  <c r="K11" i="2848"/>
  <c r="R62" i="2723"/>
  <c r="N83" i="2849"/>
  <c r="N82" i="2851"/>
  <c r="L82" i="2851"/>
  <c r="Q56" i="2724"/>
  <c r="R56" i="2724"/>
  <c r="N56" i="2850"/>
  <c r="L56" i="2850"/>
  <c r="P56" i="2724"/>
  <c r="L96" i="2850"/>
  <c r="N96" i="2850"/>
  <c r="J90" i="2850"/>
  <c r="L90" i="2850"/>
  <c r="N90" i="2850"/>
  <c r="N58" i="2849"/>
  <c r="L58" i="2849"/>
  <c r="P56" i="2721"/>
  <c r="R56" i="2721"/>
  <c r="Q56" i="2721"/>
  <c r="R57" i="2723"/>
  <c r="N94" i="2848"/>
  <c r="J94" i="2848"/>
  <c r="L94" i="2848"/>
  <c r="J93" i="2848"/>
  <c r="L93" i="2848"/>
  <c r="N93" i="2848"/>
  <c r="L89" i="2849"/>
  <c r="J89" i="2849"/>
  <c r="N89" i="2849"/>
  <c r="R54" i="2720"/>
  <c r="N45" i="2716"/>
  <c r="L89" i="2844" s="1"/>
  <c r="N44" i="2716"/>
  <c r="L87" i="2843" s="1"/>
  <c r="P49" i="2722"/>
  <c r="R49" i="2722"/>
  <c r="Q49" i="2722"/>
  <c r="J94" i="2847"/>
  <c r="L94" i="2847"/>
  <c r="N94" i="2847"/>
  <c r="L95" i="2851"/>
  <c r="L96" i="2851"/>
  <c r="N96" i="2851"/>
  <c r="L94" i="2851"/>
  <c r="P46" i="2722"/>
  <c r="R46" i="2722"/>
  <c r="Q46" i="2722"/>
  <c r="Q50" i="2723"/>
  <c r="R50" i="2723"/>
  <c r="P50" i="2723"/>
  <c r="L101" i="2845"/>
  <c r="L100" i="2845"/>
  <c r="J97" i="2846"/>
  <c r="N97" i="2846"/>
  <c r="J101" i="2845"/>
  <c r="N101" i="2845"/>
  <c r="L92" i="2849"/>
  <c r="N92" i="2849"/>
  <c r="N100" i="2845"/>
  <c r="L89" i="2848"/>
  <c r="N84" i="2844"/>
  <c r="L84" i="2844"/>
  <c r="N73" i="2845"/>
  <c r="G73" i="2845"/>
  <c r="R45" i="2720"/>
  <c r="R44" i="2721"/>
  <c r="P46" i="2723"/>
  <c r="R46" i="2723"/>
  <c r="N96" i="2843"/>
  <c r="J91" i="2846"/>
  <c r="L91" i="2846"/>
  <c r="N95" i="2843"/>
  <c r="R41" i="2721"/>
  <c r="Q41" i="2721"/>
  <c r="P41" i="2721"/>
  <c r="K16" i="2841"/>
  <c r="J97" i="2840"/>
  <c r="N70" i="2843"/>
  <c r="M70" i="2843"/>
  <c r="G70" i="2843"/>
  <c r="R37" i="2722"/>
  <c r="P37" i="2722"/>
  <c r="L97" i="2839"/>
  <c r="N97" i="2838"/>
  <c r="L97" i="2838"/>
  <c r="N95" i="2845"/>
  <c r="L95" i="2845"/>
  <c r="J95" i="2845"/>
  <c r="J94" i="2845"/>
  <c r="L94" i="2845"/>
  <c r="N94" i="2845"/>
  <c r="N97" i="2839"/>
  <c r="N51" i="2840"/>
  <c r="Q35" i="2722"/>
  <c r="R35" i="2722"/>
  <c r="R38" i="2723"/>
  <c r="L51" i="2840"/>
  <c r="P35" i="2722"/>
  <c r="Q32" i="2085"/>
  <c r="Q31" i="2085"/>
  <c r="R32" i="2085"/>
  <c r="P30" i="2085"/>
  <c r="D3" i="4"/>
  <c r="G3" i="4"/>
  <c r="D4" i="4"/>
  <c r="F4" i="4"/>
  <c r="C8" i="4"/>
  <c r="D8" i="4"/>
  <c r="F8" i="4"/>
  <c r="C9" i="4"/>
  <c r="D9" i="4"/>
  <c r="F9" i="4"/>
  <c r="D10" i="4"/>
  <c r="G10" i="4"/>
  <c r="F10" i="4"/>
  <c r="D14" i="4"/>
  <c r="G14" i="4"/>
  <c r="F14" i="4"/>
  <c r="D15" i="4"/>
  <c r="G15" i="4"/>
  <c r="C16" i="4"/>
  <c r="D16" i="4"/>
  <c r="C17" i="4"/>
  <c r="D17" i="4"/>
  <c r="C18" i="4"/>
  <c r="D18" i="4"/>
  <c r="D22" i="4"/>
  <c r="F22" i="4"/>
  <c r="D23" i="4"/>
  <c r="G23" i="4"/>
  <c r="F23" i="4"/>
  <c r="D24" i="4"/>
  <c r="F24" i="4"/>
  <c r="D25" i="4"/>
  <c r="G25" i="4"/>
  <c r="C26" i="4"/>
  <c r="D26" i="4"/>
  <c r="D27" i="4"/>
  <c r="F27" i="4"/>
  <c r="D28" i="4"/>
  <c r="D29" i="4"/>
  <c r="F29" i="4"/>
  <c r="D30" i="4"/>
  <c r="G30" i="4"/>
  <c r="D31" i="4"/>
  <c r="F31" i="4"/>
  <c r="D35" i="4"/>
  <c r="G35" i="4"/>
  <c r="C36" i="4"/>
  <c r="D36" i="4"/>
  <c r="C37" i="4"/>
  <c r="D37" i="4"/>
  <c r="C43" i="4"/>
  <c r="D43" i="4"/>
  <c r="C47" i="4"/>
  <c r="D47" i="4"/>
  <c r="C48" i="4"/>
  <c r="D48" i="4"/>
  <c r="F7" i="2"/>
  <c r="H7" i="2"/>
  <c r="F8" i="2"/>
  <c r="H8" i="2"/>
  <c r="F9" i="2"/>
  <c r="H9" i="2"/>
  <c r="B10" i="2"/>
  <c r="C10" i="2"/>
  <c r="E16" i="2"/>
  <c r="G16" i="2"/>
  <c r="E17" i="2"/>
  <c r="G17" i="2"/>
  <c r="E18" i="2"/>
  <c r="G18" i="2"/>
  <c r="E19" i="2"/>
  <c r="G19" i="2"/>
  <c r="E20" i="2"/>
  <c r="G20" i="2"/>
  <c r="E21" i="2"/>
  <c r="G21" i="2"/>
  <c r="E22" i="2"/>
  <c r="G22" i="2"/>
  <c r="B23" i="2"/>
  <c r="J4" i="2719"/>
  <c r="N4" i="2719"/>
  <c r="K4" i="2719"/>
  <c r="P4" i="2719"/>
  <c r="Q4" i="2719"/>
  <c r="R4" i="2719"/>
  <c r="J5" i="2719"/>
  <c r="K5" i="2719"/>
  <c r="N5" i="2719"/>
  <c r="R5" i="2719"/>
  <c r="P5" i="2719"/>
  <c r="Q5" i="2719"/>
  <c r="J6" i="2719"/>
  <c r="N6" i="2719"/>
  <c r="K6" i="2719"/>
  <c r="P6" i="2719"/>
  <c r="Q6" i="2719"/>
  <c r="R6" i="2719"/>
  <c r="J9" i="2719"/>
  <c r="K9" i="2719"/>
  <c r="N9" i="2719"/>
  <c r="R9" i="2719"/>
  <c r="P9" i="2719"/>
  <c r="J10" i="2719"/>
  <c r="N10" i="2719"/>
  <c r="K10" i="2719"/>
  <c r="P10" i="2719"/>
  <c r="Q10" i="2719"/>
  <c r="R10" i="2719"/>
  <c r="J11" i="2719"/>
  <c r="K11" i="2719"/>
  <c r="N11" i="2719"/>
  <c r="R11" i="2719"/>
  <c r="P11" i="2719"/>
  <c r="Q11" i="2719"/>
  <c r="J12" i="2719"/>
  <c r="N12" i="2719"/>
  <c r="K12" i="2719"/>
  <c r="R12" i="2719"/>
  <c r="P12" i="2719"/>
  <c r="Q12" i="2719"/>
  <c r="J13" i="2719"/>
  <c r="K13" i="2719"/>
  <c r="N13" i="2719"/>
  <c r="R13" i="2719"/>
  <c r="P13" i="2719"/>
  <c r="Q13" i="2719"/>
  <c r="J14" i="2719"/>
  <c r="N14" i="2719"/>
  <c r="K14" i="2719"/>
  <c r="P14" i="2719"/>
  <c r="Q14" i="2719"/>
  <c r="R14" i="2719"/>
  <c r="J15" i="2719"/>
  <c r="N15" i="2719"/>
  <c r="K15" i="2719"/>
  <c r="R15" i="2719"/>
  <c r="P15" i="2719"/>
  <c r="Q15" i="2719"/>
  <c r="J16" i="2719"/>
  <c r="N16" i="2719"/>
  <c r="K16" i="2719"/>
  <c r="R16" i="2719"/>
  <c r="P16" i="2719"/>
  <c r="Q16" i="2719"/>
  <c r="J17" i="2719"/>
  <c r="N17" i="2719"/>
  <c r="K17" i="2719"/>
  <c r="R17" i="2719"/>
  <c r="P17" i="2719"/>
  <c r="Q17" i="2719"/>
  <c r="J18" i="2719"/>
  <c r="N18" i="2719"/>
  <c r="K18" i="2719"/>
  <c r="K73" i="2719"/>
  <c r="R18" i="2719"/>
  <c r="P18" i="2719"/>
  <c r="Q18" i="2719"/>
  <c r="J19" i="2719"/>
  <c r="K19" i="2719"/>
  <c r="N19" i="2719"/>
  <c r="R19" i="2719"/>
  <c r="P19" i="2719"/>
  <c r="Q19" i="2719"/>
  <c r="J20" i="2719"/>
  <c r="N20" i="2719"/>
  <c r="K20" i="2719"/>
  <c r="P20" i="2719"/>
  <c r="Q20" i="2719"/>
  <c r="R20" i="2719"/>
  <c r="J21" i="2719"/>
  <c r="N21" i="2719"/>
  <c r="K21" i="2719"/>
  <c r="R21" i="2719"/>
  <c r="P21" i="2719"/>
  <c r="Q21" i="2719"/>
  <c r="J22" i="2719"/>
  <c r="N22" i="2719"/>
  <c r="K22" i="2719"/>
  <c r="P22" i="2719"/>
  <c r="Q22" i="2719"/>
  <c r="R22" i="2719"/>
  <c r="J23" i="2719"/>
  <c r="N23" i="2719"/>
  <c r="K23" i="2719"/>
  <c r="R23" i="2719"/>
  <c r="P23" i="2719"/>
  <c r="Q23" i="2719"/>
  <c r="J24" i="2719"/>
  <c r="N24" i="2719"/>
  <c r="K24" i="2719"/>
  <c r="R24" i="2719"/>
  <c r="P24" i="2719"/>
  <c r="Q24" i="2719"/>
  <c r="J25" i="2719"/>
  <c r="N25" i="2719"/>
  <c r="K25" i="2719"/>
  <c r="R25" i="2719"/>
  <c r="P25" i="2719"/>
  <c r="Q25" i="2719"/>
  <c r="J26" i="2719"/>
  <c r="N26" i="2719"/>
  <c r="K26" i="2719"/>
  <c r="P26" i="2719"/>
  <c r="Q26" i="2719"/>
  <c r="R26" i="2719"/>
  <c r="J27" i="2719"/>
  <c r="K27" i="2719"/>
  <c r="N27" i="2719"/>
  <c r="R27" i="2719"/>
  <c r="P27" i="2719"/>
  <c r="Q27" i="2719"/>
  <c r="J28" i="2719"/>
  <c r="N28" i="2719"/>
  <c r="K28" i="2719"/>
  <c r="P28" i="2719"/>
  <c r="Q28" i="2719"/>
  <c r="R28" i="2719"/>
  <c r="J29" i="2719"/>
  <c r="N29" i="2719"/>
  <c r="K29" i="2719"/>
  <c r="R29" i="2719"/>
  <c r="P29" i="2719"/>
  <c r="Q29" i="2719"/>
  <c r="J30" i="2719"/>
  <c r="N30" i="2719"/>
  <c r="K30" i="2719"/>
  <c r="R30" i="2719"/>
  <c r="P30" i="2719"/>
  <c r="Q30" i="2719"/>
  <c r="J31" i="2719"/>
  <c r="N31" i="2719"/>
  <c r="K31" i="2719"/>
  <c r="R31" i="2719"/>
  <c r="P31" i="2719"/>
  <c r="Q31" i="2719"/>
  <c r="J32" i="2719"/>
  <c r="N32" i="2719"/>
  <c r="K32" i="2719"/>
  <c r="R32" i="2719"/>
  <c r="P32" i="2719"/>
  <c r="Q32" i="2719"/>
  <c r="J33" i="2719"/>
  <c r="K33" i="2719"/>
  <c r="N33" i="2719"/>
  <c r="R33" i="2719"/>
  <c r="P33" i="2719"/>
  <c r="Q33" i="2719"/>
  <c r="J34" i="2719"/>
  <c r="N34" i="2719"/>
  <c r="K34" i="2719"/>
  <c r="P34" i="2719"/>
  <c r="Q34" i="2719"/>
  <c r="R34" i="2719"/>
  <c r="J35" i="2719"/>
  <c r="N35" i="2719"/>
  <c r="K35" i="2719"/>
  <c r="R35" i="2719"/>
  <c r="P35" i="2719"/>
  <c r="Q35" i="2719"/>
  <c r="J36" i="2719"/>
  <c r="N36" i="2719"/>
  <c r="K36" i="2719"/>
  <c r="P36" i="2719"/>
  <c r="Q36" i="2719"/>
  <c r="R36" i="2719"/>
  <c r="J37" i="2719"/>
  <c r="N37" i="2719"/>
  <c r="K37" i="2719"/>
  <c r="R37" i="2719"/>
  <c r="P37" i="2719"/>
  <c r="Q37" i="2719"/>
  <c r="J38" i="2719"/>
  <c r="N38" i="2719"/>
  <c r="K38" i="2719"/>
  <c r="R38" i="2719"/>
  <c r="P38" i="2719"/>
  <c r="Q38" i="2719"/>
  <c r="J39" i="2719"/>
  <c r="K39" i="2719"/>
  <c r="N39" i="2719"/>
  <c r="R39" i="2719"/>
  <c r="P39" i="2719"/>
  <c r="Q39" i="2719"/>
  <c r="J40" i="2719"/>
  <c r="N40" i="2719"/>
  <c r="K40" i="2719"/>
  <c r="P40" i="2719"/>
  <c r="Q40" i="2719"/>
  <c r="R40" i="2719"/>
  <c r="J41" i="2719"/>
  <c r="K41" i="2719"/>
  <c r="N41" i="2719"/>
  <c r="R41" i="2719"/>
  <c r="P41" i="2719"/>
  <c r="Q41" i="2719"/>
  <c r="J42" i="2719"/>
  <c r="N42" i="2719"/>
  <c r="K42" i="2719"/>
  <c r="P42" i="2719"/>
  <c r="Q42" i="2719"/>
  <c r="R42" i="2719"/>
  <c r="J43" i="2719"/>
  <c r="K43" i="2719"/>
  <c r="N43" i="2719"/>
  <c r="R43" i="2719"/>
  <c r="P43" i="2719"/>
  <c r="Q43" i="2719"/>
  <c r="J44" i="2719"/>
  <c r="N44" i="2719"/>
  <c r="K44" i="2719"/>
  <c r="P44" i="2719"/>
  <c r="Q44" i="2719"/>
  <c r="R44" i="2719"/>
  <c r="J45" i="2719"/>
  <c r="K45" i="2719"/>
  <c r="N45" i="2719"/>
  <c r="R45" i="2719"/>
  <c r="P45" i="2719"/>
  <c r="Q45" i="2719"/>
  <c r="J46" i="2719"/>
  <c r="N46" i="2719"/>
  <c r="K46" i="2719"/>
  <c r="P46" i="2719"/>
  <c r="Q46" i="2719"/>
  <c r="R46" i="2719"/>
  <c r="J47" i="2719"/>
  <c r="K47" i="2719"/>
  <c r="N47" i="2719"/>
  <c r="R47" i="2719"/>
  <c r="P47" i="2719"/>
  <c r="Q47" i="2719"/>
  <c r="J48" i="2719"/>
  <c r="N48" i="2719"/>
  <c r="K48" i="2719"/>
  <c r="R48" i="2719"/>
  <c r="P48" i="2719"/>
  <c r="Q48" i="2719"/>
  <c r="J49" i="2719"/>
  <c r="K49" i="2719"/>
  <c r="N49" i="2719"/>
  <c r="R49" i="2719"/>
  <c r="P49" i="2719"/>
  <c r="Q49" i="2719"/>
  <c r="J50" i="2719"/>
  <c r="N50" i="2719"/>
  <c r="K50" i="2719"/>
  <c r="R50" i="2719"/>
  <c r="P50" i="2719"/>
  <c r="Q50" i="2719"/>
  <c r="J51" i="2719"/>
  <c r="N51" i="2719"/>
  <c r="K51" i="2719"/>
  <c r="R51" i="2719"/>
  <c r="P51" i="2719"/>
  <c r="Q51" i="2719"/>
  <c r="J52" i="2719"/>
  <c r="N52" i="2719"/>
  <c r="K52" i="2719"/>
  <c r="R52" i="2719"/>
  <c r="P52" i="2719"/>
  <c r="Q52" i="2719"/>
  <c r="J53" i="2719"/>
  <c r="K53" i="2719"/>
  <c r="N53" i="2719"/>
  <c r="R53" i="2719"/>
  <c r="P53" i="2719"/>
  <c r="Q53" i="2719"/>
  <c r="J54" i="2719"/>
  <c r="N54" i="2719"/>
  <c r="K54" i="2719"/>
  <c r="R54" i="2719"/>
  <c r="P54" i="2719"/>
  <c r="Q54" i="2719"/>
  <c r="J55" i="2719"/>
  <c r="K55" i="2719"/>
  <c r="N55" i="2719"/>
  <c r="R55" i="2719"/>
  <c r="P55" i="2719"/>
  <c r="Q55" i="2719"/>
  <c r="J56" i="2719"/>
  <c r="N56" i="2719"/>
  <c r="K56" i="2719"/>
  <c r="P56" i="2719"/>
  <c r="Q56" i="2719"/>
  <c r="R56" i="2719"/>
  <c r="J57" i="2719"/>
  <c r="N57" i="2719"/>
  <c r="K57" i="2719"/>
  <c r="R57" i="2719"/>
  <c r="P57" i="2719"/>
  <c r="Q57" i="2719"/>
  <c r="J58" i="2719"/>
  <c r="N58" i="2719"/>
  <c r="K58" i="2719"/>
  <c r="R58" i="2719"/>
  <c r="P58" i="2719"/>
  <c r="Q58" i="2719"/>
  <c r="J59" i="2719"/>
  <c r="K59" i="2719"/>
  <c r="N59" i="2719"/>
  <c r="R59" i="2719"/>
  <c r="P59" i="2719"/>
  <c r="Q59" i="2719"/>
  <c r="J60" i="2719"/>
  <c r="N60" i="2719"/>
  <c r="K60" i="2719"/>
  <c r="P60" i="2719"/>
  <c r="Q60" i="2719"/>
  <c r="R60" i="2719"/>
  <c r="J61" i="2719"/>
  <c r="N61" i="2719"/>
  <c r="K61" i="2719"/>
  <c r="R61" i="2719"/>
  <c r="P61" i="2719"/>
  <c r="Q61" i="2719"/>
  <c r="J62" i="2719"/>
  <c r="N62" i="2719"/>
  <c r="K62" i="2719"/>
  <c r="R62" i="2719"/>
  <c r="P62" i="2719"/>
  <c r="Q62" i="2719"/>
  <c r="J63" i="2719"/>
  <c r="N63" i="2719"/>
  <c r="K63" i="2719"/>
  <c r="R63" i="2719"/>
  <c r="P63" i="2719"/>
  <c r="Q63" i="2719"/>
  <c r="J64" i="2719"/>
  <c r="N64" i="2719"/>
  <c r="K64" i="2719"/>
  <c r="P64" i="2719"/>
  <c r="Q64" i="2719"/>
  <c r="R64" i="2719"/>
  <c r="J65" i="2719"/>
  <c r="N65" i="2719"/>
  <c r="K65" i="2719"/>
  <c r="R65" i="2719"/>
  <c r="P65" i="2719"/>
  <c r="Q65" i="2719"/>
  <c r="J66" i="2719"/>
  <c r="N66" i="2719"/>
  <c r="K66" i="2719"/>
  <c r="P66" i="2719"/>
  <c r="Q66" i="2719"/>
  <c r="R66" i="2719"/>
  <c r="J67" i="2719"/>
  <c r="K67" i="2719"/>
  <c r="N67" i="2719"/>
  <c r="R67" i="2719"/>
  <c r="P67" i="2719"/>
  <c r="Q67" i="2719"/>
  <c r="J68" i="2719"/>
  <c r="N68" i="2719"/>
  <c r="K68" i="2719"/>
  <c r="P68" i="2719"/>
  <c r="Q68" i="2719"/>
  <c r="R68" i="2719"/>
  <c r="J69" i="2719"/>
  <c r="N69" i="2719"/>
  <c r="K69" i="2719"/>
  <c r="R69" i="2719"/>
  <c r="P69" i="2719"/>
  <c r="Q69" i="2719"/>
  <c r="J70" i="2719"/>
  <c r="N70" i="2719"/>
  <c r="K70" i="2719"/>
  <c r="P70" i="2719"/>
  <c r="Q70" i="2719"/>
  <c r="R70" i="2719"/>
  <c r="I73" i="2719"/>
  <c r="M73" i="2719"/>
  <c r="N92" i="2826"/>
  <c r="L92" i="2826"/>
  <c r="N95" i="2827"/>
  <c r="J96" i="2827"/>
  <c r="N97" i="2827"/>
  <c r="L97" i="2827"/>
  <c r="N98" i="2827"/>
  <c r="L98" i="2827"/>
  <c r="J98" i="2827"/>
  <c r="L94" i="2828"/>
  <c r="N95" i="2828"/>
  <c r="L95" i="2828"/>
  <c r="J95" i="2828"/>
  <c r="N96" i="2828"/>
  <c r="L96" i="2828"/>
  <c r="J96" i="2828"/>
  <c r="N97" i="2828"/>
  <c r="L97" i="2828"/>
  <c r="N92" i="2829"/>
  <c r="L92" i="2829"/>
  <c r="J92" i="2829"/>
  <c r="N93" i="2829"/>
  <c r="L93" i="2829"/>
  <c r="J93" i="2829"/>
  <c r="L97" i="2831"/>
  <c r="J97" i="2831"/>
  <c r="N95" i="2832"/>
  <c r="L95" i="2832"/>
  <c r="J95" i="2832"/>
  <c r="N96" i="2832"/>
  <c r="L96" i="2832"/>
  <c r="J96" i="2832"/>
  <c r="N95" i="2833"/>
  <c r="L95" i="2833"/>
  <c r="J95" i="2833"/>
  <c r="N96" i="2833"/>
  <c r="L96" i="2833"/>
  <c r="J96" i="2833"/>
  <c r="N98" i="2834"/>
  <c r="L98" i="2834"/>
  <c r="N91" i="2835"/>
  <c r="L91" i="2835"/>
  <c r="J91" i="2835"/>
  <c r="N92" i="2835"/>
  <c r="L92" i="2835"/>
  <c r="J92" i="2835"/>
  <c r="N93" i="2835"/>
  <c r="L93" i="2835"/>
  <c r="L100" i="2837"/>
  <c r="J100" i="2837"/>
  <c r="N101" i="2837"/>
  <c r="L101" i="2837"/>
  <c r="L96" i="2839"/>
  <c r="N98" i="2839"/>
  <c r="L98" i="2839"/>
  <c r="N96" i="2840"/>
  <c r="L96" i="2840"/>
  <c r="L97" i="2844"/>
  <c r="N98" i="2844"/>
  <c r="L98" i="2844"/>
  <c r="J98" i="2844"/>
  <c r="N98" i="2845"/>
  <c r="L98" i="2845"/>
  <c r="L99" i="2845"/>
  <c r="J99" i="2845"/>
  <c r="N98" i="2846"/>
  <c r="L98" i="2846"/>
  <c r="J98" i="2846"/>
  <c r="N91" i="2848"/>
  <c r="L91" i="2848"/>
  <c r="J91" i="2848"/>
  <c r="L92" i="2848"/>
  <c r="N93" i="2849"/>
  <c r="L93" i="2849"/>
  <c r="J93" i="2849"/>
  <c r="N94" i="2849"/>
  <c r="L94" i="2849"/>
  <c r="J94" i="2849"/>
  <c r="N97" i="2850"/>
  <c r="L97" i="2850"/>
  <c r="N98" i="2850"/>
  <c r="L98" i="2850"/>
  <c r="N99" i="2850"/>
  <c r="L99" i="2850"/>
  <c r="J99" i="2850"/>
  <c r="N100" i="2850"/>
  <c r="L100" i="2850"/>
  <c r="J100" i="2850"/>
  <c r="N99" i="2851"/>
  <c r="L99" i="2851"/>
  <c r="J99" i="2851"/>
  <c r="C51" i="325"/>
  <c r="N92" i="2827"/>
  <c r="L92" i="2827"/>
  <c r="N93" i="2827"/>
  <c r="N90" i="2828"/>
  <c r="L90" i="2828"/>
  <c r="L91" i="2828"/>
  <c r="N92" i="2828"/>
  <c r="L92" i="2828"/>
  <c r="N90" i="2829"/>
  <c r="L90" i="2829"/>
  <c r="J90" i="2829"/>
  <c r="N91" i="2829"/>
  <c r="L91" i="2829"/>
  <c r="N92" i="2832"/>
  <c r="L92" i="2832"/>
  <c r="N93" i="2832"/>
  <c r="L93" i="2832"/>
  <c r="J93" i="2832"/>
  <c r="N93" i="2833"/>
  <c r="L93" i="2833"/>
  <c r="N94" i="2834"/>
  <c r="L94" i="2834"/>
  <c r="N95" i="2834"/>
  <c r="L95" i="2834"/>
  <c r="N89" i="2835"/>
  <c r="L89" i="2835"/>
  <c r="N96" i="2837"/>
  <c r="L96" i="2837"/>
  <c r="N97" i="2837"/>
  <c r="L97" i="2837"/>
  <c r="N94" i="2838"/>
  <c r="L94" i="2838"/>
  <c r="N94" i="2839"/>
  <c r="L94" i="2839"/>
  <c r="N94" i="2840"/>
  <c r="L94" i="2840"/>
  <c r="N95" i="2840"/>
  <c r="L95" i="2840"/>
  <c r="J95" i="2840"/>
  <c r="L93" i="2843"/>
  <c r="N94" i="2843"/>
  <c r="L94" i="2843"/>
  <c r="N94" i="2844"/>
  <c r="L94" i="2844"/>
  <c r="J94" i="2844"/>
  <c r="N95" i="2844"/>
  <c r="L95" i="2844"/>
  <c r="N96" i="2845"/>
  <c r="L96" i="2845"/>
  <c r="N94" i="2846"/>
  <c r="L94" i="2846"/>
  <c r="J94" i="2846"/>
  <c r="L92" i="2847"/>
  <c r="J92" i="2847"/>
  <c r="N91" i="2849"/>
  <c r="L91" i="2849"/>
  <c r="J91" i="2849"/>
  <c r="N94" i="2850"/>
  <c r="L94" i="2850"/>
  <c r="N95" i="2850"/>
  <c r="L95" i="2850"/>
  <c r="C50" i="325"/>
  <c r="N88" i="2826"/>
  <c r="J88" i="2826"/>
  <c r="N91" i="2827"/>
  <c r="L91" i="2827"/>
  <c r="N88" i="2828"/>
  <c r="L88" i="2828"/>
  <c r="J88" i="2828"/>
  <c r="N89" i="2828"/>
  <c r="L89" i="2828"/>
  <c r="N88" i="2829"/>
  <c r="L88" i="2829"/>
  <c r="J88" i="2829"/>
  <c r="L92" i="2831"/>
  <c r="J92" i="2831"/>
  <c r="N91" i="2833"/>
  <c r="L91" i="2833"/>
  <c r="L91" i="2834"/>
  <c r="J91" i="2834"/>
  <c r="N92" i="2834"/>
  <c r="L92" i="2834"/>
  <c r="J92" i="2834"/>
  <c r="N87" i="2835"/>
  <c r="L87" i="2835"/>
  <c r="J87" i="2835"/>
  <c r="N92" i="2836"/>
  <c r="L92" i="2836"/>
  <c r="N94" i="2837"/>
  <c r="L94" i="2837"/>
  <c r="N88" i="2847"/>
  <c r="L88" i="2847"/>
  <c r="N89" i="2847"/>
  <c r="L89" i="2847"/>
  <c r="J89" i="2847"/>
  <c r="N90" i="2847"/>
  <c r="L90" i="2847"/>
  <c r="J90" i="2847"/>
  <c r="N87" i="2848"/>
  <c r="L87" i="2848"/>
  <c r="J87" i="2848"/>
  <c r="L89" i="2850"/>
  <c r="N92" i="2851"/>
  <c r="L92" i="2851"/>
  <c r="C49" i="325"/>
  <c r="L118" i="2851"/>
  <c r="Q4" i="2716"/>
  <c r="N4" i="2716"/>
  <c r="Q5" i="2716"/>
  <c r="N5" i="2716"/>
  <c r="Q6" i="2716"/>
  <c r="N6" i="2716"/>
  <c r="N7" i="2716"/>
  <c r="Q8" i="2716"/>
  <c r="N8" i="2716"/>
  <c r="N9" i="2716"/>
  <c r="Q10" i="2716"/>
  <c r="N10" i="2716"/>
  <c r="N11" i="2716"/>
  <c r="N12" i="2716"/>
  <c r="N13" i="2716"/>
  <c r="Q14" i="2716"/>
  <c r="N14" i="2716"/>
  <c r="N15" i="2716"/>
  <c r="N17" i="2716"/>
  <c r="L89" i="2827"/>
  <c r="L87" i="2828"/>
  <c r="N23" i="2716"/>
  <c r="L89" i="2831" s="1"/>
  <c r="N24" i="2716"/>
  <c r="L90" i="2831" s="1"/>
  <c r="N25" i="2716"/>
  <c r="L87" i="2832" s="1"/>
  <c r="N26" i="2716"/>
  <c r="L88" i="2832" s="1"/>
  <c r="N27" i="2716"/>
  <c r="L89" i="2833" s="1"/>
  <c r="N28" i="2716"/>
  <c r="L88" i="2834" s="1"/>
  <c r="N29" i="2716"/>
  <c r="L89" i="2834" s="1"/>
  <c r="N30" i="2716"/>
  <c r="N31" i="2716"/>
  <c r="N32" i="2716"/>
  <c r="N34" i="2716"/>
  <c r="L92" i="2837"/>
  <c r="N35" i="2716"/>
  <c r="L88" i="2838" s="1"/>
  <c r="N36" i="2716"/>
  <c r="L89" i="2838"/>
  <c r="N37" i="2716"/>
  <c r="L90" i="2838" s="1"/>
  <c r="N38" i="2716"/>
  <c r="L88" i="2839" s="1"/>
  <c r="N39" i="2716"/>
  <c r="L89" i="2839" s="1"/>
  <c r="N40" i="2716"/>
  <c r="L90" i="2839"/>
  <c r="N41" i="2716"/>
  <c r="L88" i="2840" s="1"/>
  <c r="L89" i="2840"/>
  <c r="N43" i="2716"/>
  <c r="N46" i="2716"/>
  <c r="L88" i="2845" s="1"/>
  <c r="N47" i="2716"/>
  <c r="L89" i="2845"/>
  <c r="L90" i="2845"/>
  <c r="N48" i="2716"/>
  <c r="L87" i="2846" s="1"/>
  <c r="N49" i="2716"/>
  <c r="L88" i="2846" s="1"/>
  <c r="N50" i="2716"/>
  <c r="L89" i="2846" s="1"/>
  <c r="N51" i="2716"/>
  <c r="L86" i="2847" s="1"/>
  <c r="N56" i="2716"/>
  <c r="L87" i="2850" s="1"/>
  <c r="N58" i="2716"/>
  <c r="L89" i="2851" s="1"/>
  <c r="L83" i="2829"/>
  <c r="N83" i="2829"/>
  <c r="L85" i="2831"/>
  <c r="L83" i="2832"/>
  <c r="G83" i="2832"/>
  <c r="N83" i="2832"/>
  <c r="L84" i="2832"/>
  <c r="N84" i="2832"/>
  <c r="L88" i="2837"/>
  <c r="N88" i="2837"/>
  <c r="N89" i="2837"/>
  <c r="L84" i="2838"/>
  <c r="N84" i="2838"/>
  <c r="L85" i="2838"/>
  <c r="N85" i="2838"/>
  <c r="L85" i="2839"/>
  <c r="N85" i="2839"/>
  <c r="G85" i="2839"/>
  <c r="L83" i="2840"/>
  <c r="N83" i="2840"/>
  <c r="L84" i="2840"/>
  <c r="N84" i="2840"/>
  <c r="L83" i="2843"/>
  <c r="N83" i="2843"/>
  <c r="G83" i="2843"/>
  <c r="L84" i="2843"/>
  <c r="L85" i="2844"/>
  <c r="L86" i="2844"/>
  <c r="N86" i="2844"/>
  <c r="G86" i="2844"/>
  <c r="L84" i="2845"/>
  <c r="N84" i="2845"/>
  <c r="G84" i="2845"/>
  <c r="L82" i="2846"/>
  <c r="L83" i="2846"/>
  <c r="N83" i="2846"/>
  <c r="N82" i="2847"/>
  <c r="N81" i="2848"/>
  <c r="L82" i="2827"/>
  <c r="L83" i="2827"/>
  <c r="N83" i="2827"/>
  <c r="N80" i="2828"/>
  <c r="N81" i="2828"/>
  <c r="L80" i="2829"/>
  <c r="N80" i="2829"/>
  <c r="L81" i="2829"/>
  <c r="L83" i="2831"/>
  <c r="N83" i="2831"/>
  <c r="L84" i="2831"/>
  <c r="N84" i="2831"/>
  <c r="L81" i="2832"/>
  <c r="N81" i="2832"/>
  <c r="L82" i="2832"/>
  <c r="N82" i="2832"/>
  <c r="N83" i="2833"/>
  <c r="E41" i="325"/>
  <c r="L82" i="2834"/>
  <c r="N82" i="2834"/>
  <c r="L83" i="2834"/>
  <c r="N83" i="2834"/>
  <c r="N79" i="2835"/>
  <c r="N80" i="2835"/>
  <c r="N85" i="2836"/>
  <c r="N87" i="2837"/>
  <c r="N82" i="2838"/>
  <c r="N82" i="2839"/>
  <c r="L83" i="2839"/>
  <c r="N83" i="2839"/>
  <c r="N80" i="2840"/>
  <c r="L81" i="2840"/>
  <c r="N81" i="2840"/>
  <c r="N82" i="2840"/>
  <c r="L80" i="2843"/>
  <c r="N80" i="2843"/>
  <c r="N81" i="2843"/>
  <c r="L81" i="2844"/>
  <c r="L82" i="2844"/>
  <c r="N82" i="2844"/>
  <c r="N83" i="2844"/>
  <c r="N82" i="2845"/>
  <c r="L83" i="2845"/>
  <c r="N83" i="2845"/>
  <c r="L80" i="2827"/>
  <c r="N80" i="2827"/>
  <c r="N81" i="2827"/>
  <c r="L78" i="2828"/>
  <c r="N78" i="2828"/>
  <c r="L79" i="2829"/>
  <c r="N79" i="2829"/>
  <c r="L79" i="2832"/>
  <c r="N79" i="2832"/>
  <c r="N80" i="2832"/>
  <c r="L82" i="2833"/>
  <c r="N82" i="2833"/>
  <c r="L80" i="2834"/>
  <c r="N80" i="2834"/>
  <c r="L81" i="2834"/>
  <c r="N81" i="2834"/>
  <c r="L77" i="2835"/>
  <c r="N77" i="2835"/>
  <c r="L78" i="2835"/>
  <c r="N78" i="2835"/>
  <c r="L82" i="2836"/>
  <c r="L84" i="2837"/>
  <c r="N84" i="2837"/>
  <c r="L85" i="2837"/>
  <c r="N85" i="2837"/>
  <c r="L79" i="2838"/>
  <c r="L80" i="2838"/>
  <c r="N80" i="2838"/>
  <c r="L81" i="2838"/>
  <c r="N81" i="2838"/>
  <c r="L80" i="2839"/>
  <c r="N80" i="2839"/>
  <c r="L81" i="2839"/>
  <c r="L78" i="2846"/>
  <c r="N79" i="2849"/>
  <c r="L80" i="2849"/>
  <c r="N80" i="2849"/>
  <c r="E39" i="325"/>
  <c r="N74" i="2826"/>
  <c r="N76" i="2827"/>
  <c r="N75" i="2828"/>
  <c r="N75" i="2829"/>
  <c r="M75" i="2829"/>
  <c r="N77" i="2833"/>
  <c r="N76" i="2834"/>
  <c r="N77" i="2834"/>
  <c r="N73" i="2835"/>
  <c r="N74" i="2835"/>
  <c r="N77" i="2836"/>
  <c r="G77" i="2836"/>
  <c r="M77" i="2836"/>
  <c r="N75" i="2838"/>
  <c r="N73" i="2848"/>
  <c r="N71" i="2826"/>
  <c r="N72" i="2826"/>
  <c r="N74" i="2827"/>
  <c r="N75" i="2827"/>
  <c r="G72" i="2828"/>
  <c r="N73" i="2828"/>
  <c r="N72" i="2829"/>
  <c r="M72" i="2829"/>
  <c r="G72" i="2829"/>
  <c r="N75" i="2831"/>
  <c r="M75" i="2831"/>
  <c r="N76" i="2831"/>
  <c r="G73" i="2832"/>
  <c r="G74" i="2832"/>
  <c r="M74" i="2832"/>
  <c r="N75" i="2833"/>
  <c r="N76" i="2833"/>
  <c r="G74" i="2834"/>
  <c r="N71" i="2835"/>
  <c r="N72" i="2835"/>
  <c r="N76" i="2836"/>
  <c r="N78" i="2837"/>
  <c r="N79" i="2837"/>
  <c r="N74" i="2838"/>
  <c r="N74" i="2839"/>
  <c r="G74" i="2839"/>
  <c r="M74" i="2839"/>
  <c r="N75" i="2839"/>
  <c r="N73" i="2840"/>
  <c r="N72" i="2843"/>
  <c r="N73" i="2844"/>
  <c r="N74" i="2844"/>
  <c r="N74" i="2845"/>
  <c r="G74" i="2845"/>
  <c r="N71" i="2847"/>
  <c r="N72" i="2847"/>
  <c r="N73" i="2847"/>
  <c r="N73" i="2827"/>
  <c r="G73" i="2827"/>
  <c r="N70" i="2828"/>
  <c r="N71" i="2829"/>
  <c r="N73" i="2831"/>
  <c r="G73" i="2831"/>
  <c r="N74" i="2831"/>
  <c r="N73" i="2833"/>
  <c r="M73" i="2833"/>
  <c r="N73" i="2834"/>
  <c r="N69" i="2835"/>
  <c r="N73" i="2836"/>
  <c r="N75" i="2837"/>
  <c r="M75" i="2837"/>
  <c r="G75" i="2837"/>
  <c r="N72" i="2839"/>
  <c r="N73" i="2839"/>
  <c r="G73" i="2839"/>
  <c r="N70" i="2840"/>
  <c r="N71" i="2843"/>
  <c r="N71" i="2844"/>
  <c r="G71" i="2844"/>
  <c r="N72" i="2845"/>
  <c r="N69" i="2846"/>
  <c r="N70" i="2846"/>
  <c r="G70" i="2846"/>
  <c r="N71" i="2846"/>
  <c r="N70" i="2847"/>
  <c r="M70" i="2847"/>
  <c r="G70" i="2847"/>
  <c r="N69" i="2848"/>
  <c r="N70" i="2848"/>
  <c r="G70" i="2848"/>
  <c r="N71" i="2849"/>
  <c r="N70" i="2850"/>
  <c r="G70" i="2850"/>
  <c r="N71" i="2850"/>
  <c r="G71" i="2850"/>
  <c r="N67" i="2826"/>
  <c r="L70" i="2827"/>
  <c r="N70" i="2827"/>
  <c r="L71" i="2827"/>
  <c r="N71" i="2827"/>
  <c r="M71" i="2827"/>
  <c r="G71" i="2827"/>
  <c r="L68" i="2828"/>
  <c r="N68" i="2828"/>
  <c r="G68" i="2828"/>
  <c r="L72" i="2831"/>
  <c r="L69" i="2832"/>
  <c r="N69" i="2832"/>
  <c r="M69" i="2832"/>
  <c r="G69" i="2832"/>
  <c r="N70" i="2832"/>
  <c r="L71" i="2833"/>
  <c r="N71" i="2833"/>
  <c r="L72" i="2833"/>
  <c r="N72" i="2833"/>
  <c r="L69" i="2834"/>
  <c r="N69" i="2834"/>
  <c r="G69" i="2834"/>
  <c r="N67" i="2835"/>
  <c r="L68" i="2835"/>
  <c r="N68" i="2835"/>
  <c r="L71" i="2836"/>
  <c r="N71" i="2836"/>
  <c r="L72" i="2836"/>
  <c r="N72" i="2836"/>
  <c r="G72" i="2836"/>
  <c r="L74" i="2837"/>
  <c r="N74" i="2837"/>
  <c r="L69" i="2838"/>
  <c r="N69" i="2838"/>
  <c r="L70" i="2838"/>
  <c r="N70" i="2838"/>
  <c r="M70" i="2838"/>
  <c r="L70" i="2839"/>
  <c r="N70" i="2839"/>
  <c r="M70" i="2839"/>
  <c r="L71" i="2839"/>
  <c r="N71" i="2839"/>
  <c r="L68" i="2840"/>
  <c r="L69" i="2840"/>
  <c r="N69" i="2840"/>
  <c r="N69" i="2844"/>
  <c r="L70" i="2844"/>
  <c r="N70" i="2844"/>
  <c r="L70" i="2845"/>
  <c r="N70" i="2845"/>
  <c r="M70" i="2845"/>
  <c r="G70" i="2845"/>
  <c r="L71" i="2845"/>
  <c r="N71" i="2845"/>
  <c r="L67" i="2846"/>
  <c r="N67" i="2846"/>
  <c r="L68" i="2846"/>
  <c r="N68" i="2846"/>
  <c r="N65" i="2826"/>
  <c r="N66" i="2826"/>
  <c r="N68" i="2827"/>
  <c r="M68" i="2827"/>
  <c r="N69" i="2827"/>
  <c r="N65" i="2828"/>
  <c r="G65" i="2828"/>
  <c r="N66" i="2828"/>
  <c r="N67" i="2829"/>
  <c r="N67" i="2832"/>
  <c r="N68" i="2834"/>
  <c r="N70" i="2837"/>
  <c r="N71" i="2837"/>
  <c r="G71" i="2837"/>
  <c r="N67" i="2838"/>
  <c r="G67" i="2838"/>
  <c r="N68" i="2838"/>
  <c r="N68" i="2839"/>
  <c r="N69" i="2845"/>
  <c r="N63" i="2826"/>
  <c r="N65" i="2827"/>
  <c r="L66" i="2827"/>
  <c r="N66" i="2827"/>
  <c r="L62" i="2828"/>
  <c r="N62" i="2828"/>
  <c r="L63" i="2828"/>
  <c r="N63" i="2828"/>
  <c r="L63" i="2829"/>
  <c r="N63" i="2829"/>
  <c r="G63" i="2829"/>
  <c r="L66" i="2831"/>
  <c r="N66" i="2831"/>
  <c r="L67" i="2831"/>
  <c r="N67" i="2831"/>
  <c r="N64" i="2832"/>
  <c r="L65" i="2832"/>
  <c r="N65" i="2832"/>
  <c r="L64" i="2834"/>
  <c r="N64" i="2834"/>
  <c r="N62" i="2835"/>
  <c r="L63" i="2835"/>
  <c r="L66" i="2836"/>
  <c r="N66" i="2836"/>
  <c r="G66" i="2836"/>
  <c r="L67" i="2836"/>
  <c r="N67" i="2836"/>
  <c r="G67" i="2836"/>
  <c r="L66" i="2837"/>
  <c r="N66" i="2837"/>
  <c r="L67" i="2837"/>
  <c r="L65" i="2838"/>
  <c r="L65" i="2839"/>
  <c r="N65" i="2839"/>
  <c r="G65" i="2839"/>
  <c r="L66" i="2839"/>
  <c r="L63" i="2840"/>
  <c r="N63" i="2840"/>
  <c r="E32" i="325"/>
  <c r="L60" i="2826"/>
  <c r="F32" i="325"/>
  <c r="L63" i="2827"/>
  <c r="L61" i="2834"/>
  <c r="L62" i="2834"/>
  <c r="N62" i="2834"/>
  <c r="L60" i="2848"/>
  <c r="N60" i="2848"/>
  <c r="L61" i="2848"/>
  <c r="N61" i="2848"/>
  <c r="L59" i="2826"/>
  <c r="N59" i="2826"/>
  <c r="L61" i="2827"/>
  <c r="N61" i="2827"/>
  <c r="L62" i="2827"/>
  <c r="N62" i="2827"/>
  <c r="L58" i="2828"/>
  <c r="L59" i="2828"/>
  <c r="L59" i="2829"/>
  <c r="L60" i="2829"/>
  <c r="N60" i="2829"/>
  <c r="L62" i="2831"/>
  <c r="N62" i="2831"/>
  <c r="G62" i="2831"/>
  <c r="L63" i="2831"/>
  <c r="L60" i="2832"/>
  <c r="N60" i="2832"/>
  <c r="L61" i="2832"/>
  <c r="N61" i="2832"/>
  <c r="L62" i="2833"/>
  <c r="N62" i="2833"/>
  <c r="L61" i="2838"/>
  <c r="N61" i="2838"/>
  <c r="N59" i="2840"/>
  <c r="G59" i="2840"/>
  <c r="L59" i="2843"/>
  <c r="N59" i="2843"/>
  <c r="G59" i="2843"/>
  <c r="L60" i="2843"/>
  <c r="L60" i="2844"/>
  <c r="N60" i="2844"/>
  <c r="L61" i="2844"/>
  <c r="N61" i="2844"/>
  <c r="L61" i="2845"/>
  <c r="N61" i="2845"/>
  <c r="L60" i="2827"/>
  <c r="N60" i="2827"/>
  <c r="L59" i="2832"/>
  <c r="N59" i="2832"/>
  <c r="L60" i="2833"/>
  <c r="N60" i="2833"/>
  <c r="L61" i="2833"/>
  <c r="N61" i="2833"/>
  <c r="G61" i="2833"/>
  <c r="L58" i="2834"/>
  <c r="L56" i="2835"/>
  <c r="N56" i="2835"/>
  <c r="L57" i="2835"/>
  <c r="N57" i="2835"/>
  <c r="L60" i="2836"/>
  <c r="N60" i="2836"/>
  <c r="L61" i="2836"/>
  <c r="N61" i="2836"/>
  <c r="L60" i="2837"/>
  <c r="N60" i="2837"/>
  <c r="N58" i="2839"/>
  <c r="L57" i="2840"/>
  <c r="L58" i="2840"/>
  <c r="N58" i="2840"/>
  <c r="L57" i="2846"/>
  <c r="N57" i="2846"/>
  <c r="L56" i="2847"/>
  <c r="L57" i="2847"/>
  <c r="N57" i="2847"/>
  <c r="L56" i="2848"/>
  <c r="N56" i="2848"/>
  <c r="L57" i="2848"/>
  <c r="N57" i="2848"/>
  <c r="L59" i="2849"/>
  <c r="N59" i="2849"/>
  <c r="L57" i="2850"/>
  <c r="N57" i="2850"/>
  <c r="L58" i="2850"/>
  <c r="N58" i="2850"/>
  <c r="L55" i="2848"/>
  <c r="N55" i="2848"/>
  <c r="G55" i="2848"/>
  <c r="M55" i="2848"/>
  <c r="L56" i="2849"/>
  <c r="L57" i="2849"/>
  <c r="L52" i="2826"/>
  <c r="N52" i="2826"/>
  <c r="L53" i="2826"/>
  <c r="N53" i="2826"/>
  <c r="L56" i="2827"/>
  <c r="G56" i="2827"/>
  <c r="M56" i="2827"/>
  <c r="N56" i="2827"/>
  <c r="L52" i="2828"/>
  <c r="L53" i="2828"/>
  <c r="N53" i="2828"/>
  <c r="L53" i="2829"/>
  <c r="N53" i="2829"/>
  <c r="G53" i="2829"/>
  <c r="G54" i="2829"/>
  <c r="L55" i="2831"/>
  <c r="N55" i="2831"/>
  <c r="L56" i="2831"/>
  <c r="L57" i="2831"/>
  <c r="N57" i="2831"/>
  <c r="G57" i="2831"/>
  <c r="N55" i="2832"/>
  <c r="L55" i="2833"/>
  <c r="L56" i="2833"/>
  <c r="L57" i="2833"/>
  <c r="N57" i="2833"/>
  <c r="L53" i="2834"/>
  <c r="N53" i="2834"/>
  <c r="L52" i="2835"/>
  <c r="N52" i="2835"/>
  <c r="L53" i="2835"/>
  <c r="N53" i="2835"/>
  <c r="G53" i="2835"/>
  <c r="L56" i="2836"/>
  <c r="N56" i="2836"/>
  <c r="N57" i="2836"/>
  <c r="G57" i="2836"/>
  <c r="N56" i="2837"/>
  <c r="G56" i="2837"/>
  <c r="L57" i="2837"/>
  <c r="N57" i="2837"/>
  <c r="L55" i="2838"/>
  <c r="N55" i="2838"/>
  <c r="L54" i="2839"/>
  <c r="N54" i="2839"/>
  <c r="N53" i="2840"/>
  <c r="G53" i="2840"/>
  <c r="N54" i="2840"/>
  <c r="L53" i="2843"/>
  <c r="N53" i="2843"/>
  <c r="L56" i="2845"/>
  <c r="N56" i="2845"/>
  <c r="G56" i="2845"/>
  <c r="L52" i="2846"/>
  <c r="N52" i="2846"/>
  <c r="G52" i="2846"/>
  <c r="L53" i="2846"/>
  <c r="N53" i="2846"/>
  <c r="N52" i="2847"/>
  <c r="L55" i="2851"/>
  <c r="N53" i="2827"/>
  <c r="G53" i="2827"/>
  <c r="E27" i="325"/>
  <c r="N51" i="2828"/>
  <c r="L51" i="2829"/>
  <c r="N51" i="2829"/>
  <c r="N53" i="2831"/>
  <c r="L54" i="2831"/>
  <c r="L52" i="2832"/>
  <c r="N52" i="2832"/>
  <c r="L53" i="2832"/>
  <c r="N53" i="2832"/>
  <c r="L53" i="2833"/>
  <c r="N53" i="2833"/>
  <c r="L54" i="2833"/>
  <c r="N54" i="2833"/>
  <c r="N50" i="2834"/>
  <c r="L52" i="2834"/>
  <c r="N52" i="2834"/>
  <c r="L51" i="2835"/>
  <c r="N51" i="2835"/>
  <c r="L54" i="2836"/>
  <c r="N55" i="2836"/>
  <c r="L54" i="2837"/>
  <c r="N52" i="2838"/>
  <c r="L52" i="2839"/>
  <c r="N52" i="2839"/>
  <c r="L53" i="2839"/>
  <c r="N53" i="2839"/>
  <c r="L52" i="2840"/>
  <c r="N51" i="2843"/>
  <c r="G51" i="2843"/>
  <c r="L54" i="2845"/>
  <c r="L51" i="2846"/>
  <c r="L51" i="2847"/>
  <c r="N51" i="2847"/>
  <c r="G51" i="2847"/>
  <c r="L50" i="2848"/>
  <c r="N50" i="2848"/>
  <c r="L48" i="2826"/>
  <c r="N48" i="2826"/>
  <c r="L49" i="2826"/>
  <c r="N49" i="2826"/>
  <c r="L51" i="2827"/>
  <c r="S121" i="2827" s="1"/>
  <c r="S122" i="2827" s="1"/>
  <c r="N51" i="2827"/>
  <c r="L52" i="2827"/>
  <c r="N52" i="2827"/>
  <c r="L48" i="2828"/>
  <c r="N48" i="2828"/>
  <c r="L50" i="2829"/>
  <c r="N50" i="2829"/>
  <c r="L51" i="2832"/>
  <c r="N51" i="2832"/>
  <c r="M51" i="2832"/>
  <c r="G51" i="2832"/>
  <c r="L51" i="2833"/>
  <c r="N51" i="2833"/>
  <c r="L52" i="2833"/>
  <c r="N52" i="2833"/>
  <c r="L53" i="2837"/>
  <c r="N53" i="2837"/>
  <c r="G53" i="2837"/>
  <c r="N50" i="2843"/>
  <c r="N50" i="2844"/>
  <c r="L51" i="2844"/>
  <c r="N51" i="2844"/>
  <c r="L49" i="2846"/>
  <c r="N49" i="2846"/>
  <c r="L48" i="2847"/>
  <c r="N48" i="2847"/>
  <c r="L49" i="2847"/>
  <c r="N49" i="2847"/>
  <c r="L48" i="2848"/>
  <c r="N48" i="2848"/>
  <c r="J8" i="1553"/>
  <c r="K8" i="1553"/>
  <c r="M8" i="1553"/>
  <c r="P4" i="2085"/>
  <c r="K19" i="2826"/>
  <c r="Q4" i="2085"/>
  <c r="R4" i="2085"/>
  <c r="R5" i="2085"/>
  <c r="R6" i="2085"/>
  <c r="P7" i="2085"/>
  <c r="R7" i="2085"/>
  <c r="R8" i="2085"/>
  <c r="P9" i="2085"/>
  <c r="K19" i="2828"/>
  <c r="Q9" i="2085"/>
  <c r="R9" i="2085"/>
  <c r="Q10" i="2085"/>
  <c r="R10" i="2085"/>
  <c r="R11" i="2085"/>
  <c r="Q12" i="2085"/>
  <c r="R12" i="2085"/>
  <c r="R13" i="2085"/>
  <c r="R14" i="2085"/>
  <c r="Q15" i="2085"/>
  <c r="R15" i="2085"/>
  <c r="P16" i="2085"/>
  <c r="K22" i="2831"/>
  <c r="Q16" i="2085"/>
  <c r="R16" i="2085"/>
  <c r="R17" i="2085"/>
  <c r="R18" i="2085"/>
  <c r="P19" i="2085"/>
  <c r="R19" i="2085"/>
  <c r="R20" i="2085"/>
  <c r="R21" i="2085"/>
  <c r="R22" i="2085"/>
  <c r="P23" i="2085"/>
  <c r="R23" i="2085"/>
  <c r="R24" i="2085"/>
  <c r="P25" i="2085"/>
  <c r="K19" i="2834"/>
  <c r="R25" i="2085"/>
  <c r="P26" i="2085"/>
  <c r="K20" i="2834"/>
  <c r="R26" i="2085"/>
  <c r="R27" i="2085"/>
  <c r="Q28" i="2085"/>
  <c r="R28" i="2085"/>
  <c r="R29" i="2085"/>
  <c r="Q30" i="2085"/>
  <c r="R30" i="2085"/>
  <c r="P31" i="2085"/>
  <c r="R31" i="2085"/>
  <c r="P35" i="2085"/>
  <c r="R35" i="2085"/>
  <c r="Q36" i="2085"/>
  <c r="R36" i="2085"/>
  <c r="R37" i="2085"/>
  <c r="P38" i="2085"/>
  <c r="K20" i="2838"/>
  <c r="R38" i="2085"/>
  <c r="R39" i="2085"/>
  <c r="R40" i="2085"/>
  <c r="R42" i="2085"/>
  <c r="P43" i="2085"/>
  <c r="K20" i="2840"/>
  <c r="Q43" i="2085"/>
  <c r="R43" i="2085"/>
  <c r="P44" i="2085"/>
  <c r="K21" i="2840"/>
  <c r="Q44" i="2085"/>
  <c r="R44" i="2085"/>
  <c r="P45" i="2085"/>
  <c r="K20" i="2841"/>
  <c r="R45" i="2085"/>
  <c r="Q46" i="2085"/>
  <c r="R46" i="2085"/>
  <c r="P47" i="2085"/>
  <c r="K22" i="2841"/>
  <c r="R47" i="2085"/>
  <c r="R48" i="2085"/>
  <c r="P49" i="2085"/>
  <c r="K20" i="2842"/>
  <c r="R49" i="2085"/>
  <c r="Q50" i="2085"/>
  <c r="R50" i="2085"/>
  <c r="P51" i="2085"/>
  <c r="Q51" i="2085"/>
  <c r="R51" i="2085"/>
  <c r="R52" i="2085"/>
  <c r="P53" i="2085"/>
  <c r="Q53" i="2085"/>
  <c r="R53" i="2085"/>
  <c r="R54" i="2085"/>
  <c r="Q58" i="2085"/>
  <c r="R58" i="2085"/>
  <c r="R59" i="2085"/>
  <c r="R4" i="2720"/>
  <c r="P5" i="2720"/>
  <c r="K18" i="2826"/>
  <c r="Q5" i="2720"/>
  <c r="R5" i="2720"/>
  <c r="P6" i="2720"/>
  <c r="K19" i="2827"/>
  <c r="R6" i="2720"/>
  <c r="P7" i="2720"/>
  <c r="K20" i="2827"/>
  <c r="Q7" i="2720"/>
  <c r="R7" i="2720"/>
  <c r="R8" i="2720"/>
  <c r="R9" i="2720"/>
  <c r="R10" i="2720"/>
  <c r="P11" i="2720"/>
  <c r="K19" i="2829"/>
  <c r="Q11" i="2720"/>
  <c r="R11" i="2720"/>
  <c r="Q12" i="2720"/>
  <c r="R12" i="2720"/>
  <c r="P13" i="2720"/>
  <c r="K19" i="2830"/>
  <c r="R13" i="2720"/>
  <c r="R14" i="2720"/>
  <c r="P15" i="2720"/>
  <c r="R15" i="2720"/>
  <c r="P16" i="2720"/>
  <c r="R16" i="2720"/>
  <c r="R17" i="2720"/>
  <c r="R18" i="2720"/>
  <c r="P19" i="2720"/>
  <c r="R19" i="2720"/>
  <c r="P20" i="2720"/>
  <c r="K19" i="2832"/>
  <c r="Q20" i="2720"/>
  <c r="R20" i="2720"/>
  <c r="P21" i="2720"/>
  <c r="K18" i="2833"/>
  <c r="R21" i="2720"/>
  <c r="Q22" i="2720"/>
  <c r="R22" i="2720"/>
  <c r="P23" i="2720"/>
  <c r="K17" i="2834"/>
  <c r="R23" i="2720"/>
  <c r="P24" i="2720"/>
  <c r="K18" i="2834"/>
  <c r="R24" i="2720"/>
  <c r="R25" i="2720"/>
  <c r="P26" i="2720"/>
  <c r="K18" i="2835"/>
  <c r="R26" i="2720"/>
  <c r="P27" i="2720"/>
  <c r="Q27" i="2720"/>
  <c r="R27" i="2720"/>
  <c r="R28" i="2720"/>
  <c r="P29" i="2720"/>
  <c r="Q29" i="2720"/>
  <c r="R29" i="2720"/>
  <c r="R30" i="2720"/>
  <c r="P31" i="2720"/>
  <c r="K20" i="2836"/>
  <c r="R31" i="2720"/>
  <c r="Q32" i="2720"/>
  <c r="R32" i="2720"/>
  <c r="R33" i="2720"/>
  <c r="R34" i="2720"/>
  <c r="P35" i="2720"/>
  <c r="R35" i="2720"/>
  <c r="R36" i="2720"/>
  <c r="R38" i="2720"/>
  <c r="P39" i="2720"/>
  <c r="Q39" i="2720"/>
  <c r="R39" i="2720"/>
  <c r="R40" i="2720"/>
  <c r="R41" i="2720"/>
  <c r="P42" i="2720"/>
  <c r="K18" i="2840"/>
  <c r="R42" i="2720"/>
  <c r="R43" i="2720"/>
  <c r="P44" i="2720"/>
  <c r="K18" i="2841"/>
  <c r="R44" i="2720"/>
  <c r="P46" i="2720"/>
  <c r="K17" i="2842"/>
  <c r="Q46" i="2720"/>
  <c r="R46" i="2720"/>
  <c r="Q47" i="2720"/>
  <c r="R47" i="2720"/>
  <c r="R48" i="2720"/>
  <c r="R50" i="2720"/>
  <c r="R51" i="2720"/>
  <c r="P52" i="2720"/>
  <c r="Q52" i="2720"/>
  <c r="R52" i="2720"/>
  <c r="P53" i="2720"/>
  <c r="K18" i="2845"/>
  <c r="R53" i="2720"/>
  <c r="P55" i="2720"/>
  <c r="R55" i="2720"/>
  <c r="R56" i="2720"/>
  <c r="P57" i="2720"/>
  <c r="R57" i="2720"/>
  <c r="Q58" i="2720"/>
  <c r="R58" i="2720"/>
  <c r="P59" i="2720"/>
  <c r="R59" i="2720"/>
  <c r="R60" i="2720"/>
  <c r="Q61" i="2720"/>
  <c r="R61" i="2720"/>
  <c r="R62" i="2720"/>
  <c r="P63" i="2720"/>
  <c r="R63" i="2720"/>
  <c r="P64" i="2720"/>
  <c r="Q64" i="2720"/>
  <c r="R64" i="2720"/>
  <c r="P65" i="2720"/>
  <c r="R65" i="2720"/>
  <c r="P66" i="2720"/>
  <c r="Q66" i="2720"/>
  <c r="R66" i="2720"/>
  <c r="P67" i="2720"/>
  <c r="R67" i="2720"/>
  <c r="Q69" i="2720"/>
  <c r="R69" i="2720"/>
  <c r="P79" i="2720"/>
  <c r="Q79" i="2720"/>
  <c r="R79" i="2720"/>
  <c r="R4" i="2721"/>
  <c r="Q5" i="2721"/>
  <c r="R5" i="2721"/>
  <c r="R6" i="2721"/>
  <c r="P7" i="2721"/>
  <c r="K17" i="2827"/>
  <c r="Q7" i="2721"/>
  <c r="R7" i="2721"/>
  <c r="P8" i="2721"/>
  <c r="Q8" i="2721"/>
  <c r="R8" i="2721"/>
  <c r="R10" i="2721"/>
  <c r="R11" i="2721"/>
  <c r="Q12" i="2721"/>
  <c r="R12" i="2721"/>
  <c r="R14" i="2721"/>
  <c r="Q15" i="2721"/>
  <c r="R15" i="2721"/>
  <c r="P16" i="2721"/>
  <c r="R16" i="2721"/>
  <c r="P17" i="2721"/>
  <c r="Q17" i="2721"/>
  <c r="R17" i="2721"/>
  <c r="P18" i="2721"/>
  <c r="Q18" i="2721"/>
  <c r="R18" i="2721"/>
  <c r="R19" i="2721"/>
  <c r="P20" i="2721"/>
  <c r="Q20" i="2721"/>
  <c r="R20" i="2721"/>
  <c r="P21" i="2721"/>
  <c r="Q21" i="2721"/>
  <c r="R21" i="2721"/>
  <c r="R22" i="2721"/>
  <c r="P23" i="2721"/>
  <c r="Q23" i="2721"/>
  <c r="R23" i="2721"/>
  <c r="P24" i="2721"/>
  <c r="R24" i="2721"/>
  <c r="P25" i="2721"/>
  <c r="Q25" i="2721"/>
  <c r="R25" i="2721"/>
  <c r="P26" i="2721"/>
  <c r="R26" i="2721"/>
  <c r="Q27" i="2721"/>
  <c r="R27" i="2721"/>
  <c r="P28" i="2721"/>
  <c r="Q28" i="2721"/>
  <c r="R28" i="2721"/>
  <c r="Q29" i="2721"/>
  <c r="R29" i="2721"/>
  <c r="P31" i="2721"/>
  <c r="R31" i="2721"/>
  <c r="Q32" i="2721"/>
  <c r="R32" i="2721"/>
  <c r="R33" i="2721"/>
  <c r="Q34" i="2721"/>
  <c r="R34" i="2721"/>
  <c r="R35" i="2721"/>
  <c r="P36" i="2721"/>
  <c r="K16" i="2839"/>
  <c r="Q36" i="2721"/>
  <c r="R36" i="2721"/>
  <c r="R37" i="2721"/>
  <c r="P38" i="2721"/>
  <c r="K15" i="2840"/>
  <c r="Q38" i="2721"/>
  <c r="R38" i="2721"/>
  <c r="P39" i="2721"/>
  <c r="K16" i="2840"/>
  <c r="Q39" i="2721"/>
  <c r="R39" i="2721"/>
  <c r="P40" i="2721"/>
  <c r="Q40" i="2721"/>
  <c r="R40" i="2721"/>
  <c r="P42" i="2721"/>
  <c r="K17" i="2841"/>
  <c r="R42" i="2721"/>
  <c r="P43" i="2721"/>
  <c r="K15" i="2842"/>
  <c r="Q43" i="2721"/>
  <c r="R43" i="2721"/>
  <c r="R45" i="2721"/>
  <c r="R47" i="2721"/>
  <c r="Q48" i="2721"/>
  <c r="R48" i="2721"/>
  <c r="P49" i="2721"/>
  <c r="K17" i="2844"/>
  <c r="Q49" i="2721"/>
  <c r="R49" i="2721"/>
  <c r="Q50" i="2721"/>
  <c r="R50" i="2721"/>
  <c r="P51" i="2721"/>
  <c r="K17" i="2845"/>
  <c r="R51" i="2721"/>
  <c r="P52" i="2721"/>
  <c r="Q52" i="2721"/>
  <c r="R52" i="2721"/>
  <c r="P53" i="2721"/>
  <c r="R53" i="2721"/>
  <c r="P54" i="2721"/>
  <c r="R54" i="2721"/>
  <c r="P55" i="2721"/>
  <c r="Q55" i="2721"/>
  <c r="R55" i="2721"/>
  <c r="P58" i="2721"/>
  <c r="Q58" i="2721"/>
  <c r="R58" i="2721"/>
  <c r="Q59" i="2721"/>
  <c r="R59" i="2721"/>
  <c r="P60" i="2721"/>
  <c r="R60" i="2721"/>
  <c r="Q61" i="2721"/>
  <c r="R61" i="2721"/>
  <c r="P63" i="2721"/>
  <c r="R63" i="2721"/>
  <c r="P64" i="2721"/>
  <c r="Q64" i="2721"/>
  <c r="R64" i="2721"/>
  <c r="P65" i="2721"/>
  <c r="R65" i="2721"/>
  <c r="R66" i="2721"/>
  <c r="P68" i="2721"/>
  <c r="Q68" i="2721"/>
  <c r="R68" i="2721"/>
  <c r="P4" i="2722"/>
  <c r="Q4" i="2722"/>
  <c r="R4" i="2722"/>
  <c r="P5" i="2722"/>
  <c r="Q5" i="2722"/>
  <c r="R5" i="2722"/>
  <c r="P6" i="2722"/>
  <c r="Q6" i="2722"/>
  <c r="R6" i="2722"/>
  <c r="P7" i="2722"/>
  <c r="Q7" i="2722"/>
  <c r="R7" i="2722"/>
  <c r="P8" i="2722"/>
  <c r="Q8" i="2722"/>
  <c r="R8" i="2722"/>
  <c r="P9" i="2722"/>
  <c r="Q9" i="2722"/>
  <c r="R9" i="2722"/>
  <c r="P10" i="2722"/>
  <c r="Q10" i="2722"/>
  <c r="R10" i="2722"/>
  <c r="P11" i="2722"/>
  <c r="Q11" i="2722"/>
  <c r="R11" i="2722"/>
  <c r="P12" i="2722"/>
  <c r="Q12" i="2722"/>
  <c r="R12" i="2722"/>
  <c r="P13" i="2722"/>
  <c r="Q13" i="2722"/>
  <c r="R13" i="2722"/>
  <c r="P14" i="2722"/>
  <c r="Q14" i="2722"/>
  <c r="R14" i="2722"/>
  <c r="P15" i="2722"/>
  <c r="Q15" i="2722"/>
  <c r="R15" i="2722"/>
  <c r="Q16" i="2722"/>
  <c r="R16" i="2722"/>
  <c r="R17" i="2722"/>
  <c r="P18" i="2722"/>
  <c r="Q18" i="2722"/>
  <c r="R18" i="2722"/>
  <c r="P19" i="2722"/>
  <c r="Q19" i="2722"/>
  <c r="R19" i="2722"/>
  <c r="P20" i="2722"/>
  <c r="Q20" i="2722"/>
  <c r="R20" i="2722"/>
  <c r="P21" i="2722"/>
  <c r="Q21" i="2722"/>
  <c r="R21" i="2722"/>
  <c r="P22" i="2722"/>
  <c r="Q22" i="2722"/>
  <c r="R22" i="2722"/>
  <c r="P23" i="2722"/>
  <c r="Q23" i="2722"/>
  <c r="R23" i="2722"/>
  <c r="P24" i="2722"/>
  <c r="Q24" i="2722"/>
  <c r="R24" i="2722"/>
  <c r="P25" i="2722"/>
  <c r="R25" i="2722"/>
  <c r="P26" i="2722"/>
  <c r="Q26" i="2722"/>
  <c r="R26" i="2722"/>
  <c r="P27" i="2722"/>
  <c r="Q27" i="2722"/>
  <c r="R27" i="2722"/>
  <c r="P28" i="2722"/>
  <c r="Q28" i="2722"/>
  <c r="R28" i="2722"/>
  <c r="P29" i="2722"/>
  <c r="Q29" i="2722"/>
  <c r="R29" i="2722"/>
  <c r="P30" i="2722"/>
  <c r="Q30" i="2722"/>
  <c r="R30" i="2722"/>
  <c r="P31" i="2722"/>
  <c r="Q31" i="2722"/>
  <c r="R31" i="2722"/>
  <c r="P32" i="2722"/>
  <c r="Q32" i="2722"/>
  <c r="R32" i="2722"/>
  <c r="P33" i="2722"/>
  <c r="Q33" i="2722"/>
  <c r="R33" i="2722"/>
  <c r="P34" i="2722"/>
  <c r="Q34" i="2722"/>
  <c r="R34" i="2722"/>
  <c r="P36" i="2722"/>
  <c r="Q36" i="2722"/>
  <c r="R36" i="2722"/>
  <c r="P38" i="2722"/>
  <c r="Q38" i="2722"/>
  <c r="R38" i="2722"/>
  <c r="P39" i="2722"/>
  <c r="Q39" i="2722"/>
  <c r="R39" i="2722"/>
  <c r="P40" i="2722"/>
  <c r="Q40" i="2722"/>
  <c r="R40" i="2722"/>
  <c r="P41" i="2722"/>
  <c r="Q41" i="2722"/>
  <c r="R41" i="2722"/>
  <c r="P42" i="2722"/>
  <c r="Q42" i="2722"/>
  <c r="R42" i="2722"/>
  <c r="P43" i="2722"/>
  <c r="Q43" i="2722"/>
  <c r="R43" i="2722"/>
  <c r="P44" i="2722"/>
  <c r="Q44" i="2722"/>
  <c r="R44" i="2722"/>
  <c r="P45" i="2722"/>
  <c r="Q45" i="2722"/>
  <c r="R45" i="2722"/>
  <c r="P47" i="2722"/>
  <c r="Q47" i="2722"/>
  <c r="R47" i="2722"/>
  <c r="P48" i="2722"/>
  <c r="Q48" i="2722"/>
  <c r="R48" i="2722"/>
  <c r="P50" i="2722"/>
  <c r="Q50" i="2722"/>
  <c r="R50" i="2722"/>
  <c r="P51" i="2722"/>
  <c r="Q51" i="2722"/>
  <c r="R51" i="2722"/>
  <c r="P52" i="2722"/>
  <c r="Q52" i="2722"/>
  <c r="R52" i="2722"/>
  <c r="P53" i="2722"/>
  <c r="R53" i="2722"/>
  <c r="P54" i="2722"/>
  <c r="Q54" i="2722"/>
  <c r="R54" i="2722"/>
  <c r="P55" i="2722"/>
  <c r="Q55" i="2722"/>
  <c r="R55" i="2722"/>
  <c r="P56" i="2722"/>
  <c r="Q56" i="2722"/>
  <c r="R56" i="2722"/>
  <c r="P57" i="2722"/>
  <c r="Q57" i="2722"/>
  <c r="R57" i="2722"/>
  <c r="P58" i="2722"/>
  <c r="Q58" i="2722"/>
  <c r="R58" i="2722"/>
  <c r="P59" i="2722"/>
  <c r="Q59" i="2722"/>
  <c r="R59" i="2722"/>
  <c r="P62" i="2722"/>
  <c r="Q62" i="2722"/>
  <c r="R62" i="2722"/>
  <c r="P63" i="2722"/>
  <c r="Q63" i="2722"/>
  <c r="R63" i="2722"/>
  <c r="P64" i="2722"/>
  <c r="Q64" i="2722"/>
  <c r="R64" i="2722"/>
  <c r="P65" i="2722"/>
  <c r="Q65" i="2722"/>
  <c r="R65" i="2722"/>
  <c r="L68" i="2722"/>
  <c r="R4" i="2723"/>
  <c r="R5" i="2723"/>
  <c r="R6" i="2723"/>
  <c r="R7" i="2723"/>
  <c r="P8" i="2723"/>
  <c r="K13" i="2827"/>
  <c r="Q8" i="2723"/>
  <c r="R8" i="2723"/>
  <c r="Q9" i="2723"/>
  <c r="R9" i="2723"/>
  <c r="R11" i="2723"/>
  <c r="R12" i="2723"/>
  <c r="R13" i="2723"/>
  <c r="Q14" i="2723"/>
  <c r="R14" i="2723"/>
  <c r="P15" i="2723"/>
  <c r="K12" i="2830"/>
  <c r="R15" i="2723"/>
  <c r="R16" i="2723"/>
  <c r="R17" i="2723"/>
  <c r="R18" i="2723"/>
  <c r="R19" i="2723"/>
  <c r="R20" i="2723"/>
  <c r="R21" i="2723"/>
  <c r="P22" i="2723"/>
  <c r="K11" i="2833"/>
  <c r="R22" i="2723"/>
  <c r="P23" i="2723"/>
  <c r="K12" i="2833"/>
  <c r="R23" i="2723"/>
  <c r="R24" i="2723"/>
  <c r="R25" i="2723"/>
  <c r="R26" i="2723"/>
  <c r="R27" i="2723"/>
  <c r="R28" i="2723"/>
  <c r="R29" i="2723"/>
  <c r="P30" i="2723"/>
  <c r="Q30" i="2723"/>
  <c r="R30" i="2723"/>
  <c r="P31" i="2723"/>
  <c r="R31" i="2723"/>
  <c r="Q32" i="2723"/>
  <c r="R32" i="2723"/>
  <c r="P33" i="2723"/>
  <c r="K14" i="2836"/>
  <c r="Q33" i="2723"/>
  <c r="R33" i="2723"/>
  <c r="R34" i="2723"/>
  <c r="R35" i="2723"/>
  <c r="Q37" i="2723"/>
  <c r="R37" i="2723"/>
  <c r="P39" i="2723"/>
  <c r="K12" i="2838"/>
  <c r="R39" i="2723"/>
  <c r="R40" i="2723"/>
  <c r="R41" i="2723"/>
  <c r="R42" i="2723"/>
  <c r="P43" i="2723"/>
  <c r="R43" i="2723"/>
  <c r="R44" i="2723"/>
  <c r="R45" i="2723"/>
  <c r="P47" i="2723"/>
  <c r="R47" i="2723"/>
  <c r="P48" i="2723"/>
  <c r="Q48" i="2723"/>
  <c r="R48" i="2723"/>
  <c r="P49" i="2723"/>
  <c r="R49" i="2723"/>
  <c r="Q51" i="2723"/>
  <c r="R51" i="2723"/>
  <c r="P52" i="2723"/>
  <c r="R52" i="2723"/>
  <c r="Q53" i="2723"/>
  <c r="R53" i="2723"/>
  <c r="P54" i="2723"/>
  <c r="R54" i="2723"/>
  <c r="Q55" i="2723"/>
  <c r="R55" i="2723"/>
  <c r="R56" i="2723"/>
  <c r="R58" i="2723"/>
  <c r="P59" i="2723"/>
  <c r="Q59" i="2723"/>
  <c r="R59" i="2723"/>
  <c r="Q60" i="2723"/>
  <c r="R60" i="2723"/>
  <c r="R61" i="2723"/>
  <c r="P68" i="2723"/>
  <c r="K12" i="2851"/>
  <c r="R68" i="2723"/>
  <c r="Q69" i="2723"/>
  <c r="R69" i="2723"/>
  <c r="R4" i="2724"/>
  <c r="P5" i="2724"/>
  <c r="K10" i="2826"/>
  <c r="Q5" i="2724"/>
  <c r="R5" i="2724"/>
  <c r="P6" i="2724"/>
  <c r="K9" i="2827"/>
  <c r="R6" i="2724"/>
  <c r="P7" i="2724"/>
  <c r="K10" i="2827"/>
  <c r="Q7" i="2724"/>
  <c r="R7" i="2724"/>
  <c r="P8" i="2724"/>
  <c r="R8" i="2724"/>
  <c r="Q9" i="2724"/>
  <c r="R9" i="2724"/>
  <c r="P10" i="2724"/>
  <c r="R10" i="2724"/>
  <c r="Q11" i="2724"/>
  <c r="R11" i="2724"/>
  <c r="P12" i="2724"/>
  <c r="K9" i="2830"/>
  <c r="R12" i="2724"/>
  <c r="P13" i="2724"/>
  <c r="Q13" i="2724"/>
  <c r="R13" i="2724"/>
  <c r="R14" i="2724"/>
  <c r="R15" i="2724"/>
  <c r="R16" i="2724"/>
  <c r="Q17" i="2724"/>
  <c r="R17" i="2724"/>
  <c r="P19" i="2724"/>
  <c r="K10" i="2833"/>
  <c r="Q19" i="2724"/>
  <c r="R19" i="2724"/>
  <c r="Q20" i="2724"/>
  <c r="R20" i="2724"/>
  <c r="P21" i="2724"/>
  <c r="K10" i="2834"/>
  <c r="R21" i="2724"/>
  <c r="Q22" i="2724"/>
  <c r="R22" i="2724"/>
  <c r="P23" i="2724"/>
  <c r="K10" i="2835"/>
  <c r="R23" i="2724"/>
  <c r="Q24" i="2724"/>
  <c r="R24" i="2724"/>
  <c r="P25" i="2724"/>
  <c r="R25" i="2724"/>
  <c r="R26" i="2724"/>
  <c r="P27" i="2724"/>
  <c r="R27" i="2724"/>
  <c r="R28" i="2724"/>
  <c r="Q29" i="2724"/>
  <c r="R29" i="2724"/>
  <c r="Q30" i="2724"/>
  <c r="R30" i="2724"/>
  <c r="P31" i="2724"/>
  <c r="K12" i="2836"/>
  <c r="Q31" i="2724"/>
  <c r="R31" i="2724"/>
  <c r="R32" i="2724"/>
  <c r="P33" i="2724"/>
  <c r="R33" i="2724"/>
  <c r="P34" i="2724"/>
  <c r="Q34" i="2724"/>
  <c r="R34" i="2724"/>
  <c r="P35" i="2724"/>
  <c r="K11" i="2837"/>
  <c r="Q35" i="2724"/>
  <c r="R35" i="2724"/>
  <c r="Q36" i="2724"/>
  <c r="R36" i="2724"/>
  <c r="P37" i="2724"/>
  <c r="K10" i="2838"/>
  <c r="Q37" i="2724"/>
  <c r="R37" i="2724"/>
  <c r="Q38" i="2724"/>
  <c r="R38" i="2724"/>
  <c r="P39" i="2724"/>
  <c r="R39" i="2724"/>
  <c r="P40" i="2724"/>
  <c r="K11" i="2839"/>
  <c r="Q40" i="2724"/>
  <c r="R40" i="2724"/>
  <c r="P41" i="2724"/>
  <c r="K9" i="2840"/>
  <c r="Q41" i="2724"/>
  <c r="R41" i="2724"/>
  <c r="Q42" i="2724"/>
  <c r="R42" i="2724"/>
  <c r="P43" i="2724"/>
  <c r="K9" i="2841"/>
  <c r="Q43" i="2724"/>
  <c r="R43" i="2724"/>
  <c r="P44" i="2724"/>
  <c r="K10" i="2841"/>
  <c r="Q44" i="2724"/>
  <c r="R44" i="2724"/>
  <c r="P45" i="2724"/>
  <c r="Q45" i="2724"/>
  <c r="R45" i="2724"/>
  <c r="P46" i="2724"/>
  <c r="K9" i="2842"/>
  <c r="Q46" i="2724"/>
  <c r="R46" i="2724"/>
  <c r="P47" i="2724"/>
  <c r="K10" i="2842"/>
  <c r="R47" i="2724"/>
  <c r="P48" i="2724"/>
  <c r="K9" i="2843"/>
  <c r="R48" i="2724"/>
  <c r="Q49" i="2724"/>
  <c r="R49" i="2724"/>
  <c r="Q50" i="2724"/>
  <c r="R50" i="2724"/>
  <c r="P51" i="2724"/>
  <c r="R51" i="2724"/>
  <c r="Q52" i="2724"/>
  <c r="R52" i="2724"/>
  <c r="P53" i="2724"/>
  <c r="K9" i="2845"/>
  <c r="R53" i="2724"/>
  <c r="Q54" i="2724"/>
  <c r="R54" i="2724"/>
  <c r="P55" i="2724"/>
  <c r="Q55" i="2724"/>
  <c r="R55" i="2724"/>
  <c r="Q57" i="2724"/>
  <c r="R57" i="2724"/>
  <c r="P58" i="2724"/>
  <c r="Q58" i="2724"/>
  <c r="R58" i="2724"/>
  <c r="Q59" i="2724"/>
  <c r="R59" i="2724"/>
  <c r="P60" i="2724"/>
  <c r="Q60" i="2724"/>
  <c r="R60" i="2724"/>
  <c r="Q61" i="2724"/>
  <c r="R61" i="2724"/>
  <c r="P62" i="2724"/>
  <c r="R62" i="2724"/>
  <c r="Q64" i="2724"/>
  <c r="R64" i="2724"/>
  <c r="P68" i="2724"/>
  <c r="K9" i="2850"/>
  <c r="R68" i="2724"/>
  <c r="P69" i="2724"/>
  <c r="K10" i="2850"/>
  <c r="Q69" i="2724"/>
  <c r="R69" i="2724"/>
  <c r="P71" i="2724"/>
  <c r="R71" i="2724"/>
  <c r="P77" i="2724"/>
  <c r="Q77" i="2724"/>
  <c r="R77" i="2724"/>
  <c r="P4" i="2725"/>
  <c r="R4" i="2725"/>
  <c r="Q5" i="2725"/>
  <c r="R5" i="2725"/>
  <c r="R6" i="2725"/>
  <c r="R8" i="2725"/>
  <c r="R9" i="2725"/>
  <c r="R10" i="2725"/>
  <c r="Q11" i="2725"/>
  <c r="R11" i="2725"/>
  <c r="R12" i="2725"/>
  <c r="P13" i="2725"/>
  <c r="K8" i="2830"/>
  <c r="Q13" i="2725"/>
  <c r="R13" i="2725"/>
  <c r="R14" i="2725"/>
  <c r="R15" i="2725"/>
  <c r="R16" i="2725"/>
  <c r="R17" i="2725"/>
  <c r="R18" i="2725"/>
  <c r="R19" i="2725"/>
  <c r="Q20" i="2725"/>
  <c r="R20" i="2725"/>
  <c r="P21" i="2725"/>
  <c r="R21" i="2725"/>
  <c r="R22" i="2725"/>
  <c r="R24" i="2725"/>
  <c r="Q25" i="2725"/>
  <c r="R25" i="2725"/>
  <c r="R26" i="2725"/>
  <c r="P27" i="2725"/>
  <c r="R27" i="2725"/>
  <c r="P28" i="2725"/>
  <c r="Q28" i="2725"/>
  <c r="R28" i="2725"/>
  <c r="P29" i="2725"/>
  <c r="R29" i="2725"/>
  <c r="P30" i="2725"/>
  <c r="Q30" i="2725"/>
  <c r="R30" i="2725"/>
  <c r="R31" i="2725"/>
  <c r="P32" i="2725"/>
  <c r="Q32" i="2725"/>
  <c r="R32" i="2725"/>
  <c r="Q33" i="2725"/>
  <c r="R33" i="2725"/>
  <c r="Q34" i="2725"/>
  <c r="R34" i="2725"/>
  <c r="R35" i="2725"/>
  <c r="R36" i="2725"/>
  <c r="P37" i="2725"/>
  <c r="Q37" i="2725"/>
  <c r="R37" i="2725"/>
  <c r="R38" i="2725"/>
  <c r="R39" i="2725"/>
  <c r="R40" i="2725"/>
  <c r="R41" i="2725"/>
  <c r="P42" i="2725"/>
  <c r="Q42" i="2725"/>
  <c r="R42" i="2725"/>
  <c r="P43" i="2725"/>
  <c r="R43" i="2725"/>
  <c r="P44" i="2725"/>
  <c r="Q44" i="2725"/>
  <c r="R44" i="2725"/>
  <c r="P45" i="2725"/>
  <c r="R45" i="2725"/>
  <c r="R46" i="2725"/>
  <c r="P47" i="2725"/>
  <c r="R47" i="2725"/>
  <c r="Q48" i="2725"/>
  <c r="R48" i="2725"/>
  <c r="R49" i="2725"/>
  <c r="R50" i="2725"/>
  <c r="R51" i="2725"/>
  <c r="P52" i="2725"/>
  <c r="Q52" i="2725"/>
  <c r="R52" i="2725"/>
  <c r="R53" i="2725"/>
  <c r="Q54" i="2725"/>
  <c r="R54" i="2725"/>
  <c r="R59" i="2725"/>
  <c r="M4" i="7"/>
  <c r="M5" i="7"/>
  <c r="P4" i="7"/>
  <c r="Q4" i="7"/>
  <c r="R4" i="7"/>
  <c r="T4" i="7"/>
  <c r="X4" i="7"/>
  <c r="Y4" i="7"/>
  <c r="Z4" i="7"/>
  <c r="AB4" i="7"/>
  <c r="L5" i="7"/>
  <c r="U5" i="7"/>
  <c r="AB56" i="7"/>
  <c r="AB59" i="7"/>
  <c r="AB62" i="7"/>
  <c r="AB65" i="7"/>
  <c r="E19" i="325"/>
  <c r="C20" i="325"/>
  <c r="N7" i="2727"/>
  <c r="N8" i="2727"/>
  <c r="N9" i="2727"/>
  <c r="N10" i="2727"/>
  <c r="N11" i="2727"/>
  <c r="N12" i="2727"/>
  <c r="N13" i="2727"/>
  <c r="N14" i="2727"/>
  <c r="N15" i="2727"/>
  <c r="N16" i="2727"/>
  <c r="N17" i="2727"/>
  <c r="N18" i="2727"/>
  <c r="N19" i="2727"/>
  <c r="N20" i="2727"/>
  <c r="N21" i="2727"/>
  <c r="N22" i="2727"/>
  <c r="C32" i="2727"/>
  <c r="C36" i="2727"/>
  <c r="C38" i="2727"/>
  <c r="C40" i="2727"/>
  <c r="C42" i="2727"/>
  <c r="C44" i="2727"/>
  <c r="C45" i="2727"/>
  <c r="C46" i="2727"/>
  <c r="C48" i="2727"/>
  <c r="C50" i="2727"/>
  <c r="C56" i="2727"/>
  <c r="C58" i="2727"/>
  <c r="C60" i="2727"/>
  <c r="M70" i="2727"/>
  <c r="M71" i="2727"/>
  <c r="E75" i="2727"/>
  <c r="L75" i="2727"/>
  <c r="Q75" i="2727"/>
  <c r="S80" i="2727"/>
  <c r="S81" i="2727"/>
  <c r="R82" i="2727"/>
  <c r="S82" i="2727" s="1"/>
  <c r="C8" i="54"/>
  <c r="D8" i="54"/>
  <c r="E8" i="54"/>
  <c r="F8" i="54"/>
  <c r="G8" i="54"/>
  <c r="I8" i="54"/>
  <c r="J8" i="54"/>
  <c r="C9" i="54"/>
  <c r="D9" i="54"/>
  <c r="E9" i="54"/>
  <c r="F9" i="54"/>
  <c r="G9" i="54"/>
  <c r="I9" i="54"/>
  <c r="J9" i="54"/>
  <c r="N9" i="54"/>
  <c r="C17" i="54"/>
  <c r="G17" i="54"/>
  <c r="I17" i="54"/>
  <c r="J17" i="54"/>
  <c r="K17" i="54"/>
  <c r="L17" i="54"/>
  <c r="C18" i="54"/>
  <c r="G18" i="54"/>
  <c r="I18" i="54"/>
  <c r="J18" i="54"/>
  <c r="K18" i="54"/>
  <c r="L18" i="54"/>
  <c r="C22" i="54"/>
  <c r="G22" i="54"/>
  <c r="I22" i="54"/>
  <c r="J22" i="54"/>
  <c r="K22" i="54"/>
  <c r="L22" i="54"/>
  <c r="C8" i="46"/>
  <c r="D8" i="46"/>
  <c r="E8" i="46"/>
  <c r="F8" i="46"/>
  <c r="G8" i="46"/>
  <c r="H8" i="46"/>
  <c r="I8" i="46"/>
  <c r="D9" i="46"/>
  <c r="E9" i="46"/>
  <c r="F9" i="46"/>
  <c r="G9" i="46"/>
  <c r="H9" i="46"/>
  <c r="I9" i="46"/>
  <c r="C10" i="46"/>
  <c r="D10" i="46"/>
  <c r="E10" i="46"/>
  <c r="F10" i="46"/>
  <c r="G10" i="46"/>
  <c r="H10" i="46"/>
  <c r="I10" i="46"/>
  <c r="C18" i="46"/>
  <c r="G18" i="46"/>
  <c r="H18" i="46"/>
  <c r="I18" i="46"/>
  <c r="J18" i="46"/>
  <c r="K18" i="46"/>
  <c r="C19" i="46"/>
  <c r="G19" i="46"/>
  <c r="H19" i="46"/>
  <c r="I19" i="46"/>
  <c r="J19" i="46"/>
  <c r="K19" i="46"/>
  <c r="C21" i="46"/>
  <c r="G21" i="46"/>
  <c r="H21" i="46"/>
  <c r="I21" i="46"/>
  <c r="J21" i="46"/>
  <c r="K21" i="46"/>
  <c r="M21" i="46"/>
  <c r="C22" i="46"/>
  <c r="G22" i="46"/>
  <c r="H22" i="46"/>
  <c r="I22" i="46"/>
  <c r="J22" i="46"/>
  <c r="K22" i="46"/>
  <c r="C23" i="46"/>
  <c r="G23" i="46"/>
  <c r="H23" i="46"/>
  <c r="I23" i="46"/>
  <c r="J23" i="46"/>
  <c r="K23" i="46"/>
  <c r="M23" i="46"/>
  <c r="C6" i="48"/>
  <c r="D6" i="48"/>
  <c r="E6" i="48"/>
  <c r="F6" i="48"/>
  <c r="G6" i="48"/>
  <c r="H6" i="48"/>
  <c r="I6" i="48"/>
  <c r="C7" i="48"/>
  <c r="D7" i="48"/>
  <c r="E7" i="48"/>
  <c r="F7" i="48"/>
  <c r="G7" i="48"/>
  <c r="H7" i="48"/>
  <c r="I7" i="48"/>
  <c r="C8" i="48"/>
  <c r="D8" i="48"/>
  <c r="E8" i="48"/>
  <c r="F8" i="48"/>
  <c r="G8" i="48"/>
  <c r="H8" i="48"/>
  <c r="I8" i="48"/>
  <c r="D9" i="48"/>
  <c r="E9" i="48"/>
  <c r="F9" i="48"/>
  <c r="G9" i="48"/>
  <c r="H9" i="48"/>
  <c r="I9" i="48"/>
  <c r="C10" i="48"/>
  <c r="D10" i="48"/>
  <c r="E10" i="48"/>
  <c r="F10" i="48"/>
  <c r="G10" i="48"/>
  <c r="H10" i="48"/>
  <c r="I10" i="48"/>
  <c r="M10" i="48"/>
  <c r="C18" i="48"/>
  <c r="G18" i="48"/>
  <c r="H18" i="48"/>
  <c r="I18" i="48"/>
  <c r="J18" i="48"/>
  <c r="K18" i="48"/>
  <c r="C19" i="48"/>
  <c r="G19" i="48"/>
  <c r="H19" i="48"/>
  <c r="I19" i="48"/>
  <c r="J19" i="48"/>
  <c r="K19" i="48"/>
  <c r="C22" i="48"/>
  <c r="G22" i="48"/>
  <c r="H22" i="48"/>
  <c r="I22" i="48"/>
  <c r="J22" i="48"/>
  <c r="K22" i="48"/>
  <c r="M22" i="48"/>
  <c r="C23" i="48"/>
  <c r="G23" i="48"/>
  <c r="H23" i="48"/>
  <c r="I23" i="48"/>
  <c r="J23" i="48"/>
  <c r="K23" i="48"/>
  <c r="C6" i="53"/>
  <c r="D6" i="53"/>
  <c r="E6" i="53"/>
  <c r="F6" i="53"/>
  <c r="G6" i="53"/>
  <c r="H6" i="53"/>
  <c r="I6" i="53"/>
  <c r="M6" i="53"/>
  <c r="D7" i="53"/>
  <c r="E7" i="53"/>
  <c r="F7" i="53"/>
  <c r="G7" i="53"/>
  <c r="H7" i="53"/>
  <c r="I7" i="53"/>
  <c r="C8" i="53"/>
  <c r="D8" i="53"/>
  <c r="E8" i="53"/>
  <c r="F8" i="53"/>
  <c r="G8" i="53"/>
  <c r="H8" i="53"/>
  <c r="I8" i="53"/>
  <c r="C18" i="53"/>
  <c r="G18" i="53"/>
  <c r="H18" i="53"/>
  <c r="I18" i="53"/>
  <c r="J18" i="53"/>
  <c r="K18" i="53"/>
  <c r="M18" i="53"/>
  <c r="C19" i="53"/>
  <c r="G19" i="53"/>
  <c r="H19" i="53"/>
  <c r="I19" i="53"/>
  <c r="J19" i="53"/>
  <c r="K19" i="53"/>
  <c r="C20" i="53"/>
  <c r="G20" i="53"/>
  <c r="H20" i="53"/>
  <c r="I20" i="53"/>
  <c r="J20" i="53"/>
  <c r="K20" i="53"/>
  <c r="C21" i="53"/>
  <c r="G21" i="53"/>
  <c r="H21" i="53"/>
  <c r="I21" i="53"/>
  <c r="J21" i="53"/>
  <c r="K21" i="53"/>
  <c r="C6" i="52"/>
  <c r="D6" i="52"/>
  <c r="E6" i="52"/>
  <c r="F6" i="52"/>
  <c r="G6" i="52"/>
  <c r="I6" i="52"/>
  <c r="J6" i="52"/>
  <c r="C17" i="52"/>
  <c r="G17" i="52"/>
  <c r="I17" i="52"/>
  <c r="J17" i="52"/>
  <c r="K17" i="52"/>
  <c r="L17" i="52"/>
  <c r="N17" i="52"/>
  <c r="C18" i="52"/>
  <c r="G18" i="52"/>
  <c r="I18" i="52"/>
  <c r="J18" i="52"/>
  <c r="K18" i="52"/>
  <c r="L18" i="52"/>
  <c r="C20" i="52"/>
  <c r="G20" i="52"/>
  <c r="I20" i="52"/>
  <c r="J20" i="52"/>
  <c r="K20" i="52"/>
  <c r="L20" i="52"/>
  <c r="C21" i="52"/>
  <c r="G21" i="52"/>
  <c r="I21" i="52"/>
  <c r="J21" i="52"/>
  <c r="K21" i="52"/>
  <c r="L21" i="52"/>
  <c r="N21" i="52"/>
  <c r="C22" i="52"/>
  <c r="G22" i="52"/>
  <c r="I22" i="52"/>
  <c r="J22" i="52"/>
  <c r="K22" i="52"/>
  <c r="L22" i="52"/>
  <c r="C8" i="51"/>
  <c r="D8" i="51"/>
  <c r="E8" i="51"/>
  <c r="F8" i="51"/>
  <c r="G8" i="51"/>
  <c r="I8" i="51"/>
  <c r="J8" i="51"/>
  <c r="N8" i="51"/>
  <c r="D9" i="51"/>
  <c r="E9" i="51"/>
  <c r="F9" i="51"/>
  <c r="G9" i="51"/>
  <c r="I9" i="51"/>
  <c r="J9" i="51"/>
  <c r="C10" i="51"/>
  <c r="D10" i="51"/>
  <c r="E10" i="51"/>
  <c r="F10" i="51"/>
  <c r="G10" i="51"/>
  <c r="I10" i="51"/>
  <c r="J10" i="51"/>
  <c r="N10" i="51"/>
  <c r="C16" i="51"/>
  <c r="G16" i="51"/>
  <c r="I16" i="51"/>
  <c r="J16" i="51"/>
  <c r="K16" i="51"/>
  <c r="L16" i="51"/>
  <c r="C17" i="51"/>
  <c r="G17" i="51"/>
  <c r="I17" i="51"/>
  <c r="J17" i="51"/>
  <c r="K17" i="51"/>
  <c r="L17" i="51"/>
  <c r="N17" i="51"/>
  <c r="C20" i="51"/>
  <c r="G20" i="51"/>
  <c r="I20" i="51"/>
  <c r="J20" i="51"/>
  <c r="K20" i="51"/>
  <c r="L20" i="51"/>
  <c r="N20" i="51"/>
  <c r="C21" i="51"/>
  <c r="G21" i="51"/>
  <c r="I21" i="51"/>
  <c r="J21" i="51"/>
  <c r="K21" i="51"/>
  <c r="L21" i="51"/>
  <c r="C6" i="50"/>
  <c r="D6" i="50"/>
  <c r="E6" i="50"/>
  <c r="F6" i="50"/>
  <c r="G6" i="50"/>
  <c r="I6" i="50"/>
  <c r="J6" i="50"/>
  <c r="N6" i="50"/>
  <c r="C7" i="50"/>
  <c r="D7" i="50"/>
  <c r="E7" i="50"/>
  <c r="F7" i="50"/>
  <c r="G7" i="50"/>
  <c r="I7" i="50"/>
  <c r="J7" i="50"/>
  <c r="C8" i="50"/>
  <c r="D8" i="50"/>
  <c r="E8" i="50"/>
  <c r="F8" i="50"/>
  <c r="G8" i="50"/>
  <c r="J8" i="50"/>
  <c r="N8" i="50"/>
  <c r="C9" i="50"/>
  <c r="D9" i="50"/>
  <c r="E9" i="50"/>
  <c r="F9" i="50"/>
  <c r="G9" i="50"/>
  <c r="I9" i="50"/>
  <c r="J9" i="50"/>
  <c r="N9" i="50"/>
  <c r="C12" i="50"/>
  <c r="D12" i="50"/>
  <c r="F12" i="50"/>
  <c r="G12" i="50"/>
  <c r="J12" i="50"/>
  <c r="M12" i="50"/>
  <c r="C13" i="50"/>
  <c r="F13" i="50"/>
  <c r="G13" i="50"/>
  <c r="J13" i="50"/>
  <c r="M13" i="50"/>
  <c r="C15" i="50"/>
  <c r="G15" i="50"/>
  <c r="I15" i="50"/>
  <c r="J15" i="50"/>
  <c r="K15" i="50"/>
  <c r="L15" i="50"/>
  <c r="N15" i="50"/>
  <c r="C16" i="50"/>
  <c r="G16" i="50"/>
  <c r="H16" i="50"/>
  <c r="I16" i="50"/>
  <c r="J16" i="50"/>
  <c r="K16" i="50"/>
  <c r="L16" i="50"/>
  <c r="N16" i="50"/>
  <c r="C17" i="50"/>
  <c r="G17" i="50"/>
  <c r="I17" i="50"/>
  <c r="J17" i="50"/>
  <c r="K17" i="50"/>
  <c r="L17" i="50"/>
  <c r="C18" i="50"/>
  <c r="G18" i="50"/>
  <c r="I18" i="50"/>
  <c r="J18" i="50"/>
  <c r="K18" i="50"/>
  <c r="L18" i="50"/>
  <c r="N18" i="50"/>
  <c r="C19" i="50"/>
  <c r="G19" i="50"/>
  <c r="I19" i="50"/>
  <c r="J19" i="50"/>
  <c r="K19" i="50"/>
  <c r="L19" i="50"/>
  <c r="N19" i="50"/>
  <c r="C20" i="50"/>
  <c r="G20" i="50"/>
  <c r="I20" i="50"/>
  <c r="J20" i="50"/>
  <c r="K20" i="50"/>
  <c r="L20" i="50"/>
  <c r="N20" i="50"/>
  <c r="C8" i="49"/>
  <c r="D8" i="49"/>
  <c r="E8" i="49"/>
  <c r="F8" i="49"/>
  <c r="G8" i="49"/>
  <c r="I8" i="49"/>
  <c r="J8" i="49"/>
  <c r="C9" i="49"/>
  <c r="D9" i="49"/>
  <c r="E9" i="49"/>
  <c r="F9" i="49"/>
  <c r="G9" i="49"/>
  <c r="I9" i="49"/>
  <c r="J9" i="49"/>
  <c r="N9" i="49"/>
  <c r="C10" i="49"/>
  <c r="D10" i="49"/>
  <c r="E10" i="49"/>
  <c r="F10" i="49"/>
  <c r="G10" i="49"/>
  <c r="I10" i="49"/>
  <c r="J10" i="49"/>
  <c r="C11" i="49"/>
  <c r="D11" i="49"/>
  <c r="E11" i="49"/>
  <c r="F11" i="49"/>
  <c r="G11" i="49"/>
  <c r="I11" i="49"/>
  <c r="J11" i="49"/>
  <c r="N11" i="49"/>
  <c r="C15" i="49"/>
  <c r="G15" i="49"/>
  <c r="I15" i="49"/>
  <c r="J15" i="49"/>
  <c r="K15" i="49"/>
  <c r="L15" i="49"/>
  <c r="C16" i="49"/>
  <c r="G16" i="49"/>
  <c r="I16" i="49"/>
  <c r="J16" i="49"/>
  <c r="K16" i="49"/>
  <c r="L16" i="49"/>
  <c r="C21" i="49"/>
  <c r="G21" i="49"/>
  <c r="I21" i="49"/>
  <c r="J21" i="49"/>
  <c r="K21" i="49"/>
  <c r="L21" i="49"/>
  <c r="C22" i="49"/>
  <c r="G22" i="49"/>
  <c r="I22" i="49"/>
  <c r="J22" i="49"/>
  <c r="K22" i="49"/>
  <c r="L22" i="49"/>
  <c r="C8" i="45"/>
  <c r="D8" i="45"/>
  <c r="E8" i="45"/>
  <c r="F8" i="45"/>
  <c r="G8" i="45"/>
  <c r="I8" i="45"/>
  <c r="J8" i="45"/>
  <c r="D9" i="45"/>
  <c r="E9" i="45"/>
  <c r="F9" i="45"/>
  <c r="G9" i="45"/>
  <c r="I9" i="45"/>
  <c r="J9" i="45"/>
  <c r="C10" i="45"/>
  <c r="D10" i="45"/>
  <c r="E10" i="45"/>
  <c r="F10" i="45"/>
  <c r="G10" i="45"/>
  <c r="I10" i="45"/>
  <c r="J10" i="45"/>
  <c r="C13" i="45"/>
  <c r="D13" i="45"/>
  <c r="E13" i="45"/>
  <c r="F13" i="45"/>
  <c r="G13" i="45"/>
  <c r="I13" i="45"/>
  <c r="J13" i="45"/>
  <c r="C14" i="45"/>
  <c r="D14" i="45"/>
  <c r="E14" i="45"/>
  <c r="F14" i="45"/>
  <c r="G14" i="45"/>
  <c r="I14" i="45"/>
  <c r="J14" i="45"/>
  <c r="C18" i="45"/>
  <c r="G18" i="45"/>
  <c r="I18" i="45"/>
  <c r="J18" i="45"/>
  <c r="K18" i="45"/>
  <c r="L18" i="45"/>
  <c r="N18" i="45"/>
  <c r="C20" i="45"/>
  <c r="G20" i="45"/>
  <c r="I20" i="45"/>
  <c r="J20" i="45"/>
  <c r="K20" i="45"/>
  <c r="L20" i="45"/>
  <c r="N20" i="45"/>
  <c r="C21" i="45"/>
  <c r="G21" i="45"/>
  <c r="I21" i="45"/>
  <c r="J21" i="45"/>
  <c r="K21" i="45"/>
  <c r="L21" i="45"/>
  <c r="N21" i="45"/>
  <c r="C22" i="45"/>
  <c r="G22" i="45"/>
  <c r="I22" i="45"/>
  <c r="J22" i="45"/>
  <c r="K22" i="45"/>
  <c r="L22" i="45"/>
  <c r="C23" i="45"/>
  <c r="G23" i="45"/>
  <c r="I23" i="45"/>
  <c r="J23" i="45"/>
  <c r="K23" i="45"/>
  <c r="L23" i="45"/>
  <c r="N23" i="45"/>
  <c r="C24" i="45"/>
  <c r="G24" i="45"/>
  <c r="I24" i="45"/>
  <c r="J24" i="45"/>
  <c r="K24" i="45"/>
  <c r="L24" i="45"/>
  <c r="C25" i="45"/>
  <c r="G25" i="45"/>
  <c r="I25" i="45"/>
  <c r="J25" i="45"/>
  <c r="K25" i="45"/>
  <c r="L25" i="45"/>
  <c r="C8" i="42"/>
  <c r="D8" i="42"/>
  <c r="E8" i="42"/>
  <c r="F8" i="42"/>
  <c r="G8" i="42"/>
  <c r="I8" i="42"/>
  <c r="J8" i="42"/>
  <c r="C12" i="42"/>
  <c r="D12" i="42"/>
  <c r="E12" i="42"/>
  <c r="F12" i="42"/>
  <c r="G12" i="42"/>
  <c r="I12" i="42"/>
  <c r="J12" i="42"/>
  <c r="C19" i="42"/>
  <c r="G19" i="42"/>
  <c r="I19" i="42"/>
  <c r="J19" i="42"/>
  <c r="K19" i="42"/>
  <c r="L19" i="42"/>
  <c r="N19" i="42"/>
  <c r="C21" i="42"/>
  <c r="G21" i="42"/>
  <c r="I21" i="42"/>
  <c r="J21" i="42"/>
  <c r="K21" i="42"/>
  <c r="L21" i="42"/>
  <c r="N21" i="42"/>
  <c r="C8" i="43"/>
  <c r="D8" i="43"/>
  <c r="E8" i="43"/>
  <c r="F8" i="43"/>
  <c r="G8" i="43"/>
  <c r="I8" i="43"/>
  <c r="J8" i="43"/>
  <c r="N8" i="43"/>
  <c r="C9" i="43"/>
  <c r="D9" i="43"/>
  <c r="E9" i="43"/>
  <c r="F9" i="43"/>
  <c r="G9" i="43"/>
  <c r="I9" i="43"/>
  <c r="J9" i="43"/>
  <c r="C17" i="43"/>
  <c r="G17" i="43"/>
  <c r="I17" i="43"/>
  <c r="J17" i="43"/>
  <c r="K17" i="43"/>
  <c r="L17" i="43"/>
  <c r="N17" i="43"/>
  <c r="C18" i="43"/>
  <c r="G18" i="43"/>
  <c r="I18" i="43"/>
  <c r="J18" i="43"/>
  <c r="K18" i="43"/>
  <c r="L18" i="43"/>
  <c r="C19" i="43"/>
  <c r="G19" i="43"/>
  <c r="I19" i="43"/>
  <c r="J19" i="43"/>
  <c r="K19" i="43"/>
  <c r="L19" i="43"/>
  <c r="N19" i="43"/>
  <c r="C20" i="43"/>
  <c r="G20" i="43"/>
  <c r="I20" i="43"/>
  <c r="J20" i="43"/>
  <c r="K20" i="43"/>
  <c r="L20" i="43"/>
  <c r="C6" i="39"/>
  <c r="D6" i="39"/>
  <c r="E6" i="39"/>
  <c r="F6" i="39"/>
  <c r="G6" i="39"/>
  <c r="I6" i="39"/>
  <c r="J6" i="39"/>
  <c r="C8" i="39"/>
  <c r="D8" i="39"/>
  <c r="E8" i="39"/>
  <c r="F8" i="39"/>
  <c r="G8" i="39"/>
  <c r="I8" i="39"/>
  <c r="J8" i="39"/>
  <c r="D9" i="39"/>
  <c r="E9" i="39"/>
  <c r="F9" i="39"/>
  <c r="G9" i="39"/>
  <c r="I9" i="39"/>
  <c r="J9" i="39"/>
  <c r="C10" i="39"/>
  <c r="D10" i="39"/>
  <c r="E10" i="39"/>
  <c r="F10" i="39"/>
  <c r="G10" i="39"/>
  <c r="I10" i="39"/>
  <c r="J10" i="39"/>
  <c r="C12" i="39"/>
  <c r="D12" i="39"/>
  <c r="E12" i="39"/>
  <c r="F12" i="39"/>
  <c r="G12" i="39"/>
  <c r="I12" i="39"/>
  <c r="J12" i="39"/>
  <c r="N12" i="39"/>
  <c r="H15" i="39"/>
  <c r="C16" i="39"/>
  <c r="G16" i="39"/>
  <c r="I16" i="39"/>
  <c r="J16" i="39"/>
  <c r="K16" i="39"/>
  <c r="L16" i="39"/>
  <c r="C17" i="39"/>
  <c r="G17" i="39"/>
  <c r="I17" i="39"/>
  <c r="J17" i="39"/>
  <c r="K17" i="39"/>
  <c r="L17" i="39"/>
  <c r="C18" i="39"/>
  <c r="G18" i="39"/>
  <c r="I18" i="39"/>
  <c r="J18" i="39"/>
  <c r="K18" i="39"/>
  <c r="L18" i="39"/>
  <c r="N18" i="39"/>
  <c r="C19" i="39"/>
  <c r="G19" i="39"/>
  <c r="I19" i="39"/>
  <c r="J19" i="39"/>
  <c r="K19" i="39"/>
  <c r="L19" i="39"/>
  <c r="N19" i="39"/>
  <c r="C20" i="39"/>
  <c r="G20" i="39"/>
  <c r="I20" i="39"/>
  <c r="J20" i="39"/>
  <c r="K20" i="39"/>
  <c r="L20" i="39"/>
  <c r="N20" i="39"/>
  <c r="C8" i="44"/>
  <c r="D8" i="44"/>
  <c r="E8" i="44"/>
  <c r="F8" i="44"/>
  <c r="G8" i="44"/>
  <c r="I8" i="44"/>
  <c r="J8" i="44"/>
  <c r="C9" i="44"/>
  <c r="D9" i="44"/>
  <c r="E9" i="44"/>
  <c r="F9" i="44"/>
  <c r="G9" i="44"/>
  <c r="I9" i="44"/>
  <c r="J9" i="44"/>
  <c r="C15" i="44"/>
  <c r="G15" i="44"/>
  <c r="I15" i="44"/>
  <c r="J15" i="44"/>
  <c r="K15" i="44"/>
  <c r="L15" i="44"/>
  <c r="N15" i="44"/>
  <c r="C16" i="44"/>
  <c r="G16" i="44"/>
  <c r="I16" i="44"/>
  <c r="J16" i="44"/>
  <c r="K16" i="44"/>
  <c r="L16" i="44"/>
  <c r="C17" i="44"/>
  <c r="G17" i="44"/>
  <c r="I17" i="44"/>
  <c r="J17" i="44"/>
  <c r="K17" i="44"/>
  <c r="L17" i="44"/>
  <c r="C18" i="44"/>
  <c r="G18" i="44"/>
  <c r="I18" i="44"/>
  <c r="J18" i="44"/>
  <c r="K18" i="44"/>
  <c r="L18" i="44"/>
  <c r="C21" i="44"/>
  <c r="G21" i="44"/>
  <c r="I21" i="44"/>
  <c r="J21" i="44"/>
  <c r="K21" i="44"/>
  <c r="L21" i="44"/>
  <c r="N21" i="44"/>
  <c r="C22" i="44"/>
  <c r="G22" i="44"/>
  <c r="I22" i="44"/>
  <c r="J22" i="44"/>
  <c r="K22" i="44"/>
  <c r="L22" i="44"/>
  <c r="C8" i="41"/>
  <c r="D8" i="41"/>
  <c r="E8" i="41"/>
  <c r="F8" i="41"/>
  <c r="G8" i="41"/>
  <c r="I8" i="41"/>
  <c r="J8" i="41"/>
  <c r="N8" i="41"/>
  <c r="D9" i="41"/>
  <c r="E9" i="41"/>
  <c r="F9" i="41"/>
  <c r="G9" i="41"/>
  <c r="I9" i="41"/>
  <c r="J9" i="41"/>
  <c r="C10" i="41"/>
  <c r="D10" i="41"/>
  <c r="E10" i="41"/>
  <c r="F10" i="41"/>
  <c r="G10" i="41"/>
  <c r="I10" i="41"/>
  <c r="J10" i="41"/>
  <c r="C17" i="41"/>
  <c r="G17" i="41"/>
  <c r="I17" i="41"/>
  <c r="J17" i="41"/>
  <c r="K17" i="41"/>
  <c r="L17" i="41"/>
  <c r="C18" i="41"/>
  <c r="G18" i="41"/>
  <c r="I18" i="41"/>
  <c r="J18" i="41"/>
  <c r="K18" i="41"/>
  <c r="L18" i="41"/>
  <c r="C19" i="41"/>
  <c r="G19" i="41"/>
  <c r="I19" i="41"/>
  <c r="J19" i="41"/>
  <c r="K19" i="41"/>
  <c r="L19" i="41"/>
  <c r="C22" i="41"/>
  <c r="G22" i="41"/>
  <c r="I22" i="41"/>
  <c r="J22" i="41"/>
  <c r="K22" i="41"/>
  <c r="L22" i="41"/>
  <c r="N22" i="41"/>
  <c r="C23" i="41"/>
  <c r="G23" i="41"/>
  <c r="I23" i="41"/>
  <c r="J23" i="41"/>
  <c r="K23" i="41"/>
  <c r="L23" i="41"/>
  <c r="C8" i="40"/>
  <c r="D8" i="40"/>
  <c r="E8" i="40"/>
  <c r="F8" i="40"/>
  <c r="G8" i="40"/>
  <c r="I8" i="40"/>
  <c r="J8" i="40"/>
  <c r="N8" i="40"/>
  <c r="C9" i="40"/>
  <c r="D9" i="40"/>
  <c r="E9" i="40"/>
  <c r="F9" i="40"/>
  <c r="G9" i="40"/>
  <c r="I9" i="40"/>
  <c r="J9" i="40"/>
  <c r="C15" i="40"/>
  <c r="G15" i="40"/>
  <c r="I15" i="40"/>
  <c r="J15" i="40"/>
  <c r="K15" i="40"/>
  <c r="L15" i="40"/>
  <c r="N15" i="40"/>
  <c r="C17" i="40"/>
  <c r="G17" i="40"/>
  <c r="I17" i="40"/>
  <c r="J17" i="40"/>
  <c r="K17" i="40"/>
  <c r="L17" i="40"/>
  <c r="C18" i="40"/>
  <c r="G18" i="40"/>
  <c r="I18" i="40"/>
  <c r="J18" i="40"/>
  <c r="K18" i="40"/>
  <c r="L18" i="40"/>
  <c r="C21" i="40"/>
  <c r="G21" i="40"/>
  <c r="I21" i="40"/>
  <c r="J21" i="40"/>
  <c r="K21" i="40"/>
  <c r="L21" i="40"/>
  <c r="C22" i="40"/>
  <c r="G22" i="40"/>
  <c r="I22" i="40"/>
  <c r="J22" i="40"/>
  <c r="K22" i="40"/>
  <c r="L22" i="40"/>
  <c r="C6" i="36"/>
  <c r="D6" i="36"/>
  <c r="E6" i="36"/>
  <c r="F6" i="36"/>
  <c r="G6" i="36"/>
  <c r="I6" i="36"/>
  <c r="J6" i="36"/>
  <c r="N6" i="36"/>
  <c r="C7" i="36"/>
  <c r="D7" i="36"/>
  <c r="E7" i="36"/>
  <c r="F7" i="36"/>
  <c r="G7" i="36"/>
  <c r="I7" i="36"/>
  <c r="J7" i="36"/>
  <c r="C8" i="36"/>
  <c r="D8" i="36"/>
  <c r="E8" i="36"/>
  <c r="F8" i="36"/>
  <c r="G8" i="36"/>
  <c r="I8" i="36"/>
  <c r="J8" i="36"/>
  <c r="N8" i="36"/>
  <c r="D9" i="36"/>
  <c r="E9" i="36"/>
  <c r="F9" i="36"/>
  <c r="G9" i="36"/>
  <c r="I9" i="36"/>
  <c r="J9" i="36"/>
  <c r="C10" i="36"/>
  <c r="D10" i="36"/>
  <c r="E10" i="36"/>
  <c r="F10" i="36"/>
  <c r="G10" i="36"/>
  <c r="I10" i="36"/>
  <c r="J10" i="36"/>
  <c r="N10" i="36"/>
  <c r="C11" i="36"/>
  <c r="D11" i="36"/>
  <c r="E11" i="36"/>
  <c r="F11" i="36"/>
  <c r="G11" i="36"/>
  <c r="I11" i="36"/>
  <c r="J11" i="36"/>
  <c r="N11" i="36"/>
  <c r="C14" i="36"/>
  <c r="G14" i="36"/>
  <c r="I14" i="36"/>
  <c r="J14" i="36"/>
  <c r="K14" i="36"/>
  <c r="L14" i="36"/>
  <c r="C17" i="36"/>
  <c r="G17" i="36"/>
  <c r="I17" i="36"/>
  <c r="J17" i="36"/>
  <c r="K17" i="36"/>
  <c r="L17" i="36"/>
  <c r="C18" i="36"/>
  <c r="G18" i="36"/>
  <c r="I18" i="36"/>
  <c r="J18" i="36"/>
  <c r="K18" i="36"/>
  <c r="L18" i="36"/>
  <c r="C19" i="36"/>
  <c r="G19" i="36"/>
  <c r="I19" i="36"/>
  <c r="J19" i="36"/>
  <c r="K19" i="36"/>
  <c r="L19" i="36"/>
  <c r="C20" i="36"/>
  <c r="G20" i="36"/>
  <c r="I20" i="36"/>
  <c r="J20" i="36"/>
  <c r="K20" i="36"/>
  <c r="L20" i="36"/>
  <c r="N20" i="36"/>
  <c r="C8" i="38"/>
  <c r="D8" i="38"/>
  <c r="E8" i="38"/>
  <c r="F8" i="38"/>
  <c r="G8" i="38"/>
  <c r="I8" i="38"/>
  <c r="J8" i="38"/>
  <c r="N8" i="38"/>
  <c r="D9" i="38"/>
  <c r="E9" i="38"/>
  <c r="F9" i="38"/>
  <c r="G9" i="38"/>
  <c r="I9" i="38"/>
  <c r="J9" i="38"/>
  <c r="C10" i="38"/>
  <c r="D10" i="38"/>
  <c r="E10" i="38"/>
  <c r="F10" i="38"/>
  <c r="G10" i="38"/>
  <c r="I10" i="38"/>
  <c r="J10" i="38"/>
  <c r="C18" i="38"/>
  <c r="G18" i="38"/>
  <c r="I18" i="38"/>
  <c r="J18" i="38"/>
  <c r="K18" i="38"/>
  <c r="L18" i="38"/>
  <c r="C19" i="38"/>
  <c r="G19" i="38"/>
  <c r="I19" i="38"/>
  <c r="J19" i="38"/>
  <c r="K19" i="38"/>
  <c r="L19" i="38"/>
  <c r="C20" i="38"/>
  <c r="G20" i="38"/>
  <c r="I20" i="38"/>
  <c r="J20" i="38"/>
  <c r="K20" i="38"/>
  <c r="L20" i="38"/>
  <c r="C21" i="38"/>
  <c r="G21" i="38"/>
  <c r="I21" i="38"/>
  <c r="J21" i="38"/>
  <c r="K21" i="38"/>
  <c r="L21" i="38"/>
  <c r="N21" i="38"/>
  <c r="C8" i="37"/>
  <c r="D8" i="37"/>
  <c r="E8" i="37"/>
  <c r="F8" i="37"/>
  <c r="G8" i="37"/>
  <c r="I8" i="37"/>
  <c r="J8" i="37"/>
  <c r="N8" i="37"/>
  <c r="C9" i="37"/>
  <c r="D9" i="37"/>
  <c r="E9" i="37"/>
  <c r="F9" i="37"/>
  <c r="G9" i="37"/>
  <c r="I9" i="37"/>
  <c r="J9" i="37"/>
  <c r="C13" i="37"/>
  <c r="I13" i="37"/>
  <c r="J13" i="37"/>
  <c r="K13" i="37"/>
  <c r="L13" i="37"/>
  <c r="C15" i="37"/>
  <c r="G15" i="37"/>
  <c r="I15" i="37"/>
  <c r="J15" i="37"/>
  <c r="K15" i="37"/>
  <c r="L15" i="37"/>
  <c r="C16" i="37"/>
  <c r="G16" i="37"/>
  <c r="I16" i="37"/>
  <c r="J16" i="37"/>
  <c r="K16" i="37"/>
  <c r="L16" i="37"/>
  <c r="C17" i="37"/>
  <c r="G17" i="37"/>
  <c r="I17" i="37"/>
  <c r="J17" i="37"/>
  <c r="K17" i="37"/>
  <c r="L17" i="37"/>
  <c r="C18" i="37"/>
  <c r="G18" i="37"/>
  <c r="I18" i="37"/>
  <c r="J18" i="37"/>
  <c r="K18" i="37"/>
  <c r="L18" i="37"/>
  <c r="C21" i="37"/>
  <c r="G21" i="37"/>
  <c r="I21" i="37"/>
  <c r="J21" i="37"/>
  <c r="K21" i="37"/>
  <c r="L21" i="37"/>
  <c r="N21" i="37"/>
  <c r="C8" i="35"/>
  <c r="D8" i="35"/>
  <c r="E8" i="35"/>
  <c r="F8" i="35"/>
  <c r="G8" i="35"/>
  <c r="I8" i="35"/>
  <c r="J8" i="35"/>
  <c r="N8" i="35"/>
  <c r="D9" i="35"/>
  <c r="E9" i="35"/>
  <c r="F9" i="35"/>
  <c r="G9" i="35"/>
  <c r="I9" i="35"/>
  <c r="J9" i="35"/>
  <c r="C10" i="35"/>
  <c r="D10" i="35"/>
  <c r="E10" i="35"/>
  <c r="F10" i="35"/>
  <c r="G10" i="35"/>
  <c r="I10" i="35"/>
  <c r="J10" i="35"/>
  <c r="C16" i="35"/>
  <c r="G16" i="35"/>
  <c r="I16" i="35"/>
  <c r="J16" i="35"/>
  <c r="K16" i="35"/>
  <c r="L16" i="35"/>
  <c r="C17" i="35"/>
  <c r="G17" i="35"/>
  <c r="I17" i="35"/>
  <c r="J17" i="35"/>
  <c r="K17" i="35"/>
  <c r="L17" i="35"/>
  <c r="C18" i="35"/>
  <c r="G18" i="35"/>
  <c r="I18" i="35"/>
  <c r="J18" i="35"/>
  <c r="K18" i="35"/>
  <c r="L18" i="35"/>
  <c r="C19" i="35"/>
  <c r="G19" i="35"/>
  <c r="I19" i="35"/>
  <c r="J19" i="35"/>
  <c r="K19" i="35"/>
  <c r="L19" i="35"/>
  <c r="C20" i="35"/>
  <c r="G20" i="35"/>
  <c r="I20" i="35"/>
  <c r="J20" i="35"/>
  <c r="K20" i="35"/>
  <c r="L20" i="35"/>
  <c r="N20" i="35"/>
  <c r="C21" i="35"/>
  <c r="G21" i="35"/>
  <c r="I21" i="35"/>
  <c r="J21" i="35"/>
  <c r="K21" i="35"/>
  <c r="L21" i="35"/>
  <c r="C8" i="32"/>
  <c r="D8" i="32"/>
  <c r="E8" i="32"/>
  <c r="F8" i="32"/>
  <c r="G8" i="32"/>
  <c r="I8" i="32"/>
  <c r="J8" i="32"/>
  <c r="N8" i="32"/>
  <c r="D9" i="32"/>
  <c r="E9" i="32"/>
  <c r="F9" i="32"/>
  <c r="G9" i="32"/>
  <c r="I9" i="32"/>
  <c r="J9" i="32"/>
  <c r="C10" i="32"/>
  <c r="D10" i="32"/>
  <c r="E10" i="32"/>
  <c r="F10" i="32"/>
  <c r="G10" i="32"/>
  <c r="I10" i="32"/>
  <c r="J10" i="32"/>
  <c r="C16" i="32"/>
  <c r="G16" i="32"/>
  <c r="I16" i="32"/>
  <c r="J16" i="32"/>
  <c r="K16" i="32"/>
  <c r="L16" i="32"/>
  <c r="N16" i="32"/>
  <c r="C17" i="32"/>
  <c r="G17" i="32"/>
  <c r="I17" i="32"/>
  <c r="J17" i="32"/>
  <c r="K17" i="32"/>
  <c r="L17" i="32"/>
  <c r="N17" i="32"/>
  <c r="C18" i="32"/>
  <c r="G18" i="32"/>
  <c r="I18" i="32"/>
  <c r="J18" i="32"/>
  <c r="K18" i="32"/>
  <c r="L18" i="32"/>
  <c r="C19" i="32"/>
  <c r="G19" i="32"/>
  <c r="I19" i="32"/>
  <c r="J19" i="32"/>
  <c r="K19" i="32"/>
  <c r="L19" i="32"/>
  <c r="C20" i="32"/>
  <c r="G20" i="32"/>
  <c r="I20" i="32"/>
  <c r="J20" i="32"/>
  <c r="K20" i="32"/>
  <c r="L20" i="32"/>
  <c r="C8" i="34"/>
  <c r="D8" i="34"/>
  <c r="E8" i="34"/>
  <c r="F8" i="34"/>
  <c r="G8" i="34"/>
  <c r="I8" i="34"/>
  <c r="J8" i="34"/>
  <c r="N8" i="34"/>
  <c r="C9" i="34"/>
  <c r="D9" i="34"/>
  <c r="E9" i="34"/>
  <c r="F9" i="34"/>
  <c r="G9" i="34"/>
  <c r="I9" i="34"/>
  <c r="J9" i="34"/>
  <c r="C17" i="34"/>
  <c r="G17" i="34"/>
  <c r="I17" i="34"/>
  <c r="J17" i="34"/>
  <c r="K17" i="34"/>
  <c r="L17" i="34"/>
  <c r="N17" i="34"/>
  <c r="C18" i="34"/>
  <c r="G18" i="34"/>
  <c r="I18" i="34"/>
  <c r="J18" i="34"/>
  <c r="K18" i="34"/>
  <c r="L18" i="34"/>
  <c r="C19" i="34"/>
  <c r="G19" i="34"/>
  <c r="I19" i="34"/>
  <c r="J19" i="34"/>
  <c r="K19" i="34"/>
  <c r="L19" i="34"/>
  <c r="C23" i="34"/>
  <c r="G23" i="34"/>
  <c r="I23" i="34"/>
  <c r="J23" i="34"/>
  <c r="K23" i="34"/>
  <c r="L23" i="34"/>
  <c r="C24" i="34"/>
  <c r="G24" i="34"/>
  <c r="I24" i="34"/>
  <c r="J24" i="34"/>
  <c r="K24" i="34"/>
  <c r="L24" i="34"/>
  <c r="C8" i="30"/>
  <c r="D8" i="30"/>
  <c r="E8" i="30"/>
  <c r="F8" i="30"/>
  <c r="G8" i="30"/>
  <c r="I8" i="30"/>
  <c r="J8" i="30"/>
  <c r="N8" i="30"/>
  <c r="D9" i="30"/>
  <c r="E9" i="30"/>
  <c r="F9" i="30"/>
  <c r="G9" i="30"/>
  <c r="I9" i="30"/>
  <c r="J9" i="30"/>
  <c r="D10" i="30"/>
  <c r="E10" i="30"/>
  <c r="F10" i="30"/>
  <c r="G10" i="30"/>
  <c r="I10" i="30"/>
  <c r="J10" i="30"/>
  <c r="C11" i="30"/>
  <c r="D11" i="30"/>
  <c r="E11" i="30"/>
  <c r="F11" i="30"/>
  <c r="G11" i="30"/>
  <c r="I11" i="30"/>
  <c r="J11" i="30"/>
  <c r="N11" i="30"/>
  <c r="C15" i="30"/>
  <c r="G15" i="30"/>
  <c r="I15" i="30"/>
  <c r="J15" i="30"/>
  <c r="K15" i="30"/>
  <c r="L15" i="30"/>
  <c r="C16" i="30"/>
  <c r="G16" i="30"/>
  <c r="H16" i="30"/>
  <c r="I16" i="30"/>
  <c r="J16" i="30"/>
  <c r="K16" i="30"/>
  <c r="L16" i="30"/>
  <c r="C17" i="30"/>
  <c r="G17" i="30"/>
  <c r="I17" i="30"/>
  <c r="J17" i="30"/>
  <c r="K17" i="30"/>
  <c r="L17" i="30"/>
  <c r="C18" i="30"/>
  <c r="G18" i="30"/>
  <c r="I18" i="30"/>
  <c r="J18" i="30"/>
  <c r="K18" i="30"/>
  <c r="L18" i="30"/>
  <c r="C20" i="30"/>
  <c r="G20" i="30"/>
  <c r="I20" i="30"/>
  <c r="J20" i="30"/>
  <c r="K20" i="30"/>
  <c r="L20" i="30"/>
  <c r="N20" i="30"/>
  <c r="C21" i="30"/>
  <c r="G21" i="30"/>
  <c r="I21" i="30"/>
  <c r="J21" i="30"/>
  <c r="K21" i="30"/>
  <c r="L21" i="30"/>
  <c r="N21" i="30"/>
  <c r="C22" i="30"/>
  <c r="G22" i="30"/>
  <c r="I22" i="30"/>
  <c r="J22" i="30"/>
  <c r="K22" i="30"/>
  <c r="L22" i="30"/>
  <c r="C6" i="29"/>
  <c r="D6" i="29"/>
  <c r="E6" i="29"/>
  <c r="F6" i="29"/>
  <c r="G6" i="29"/>
  <c r="H6" i="29"/>
  <c r="I6" i="29"/>
  <c r="D7" i="29"/>
  <c r="E7" i="29"/>
  <c r="F7" i="29"/>
  <c r="G7" i="29"/>
  <c r="H7" i="29"/>
  <c r="I7" i="29"/>
  <c r="C8" i="29"/>
  <c r="D8" i="29"/>
  <c r="E8" i="29"/>
  <c r="F8" i="29"/>
  <c r="G8" i="29"/>
  <c r="H8" i="29"/>
  <c r="I8" i="29"/>
  <c r="C13" i="29"/>
  <c r="D13" i="29"/>
  <c r="E13" i="29"/>
  <c r="F13" i="29"/>
  <c r="G13" i="29"/>
  <c r="H13" i="29"/>
  <c r="I13" i="29"/>
  <c r="M13" i="29"/>
  <c r="C14" i="29"/>
  <c r="D14" i="29"/>
  <c r="E14" i="29"/>
  <c r="F14" i="29"/>
  <c r="G14" i="29"/>
  <c r="H14" i="29"/>
  <c r="I14" i="29"/>
  <c r="M14" i="29"/>
  <c r="C16" i="29"/>
  <c r="F16" i="29"/>
  <c r="G16" i="29"/>
  <c r="H16" i="29"/>
  <c r="I16" i="29"/>
  <c r="J16" i="29"/>
  <c r="K16" i="29"/>
  <c r="M16" i="29"/>
  <c r="C17" i="29"/>
  <c r="F17" i="29"/>
  <c r="G17" i="29"/>
  <c r="H17" i="29"/>
  <c r="I17" i="29"/>
  <c r="J17" i="29"/>
  <c r="K17" i="29"/>
  <c r="M17" i="29"/>
  <c r="C18" i="29"/>
  <c r="F18" i="29"/>
  <c r="G18" i="29"/>
  <c r="H18" i="29"/>
  <c r="I18" i="29"/>
  <c r="J18" i="29"/>
  <c r="K18" i="29"/>
  <c r="C22" i="29"/>
  <c r="F22" i="29"/>
  <c r="G22" i="29"/>
  <c r="H22" i="29"/>
  <c r="I22" i="29"/>
  <c r="J22" i="29"/>
  <c r="K22" i="29"/>
  <c r="C23" i="29"/>
  <c r="F23" i="29"/>
  <c r="G23" i="29"/>
  <c r="H23" i="29"/>
  <c r="I23" i="29"/>
  <c r="J23" i="29"/>
  <c r="K23" i="29"/>
  <c r="C8" i="28"/>
  <c r="D8" i="28"/>
  <c r="E8" i="28"/>
  <c r="F8" i="28"/>
  <c r="G8" i="28"/>
  <c r="I8" i="28"/>
  <c r="J8" i="28"/>
  <c r="N8" i="28"/>
  <c r="D9" i="28"/>
  <c r="E9" i="28"/>
  <c r="F9" i="28"/>
  <c r="G9" i="28"/>
  <c r="I9" i="28"/>
  <c r="J9" i="28"/>
  <c r="C10" i="28"/>
  <c r="D10" i="28"/>
  <c r="E10" i="28"/>
  <c r="F10" i="28"/>
  <c r="G10" i="28"/>
  <c r="I10" i="28"/>
  <c r="J10" i="28"/>
  <c r="C18" i="28"/>
  <c r="G18" i="28"/>
  <c r="I18" i="28"/>
  <c r="J18" i="28"/>
  <c r="K18" i="28"/>
  <c r="L18" i="28"/>
  <c r="C21" i="28"/>
  <c r="G21" i="28"/>
  <c r="I21" i="28"/>
  <c r="J21" i="28"/>
  <c r="K21" i="28"/>
  <c r="L21" i="28"/>
  <c r="C24" i="28"/>
  <c r="G24" i="28"/>
  <c r="I24" i="28"/>
  <c r="J24" i="28"/>
  <c r="K24" i="28"/>
  <c r="L24" i="28"/>
  <c r="N24" i="28"/>
  <c r="C25" i="28"/>
  <c r="G25" i="28"/>
  <c r="I25" i="28"/>
  <c r="J25" i="28"/>
  <c r="K25" i="28"/>
  <c r="L25" i="28"/>
  <c r="C9" i="27"/>
  <c r="D9" i="27"/>
  <c r="E9" i="27"/>
  <c r="F9" i="27"/>
  <c r="G9" i="27"/>
  <c r="I9" i="27"/>
  <c r="J9" i="27"/>
  <c r="D10" i="27"/>
  <c r="E10" i="27"/>
  <c r="F10" i="27"/>
  <c r="G10" i="27"/>
  <c r="I10" i="27"/>
  <c r="J10" i="27"/>
  <c r="C11" i="27"/>
  <c r="D11" i="27"/>
  <c r="E11" i="27"/>
  <c r="F11" i="27"/>
  <c r="G11" i="27"/>
  <c r="I11" i="27"/>
  <c r="J11" i="27"/>
  <c r="C19" i="27"/>
  <c r="G19" i="27"/>
  <c r="I19" i="27"/>
  <c r="J19" i="27"/>
  <c r="K19" i="27"/>
  <c r="L19" i="27"/>
  <c r="H20" i="27"/>
  <c r="C21" i="27"/>
  <c r="G21" i="27"/>
  <c r="I21" i="27"/>
  <c r="J21" i="27"/>
  <c r="K21" i="27"/>
  <c r="L21" i="27"/>
  <c r="C22" i="27"/>
  <c r="I22" i="27"/>
  <c r="J22" i="27"/>
  <c r="K22" i="27"/>
  <c r="L22" i="27"/>
  <c r="C23" i="27"/>
  <c r="G23" i="27"/>
  <c r="I23" i="27"/>
  <c r="J23" i="27"/>
  <c r="K23" i="27"/>
  <c r="L23" i="27"/>
  <c r="C26" i="27"/>
  <c r="G26" i="27"/>
  <c r="I26" i="27"/>
  <c r="J26" i="27"/>
  <c r="K26" i="27"/>
  <c r="L26" i="27"/>
  <c r="C27" i="27"/>
  <c r="G27" i="27"/>
  <c r="I27" i="27"/>
  <c r="J27" i="27"/>
  <c r="K27" i="27"/>
  <c r="L27" i="27"/>
  <c r="C9" i="26"/>
  <c r="D9" i="26"/>
  <c r="E9" i="26"/>
  <c r="F9" i="26"/>
  <c r="G9" i="26"/>
  <c r="I9" i="26"/>
  <c r="J9" i="26"/>
  <c r="D10" i="26"/>
  <c r="E10" i="26"/>
  <c r="F10" i="26"/>
  <c r="G10" i="26"/>
  <c r="I10" i="26"/>
  <c r="J10" i="26"/>
  <c r="C11" i="26"/>
  <c r="D11" i="26"/>
  <c r="E11" i="26"/>
  <c r="F11" i="26"/>
  <c r="G11" i="26"/>
  <c r="I11" i="26"/>
  <c r="J11" i="26"/>
  <c r="C17" i="26"/>
  <c r="G17" i="26"/>
  <c r="I17" i="26"/>
  <c r="J17" i="26"/>
  <c r="K17" i="26"/>
  <c r="L17" i="26"/>
  <c r="H18" i="26"/>
  <c r="C19" i="26"/>
  <c r="G19" i="26"/>
  <c r="I19" i="26"/>
  <c r="J19" i="26"/>
  <c r="K19" i="26"/>
  <c r="L19" i="26"/>
  <c r="C20" i="26"/>
  <c r="G20" i="26"/>
  <c r="I20" i="26"/>
  <c r="J20" i="26"/>
  <c r="K20" i="26"/>
  <c r="L20" i="26"/>
  <c r="C23" i="26"/>
  <c r="G23" i="26"/>
  <c r="I23" i="26"/>
  <c r="J23" i="26"/>
  <c r="K23" i="26"/>
  <c r="L23" i="26"/>
  <c r="N23" i="26"/>
  <c r="C24" i="26"/>
  <c r="G24" i="26"/>
  <c r="I24" i="26"/>
  <c r="J24" i="26"/>
  <c r="K24" i="26"/>
  <c r="L24" i="26"/>
  <c r="N24" i="26"/>
  <c r="C9" i="25"/>
  <c r="D9" i="25"/>
  <c r="E9" i="25"/>
  <c r="F9" i="25"/>
  <c r="G9" i="25"/>
  <c r="I9" i="25"/>
  <c r="J9" i="25"/>
  <c r="N9" i="25"/>
  <c r="C10" i="25"/>
  <c r="D10" i="25"/>
  <c r="E10" i="25"/>
  <c r="F10" i="25"/>
  <c r="G10" i="25"/>
  <c r="I10" i="25"/>
  <c r="J10" i="25"/>
  <c r="C18" i="25"/>
  <c r="G18" i="25"/>
  <c r="I18" i="25"/>
  <c r="J18" i="25"/>
  <c r="K18" i="25"/>
  <c r="L18" i="25"/>
  <c r="C19" i="25"/>
  <c r="G19" i="25"/>
  <c r="H19" i="25"/>
  <c r="I19" i="25"/>
  <c r="J19" i="25"/>
  <c r="K19" i="25"/>
  <c r="L19" i="25"/>
  <c r="N19" i="25"/>
  <c r="C20" i="25"/>
  <c r="G20" i="25"/>
  <c r="I20" i="25"/>
  <c r="J20" i="25"/>
  <c r="K20" i="25"/>
  <c r="L20" i="25"/>
  <c r="C21" i="25"/>
  <c r="G21" i="25"/>
  <c r="I21" i="25"/>
  <c r="J21" i="25"/>
  <c r="K21" i="25"/>
  <c r="L21" i="25"/>
  <c r="C24" i="25"/>
  <c r="G24" i="25"/>
  <c r="I24" i="25"/>
  <c r="J24" i="25"/>
  <c r="K24" i="25"/>
  <c r="L24" i="25"/>
  <c r="N24" i="25"/>
  <c r="C25" i="25"/>
  <c r="G25" i="25"/>
  <c r="I25" i="25"/>
  <c r="J25" i="25"/>
  <c r="K25" i="25"/>
  <c r="L25" i="25"/>
  <c r="C9" i="24"/>
  <c r="D9" i="24"/>
  <c r="E9" i="24"/>
  <c r="F9" i="24"/>
  <c r="G9" i="24"/>
  <c r="I9" i="24"/>
  <c r="J9" i="24"/>
  <c r="N9" i="24"/>
  <c r="C10" i="24"/>
  <c r="D10" i="24"/>
  <c r="E10" i="24"/>
  <c r="F10" i="24"/>
  <c r="G10" i="24"/>
  <c r="I10" i="24"/>
  <c r="J10" i="24"/>
  <c r="D11" i="24"/>
  <c r="E11" i="24"/>
  <c r="F11" i="24"/>
  <c r="G11" i="24"/>
  <c r="I11" i="24"/>
  <c r="J11" i="24"/>
  <c r="H20" i="24"/>
  <c r="C21" i="24"/>
  <c r="G21" i="24"/>
  <c r="I21" i="24"/>
  <c r="J21" i="24"/>
  <c r="K21" i="24"/>
  <c r="L21" i="24"/>
  <c r="C22" i="24"/>
  <c r="G22" i="24"/>
  <c r="I22" i="24"/>
  <c r="J22" i="24"/>
  <c r="K22" i="24"/>
  <c r="L22" i="24"/>
  <c r="C25" i="24"/>
  <c r="G25" i="24"/>
  <c r="I25" i="24"/>
  <c r="J25" i="24"/>
  <c r="K25" i="24"/>
  <c r="L25" i="24"/>
  <c r="N25" i="24"/>
  <c r="C26" i="24"/>
  <c r="G26" i="24"/>
  <c r="I26" i="24"/>
  <c r="J26" i="24"/>
  <c r="K26" i="24"/>
  <c r="L26" i="24"/>
  <c r="C9" i="23"/>
  <c r="D9" i="23"/>
  <c r="E9" i="23"/>
  <c r="F9" i="23"/>
  <c r="G9" i="23"/>
  <c r="I9" i="23"/>
  <c r="J9" i="23"/>
  <c r="N9" i="23"/>
  <c r="C10" i="23"/>
  <c r="D10" i="23"/>
  <c r="E10" i="23"/>
  <c r="F10" i="23"/>
  <c r="G10" i="23"/>
  <c r="I10" i="23"/>
  <c r="J10" i="23"/>
  <c r="C18" i="23"/>
  <c r="G18" i="23"/>
  <c r="I18" i="23"/>
  <c r="J18" i="23"/>
  <c r="K18" i="23"/>
  <c r="L18" i="23"/>
  <c r="C19" i="23"/>
  <c r="G19" i="23"/>
  <c r="I19" i="23"/>
  <c r="J19" i="23"/>
  <c r="K19" i="23"/>
  <c r="L19" i="23"/>
  <c r="C22" i="23"/>
  <c r="G22" i="23"/>
  <c r="I22" i="23"/>
  <c r="J22" i="23"/>
  <c r="K22" i="23"/>
  <c r="L22" i="23"/>
  <c r="C23" i="23"/>
  <c r="G23" i="23"/>
  <c r="I23" i="23"/>
  <c r="J23" i="23"/>
  <c r="K23" i="23"/>
  <c r="L23" i="23"/>
  <c r="C6" i="22"/>
  <c r="D6" i="22"/>
  <c r="E6" i="22"/>
  <c r="F6" i="22"/>
  <c r="G6" i="22"/>
  <c r="J6" i="22"/>
  <c r="C7" i="22"/>
  <c r="D7" i="22"/>
  <c r="E7" i="22"/>
  <c r="F7" i="22"/>
  <c r="G7" i="22"/>
  <c r="I7" i="22"/>
  <c r="J7" i="22"/>
  <c r="N7" i="22"/>
  <c r="C8" i="22"/>
  <c r="D8" i="22"/>
  <c r="E8" i="22"/>
  <c r="F8" i="22"/>
  <c r="G8" i="22"/>
  <c r="I8" i="22"/>
  <c r="J8" i="22"/>
  <c r="C16" i="22"/>
  <c r="G16" i="22"/>
  <c r="I16" i="22"/>
  <c r="J16" i="22"/>
  <c r="K16" i="22"/>
  <c r="L16" i="22"/>
  <c r="C17" i="22"/>
  <c r="G17" i="22"/>
  <c r="H17" i="22"/>
  <c r="I17" i="22"/>
  <c r="J17" i="22"/>
  <c r="K17" i="22"/>
  <c r="L17" i="22"/>
  <c r="C18" i="22"/>
  <c r="C20" i="22"/>
  <c r="G20" i="22"/>
  <c r="I20" i="22"/>
  <c r="J20" i="22"/>
  <c r="K20" i="22"/>
  <c r="L20" i="22"/>
  <c r="N20" i="22"/>
  <c r="C21" i="22"/>
  <c r="G21" i="22"/>
  <c r="I21" i="22"/>
  <c r="J21" i="22"/>
  <c r="K21" i="22"/>
  <c r="L21" i="22"/>
  <c r="N21" i="22"/>
  <c r="Q118" i="2827"/>
  <c r="Q37" i="2722"/>
  <c r="N97" i="2840"/>
  <c r="L97" i="2840"/>
  <c r="L94" i="2835"/>
  <c r="N94" i="2835"/>
  <c r="O118" i="2848"/>
  <c r="N95" i="2835"/>
  <c r="L95" i="2835"/>
  <c r="L97" i="2846"/>
  <c r="N93" i="2843"/>
  <c r="N89" i="2848"/>
  <c r="L93" i="2850"/>
  <c r="N93" i="2850"/>
  <c r="N95" i="2851"/>
  <c r="L60" i="2839"/>
  <c r="L59" i="2839"/>
  <c r="Q27" i="2085"/>
  <c r="P32" i="2085"/>
  <c r="L82" i="2840"/>
  <c r="N19" i="2716"/>
  <c r="L88" i="2827" s="1"/>
  <c r="N92" i="2843"/>
  <c r="Q40" i="2085"/>
  <c r="Q50" i="2720"/>
  <c r="P50" i="2720"/>
  <c r="K18" i="2844"/>
  <c r="P47" i="2721"/>
  <c r="P45" i="2721"/>
  <c r="K15" i="2843"/>
  <c r="Q49" i="2723"/>
  <c r="N96" i="2834"/>
  <c r="L96" i="2834"/>
  <c r="L93" i="2844"/>
  <c r="N93" i="2844"/>
  <c r="N95" i="2831"/>
  <c r="L80" i="2832"/>
  <c r="L97" i="2833"/>
  <c r="L96" i="2843"/>
  <c r="N97" i="2833"/>
  <c r="L95" i="2843"/>
  <c r="N97" i="2831"/>
  <c r="N91" i="2843"/>
  <c r="L91" i="2843"/>
  <c r="N92" i="2847"/>
  <c r="L94" i="2831"/>
  <c r="N92" i="2850"/>
  <c r="L92" i="2850"/>
  <c r="N21" i="2716"/>
  <c r="L86" i="2829" s="1"/>
  <c r="N22" i="2716"/>
  <c r="N42" i="2716"/>
  <c r="L83" i="2833"/>
  <c r="D39" i="325"/>
  <c r="L71" i="2835"/>
  <c r="L69" i="2844"/>
  <c r="D31" i="325"/>
  <c r="G60" i="2829"/>
  <c r="L51" i="2843"/>
  <c r="L51" i="2826"/>
  <c r="P36" i="2085"/>
  <c r="Q60" i="2085"/>
  <c r="P52" i="2085"/>
  <c r="P37" i="2085"/>
  <c r="K24" i="2837"/>
  <c r="Q29" i="2085"/>
  <c r="Q38" i="2085"/>
  <c r="Q39" i="2085"/>
  <c r="P40" i="2085"/>
  <c r="P9" i="2720"/>
  <c r="K18" i="2828"/>
  <c r="Q9" i="2720"/>
  <c r="Q15" i="2720"/>
  <c r="P36" i="2720"/>
  <c r="P38" i="2720"/>
  <c r="K19" i="2838"/>
  <c r="Q38" i="2720"/>
  <c r="Q63" i="2720"/>
  <c r="Q31" i="2720"/>
  <c r="Q33" i="2720"/>
  <c r="P45" i="2720"/>
  <c r="K19" i="2841"/>
  <c r="P48" i="2720"/>
  <c r="K18" i="2843"/>
  <c r="Q48" i="2720"/>
  <c r="P25" i="2720"/>
  <c r="K17" i="2835"/>
  <c r="Q25" i="2720"/>
  <c r="P60" i="2720"/>
  <c r="Q8" i="2720"/>
  <c r="Q26" i="2720"/>
  <c r="Q34" i="2720"/>
  <c r="Q62" i="2720"/>
  <c r="P47" i="2720"/>
  <c r="K18" i="2842"/>
  <c r="Q14" i="2720"/>
  <c r="Q6" i="2720"/>
  <c r="P78" i="2720"/>
  <c r="P5" i="2721"/>
  <c r="K16" i="2826"/>
  <c r="Q10" i="2721"/>
  <c r="Q65" i="2721"/>
  <c r="Q60" i="2721"/>
  <c r="P59" i="2721"/>
  <c r="Q51" i="2721"/>
  <c r="P50" i="2721"/>
  <c r="K16" i="2845"/>
  <c r="Q42" i="2721"/>
  <c r="Q53" i="2721"/>
  <c r="P48" i="2721"/>
  <c r="K16" i="2844"/>
  <c r="P34" i="2721"/>
  <c r="P29" i="2721"/>
  <c r="Q26" i="2721"/>
  <c r="P12" i="2721"/>
  <c r="Q54" i="2723"/>
  <c r="Q31" i="2723"/>
  <c r="Q38" i="2723"/>
  <c r="P17" i="2723"/>
  <c r="K11" i="2831"/>
  <c r="Q25" i="2723"/>
  <c r="Q13" i="2723"/>
  <c r="Q14" i="2724"/>
  <c r="P17" i="2724"/>
  <c r="Q27" i="2724"/>
  <c r="Q32" i="2724"/>
  <c r="P20" i="2724"/>
  <c r="K9" i="2834"/>
  <c r="P38" i="2724"/>
  <c r="K9" i="2839"/>
  <c r="Q6" i="2724"/>
  <c r="P4" i="2724"/>
  <c r="K9" i="2826"/>
  <c r="Q12" i="2724"/>
  <c r="P61" i="2724"/>
  <c r="P57" i="2724"/>
  <c r="P52" i="2724"/>
  <c r="K11" i="2844"/>
  <c r="Q33" i="2724"/>
  <c r="P54" i="2724"/>
  <c r="K10" i="2845"/>
  <c r="Q39" i="2724"/>
  <c r="Q38" i="2725"/>
  <c r="P38" i="2725"/>
  <c r="P31" i="2725"/>
  <c r="Q15" i="2725"/>
  <c r="P36" i="2725"/>
  <c r="P40" i="2725"/>
  <c r="P14" i="2725"/>
  <c r="K7" i="2831"/>
  <c r="Q31" i="2725"/>
  <c r="Q39" i="2725"/>
  <c r="Q59" i="2725"/>
  <c r="G81" i="2827"/>
  <c r="Q14" i="2721"/>
  <c r="P14" i="2724"/>
  <c r="L96" i="2827"/>
  <c r="N96" i="2827"/>
  <c r="P6" i="2725"/>
  <c r="Q23" i="2724"/>
  <c r="Z4" i="2722"/>
  <c r="P26" i="2724"/>
  <c r="P28" i="2723"/>
  <c r="K12" i="2835"/>
  <c r="L73" i="2826"/>
  <c r="L74" i="2826"/>
  <c r="P66" i="2724"/>
  <c r="K9" i="2849"/>
  <c r="F43" i="4"/>
  <c r="G43" i="4"/>
  <c r="G16" i="4"/>
  <c r="F16" i="4"/>
  <c r="G72" i="2833"/>
  <c r="M72" i="2833"/>
  <c r="F37" i="4"/>
  <c r="G37" i="4"/>
  <c r="F48" i="4"/>
  <c r="G48" i="4"/>
  <c r="F36" i="4"/>
  <c r="G36" i="4"/>
  <c r="G26" i="4"/>
  <c r="F26" i="4"/>
  <c r="G18" i="4"/>
  <c r="F18" i="4"/>
  <c r="Q9" i="2719"/>
  <c r="P73" i="2719"/>
  <c r="F47" i="4"/>
  <c r="G47" i="4"/>
  <c r="G17" i="4"/>
  <c r="F17" i="4"/>
  <c r="G31" i="4"/>
  <c r="F30" i="4"/>
  <c r="G27" i="4"/>
  <c r="F25" i="4"/>
  <c r="G22" i="4"/>
  <c r="F15" i="4"/>
  <c r="G9" i="4"/>
  <c r="G8" i="4"/>
  <c r="G4" i="4"/>
  <c r="F3" i="4"/>
  <c r="H68" i="2722"/>
  <c r="D15" i="325"/>
  <c r="P14" i="2721"/>
  <c r="P10" i="2723"/>
  <c r="K12" i="2828"/>
  <c r="L53" i="2850"/>
  <c r="D29" i="325"/>
  <c r="Q44" i="2723"/>
  <c r="P41" i="2723"/>
  <c r="P40" i="2723"/>
  <c r="P34" i="2723"/>
  <c r="K15" i="2836"/>
  <c r="Q7" i="2723"/>
  <c r="Q52" i="2723"/>
  <c r="Q57" i="2723"/>
  <c r="P26" i="2723"/>
  <c r="K12" i="2834"/>
  <c r="Q43" i="2723"/>
  <c r="P58" i="2723"/>
  <c r="Q28" i="2723"/>
  <c r="P36" i="2723"/>
  <c r="Q58" i="2723"/>
  <c r="Q41" i="2723"/>
  <c r="Q40" i="2723"/>
  <c r="P7" i="2723"/>
  <c r="P5" i="2725"/>
  <c r="Q19" i="2720"/>
  <c r="Q16" i="2720"/>
  <c r="P17" i="2722"/>
  <c r="K68" i="2722"/>
  <c r="E15" i="325"/>
  <c r="Q16" i="2724"/>
  <c r="Q15" i="2724"/>
  <c r="Q6" i="2725"/>
  <c r="Q10" i="2725"/>
  <c r="P9" i="2725"/>
  <c r="K8" i="2828"/>
  <c r="Q8" i="2725"/>
  <c r="Q17" i="2725"/>
  <c r="Q42" i="2720"/>
  <c r="P44" i="2721"/>
  <c r="K16" i="2842"/>
  <c r="P49" i="2725"/>
  <c r="G53" i="2838"/>
  <c r="L53" i="2827"/>
  <c r="L72" i="2840"/>
  <c r="G53" i="2826"/>
  <c r="M53" i="2826"/>
  <c r="L67" i="2826"/>
  <c r="L54" i="2829"/>
  <c r="M75" i="2838"/>
  <c r="G85" i="2838"/>
  <c r="L89" i="2837"/>
  <c r="L82" i="2847"/>
  <c r="L80" i="2826"/>
  <c r="L79" i="2850"/>
  <c r="G77" i="2833"/>
  <c r="G76" i="2831"/>
  <c r="M73" i="2840"/>
  <c r="G73" i="2840"/>
  <c r="L66" i="2826"/>
  <c r="L71" i="2837"/>
  <c r="M68" i="2838"/>
  <c r="E33" i="325"/>
  <c r="L63" i="2826"/>
  <c r="L50" i="2850"/>
  <c r="L53" i="2849"/>
  <c r="L49" i="2849"/>
  <c r="Q59" i="2085"/>
  <c r="Q57" i="2085"/>
  <c r="Q55" i="2085"/>
  <c r="P66" i="2085"/>
  <c r="K19" i="2849"/>
  <c r="Q73" i="2085"/>
  <c r="Q18" i="2085"/>
  <c r="Q25" i="2085"/>
  <c r="L84" i="2720"/>
  <c r="Q30" i="2720"/>
  <c r="P30" i="2720"/>
  <c r="Q43" i="2720"/>
  <c r="Q18" i="2720"/>
  <c r="P43" i="2720"/>
  <c r="K19" i="2840"/>
  <c r="Q41" i="2720"/>
  <c r="Q10" i="2720"/>
  <c r="Q13" i="2720"/>
  <c r="Q21" i="2720"/>
  <c r="Q28" i="2720"/>
  <c r="P28" i="2720"/>
  <c r="Q36" i="2720"/>
  <c r="Q4" i="2720"/>
  <c r="P4" i="2720"/>
  <c r="K17" i="2826"/>
  <c r="P40" i="2720"/>
  <c r="P17" i="2720"/>
  <c r="K21" i="2831"/>
  <c r="P8" i="2720"/>
  <c r="K17" i="2828"/>
  <c r="P22" i="2720"/>
  <c r="K19" i="2833"/>
  <c r="Q67" i="2720"/>
  <c r="Q57" i="2720"/>
  <c r="Q55" i="2720"/>
  <c r="Q59" i="2720"/>
  <c r="Q77" i="2720"/>
  <c r="P69" i="2720"/>
  <c r="Q24" i="2721"/>
  <c r="Q54" i="2721"/>
  <c r="P37" i="2721"/>
  <c r="K17" i="2839"/>
  <c r="Q22" i="2721"/>
  <c r="P6" i="2721"/>
  <c r="K16" i="2827"/>
  <c r="Q35" i="2721"/>
  <c r="P15" i="2721"/>
  <c r="Q37" i="2721"/>
  <c r="Q6" i="2721"/>
  <c r="P35" i="2721"/>
  <c r="Q33" i="2721"/>
  <c r="P22" i="2721"/>
  <c r="Q19" i="2721"/>
  <c r="Q4" i="2721"/>
  <c r="L72" i="2721"/>
  <c r="P19" i="2721"/>
  <c r="Z6" i="2721"/>
  <c r="Q36" i="2723"/>
  <c r="Q61" i="2723"/>
  <c r="P5" i="2723"/>
  <c r="K12" i="2826"/>
  <c r="Q56" i="2723"/>
  <c r="P29" i="2723"/>
  <c r="P16" i="2723"/>
  <c r="P60" i="2723"/>
  <c r="Q21" i="2723"/>
  <c r="D27" i="325"/>
  <c r="L53" i="2838"/>
  <c r="G53" i="2849"/>
  <c r="D28" i="325"/>
  <c r="C29" i="325"/>
  <c r="G51" i="2833"/>
  <c r="G52" i="2833"/>
  <c r="G66" i="2831"/>
  <c r="L62" i="2835"/>
  <c r="D30" i="325"/>
  <c r="L56" i="2837"/>
  <c r="L52" i="2847"/>
  <c r="L52" i="2838"/>
  <c r="L51" i="2834"/>
  <c r="G49" i="2846"/>
  <c r="Q35" i="2725"/>
  <c r="P53" i="2725"/>
  <c r="P56" i="2725"/>
  <c r="Q56" i="2725"/>
  <c r="Q45" i="2725"/>
  <c r="P50" i="2725"/>
  <c r="P17" i="2725"/>
  <c r="K8" i="2832"/>
  <c r="P39" i="2725"/>
  <c r="Q41" i="2725"/>
  <c r="P41" i="2725"/>
  <c r="Q46" i="2725"/>
  <c r="Q53" i="2725"/>
  <c r="P35" i="2725"/>
  <c r="P22" i="2725"/>
  <c r="P7" i="2725"/>
  <c r="K74" i="2725"/>
  <c r="Q9" i="2725"/>
  <c r="P11" i="2725"/>
  <c r="K8" i="2829"/>
  <c r="Q24" i="2725"/>
  <c r="Q26" i="2725"/>
  <c r="P26" i="2725"/>
  <c r="Q51" i="2725"/>
  <c r="P51" i="2725"/>
  <c r="Q50" i="2725"/>
  <c r="Q12" i="2725"/>
  <c r="P66" i="2725"/>
  <c r="Q16" i="2725"/>
  <c r="P16" i="2725"/>
  <c r="K7" i="2832"/>
  <c r="P24" i="2725"/>
  <c r="Q47" i="2725"/>
  <c r="P62" i="2725"/>
  <c r="Q62" i="2725"/>
  <c r="Q70" i="2725"/>
  <c r="C38" i="325"/>
  <c r="Q48" i="2085"/>
  <c r="H84" i="2720"/>
  <c r="D17" i="325"/>
  <c r="P56" i="2720"/>
  <c r="Z8" i="2720"/>
  <c r="Q54" i="2720"/>
  <c r="Q45" i="2723"/>
  <c r="Q48" i="2724"/>
  <c r="Q53" i="2724"/>
  <c r="K80" i="2724"/>
  <c r="N92" i="2848"/>
  <c r="N17" i="2826"/>
  <c r="N19" i="2826"/>
  <c r="N18" i="2826"/>
  <c r="N94" i="2828"/>
  <c r="M65" i="2828"/>
  <c r="N18" i="2828"/>
  <c r="N16" i="2828"/>
  <c r="N17" i="2828"/>
  <c r="N8" i="2828"/>
  <c r="N7" i="2828"/>
  <c r="N18" i="2829"/>
  <c r="N16" i="2829"/>
  <c r="N19" i="2829"/>
  <c r="AA8" i="2720"/>
  <c r="K84" i="2720"/>
  <c r="E17" i="325"/>
  <c r="I84" i="2720"/>
  <c r="Z9" i="2720"/>
  <c r="Q11" i="2721"/>
  <c r="N8" i="2829"/>
  <c r="Q12" i="2723"/>
  <c r="Q11" i="2723"/>
  <c r="N13" i="2830"/>
  <c r="N18" i="2830"/>
  <c r="N8" i="2830"/>
  <c r="S115" i="2830"/>
  <c r="S116" i="2830"/>
  <c r="N7" i="2830"/>
  <c r="K66" i="2830"/>
  <c r="K85" i="2830"/>
  <c r="M55" i="2827"/>
  <c r="G55" i="2827"/>
  <c r="J53" i="2826"/>
  <c r="L55" i="2827"/>
  <c r="N55" i="2827"/>
  <c r="N52" i="2828"/>
  <c r="C28" i="325"/>
  <c r="N92" i="2831"/>
  <c r="N19" i="2831"/>
  <c r="N20" i="2831"/>
  <c r="N11" i="2831"/>
  <c r="N18" i="2831"/>
  <c r="N8" i="2831"/>
  <c r="N21" i="2831"/>
  <c r="N7" i="2831"/>
  <c r="M83" i="2832"/>
  <c r="M76" i="2831"/>
  <c r="K71" i="2826"/>
  <c r="L71" i="2826"/>
  <c r="K75" i="2827"/>
  <c r="M72" i="2828"/>
  <c r="N72" i="2828"/>
  <c r="J75" i="2831"/>
  <c r="N7" i="2832"/>
  <c r="N18" i="2832"/>
  <c r="N19" i="2832"/>
  <c r="N8" i="2832"/>
  <c r="N17" i="2832"/>
  <c r="G72" i="2826"/>
  <c r="M72" i="2826"/>
  <c r="N19" i="2833"/>
  <c r="N18" i="2833"/>
  <c r="N10" i="2833"/>
  <c r="N10" i="2829"/>
  <c r="N9" i="2826"/>
  <c r="N10" i="2827"/>
  <c r="N91" i="2834"/>
  <c r="L76" i="2833"/>
  <c r="J21" i="2834"/>
  <c r="N18" i="2834"/>
  <c r="N17" i="2834"/>
  <c r="N10" i="2834"/>
  <c r="N9" i="2834"/>
  <c r="M73" i="2832"/>
  <c r="K73" i="2832"/>
  <c r="G75" i="2831"/>
  <c r="L75" i="2827"/>
  <c r="G71" i="2835"/>
  <c r="M71" i="2835"/>
  <c r="N74" i="2832"/>
  <c r="L74" i="2834"/>
  <c r="J74" i="2834"/>
  <c r="J71" i="2835"/>
  <c r="N75" i="2834"/>
  <c r="L73" i="2828"/>
  <c r="J73" i="2829"/>
  <c r="J76" i="2831"/>
  <c r="M73" i="2829"/>
  <c r="N73" i="2829"/>
  <c r="L72" i="2835"/>
  <c r="J61" i="2826"/>
  <c r="N61" i="2834"/>
  <c r="L60" i="2835"/>
  <c r="J22" i="2829"/>
  <c r="N13" i="2836"/>
  <c r="N12" i="2836"/>
  <c r="N11" i="2836"/>
  <c r="N10" i="2836"/>
  <c r="N9" i="2836"/>
  <c r="G73" i="2829"/>
  <c r="N100" i="2837"/>
  <c r="Q20" i="2085"/>
  <c r="G23" i="2831"/>
  <c r="N23" i="2831"/>
  <c r="P6" i="2085"/>
  <c r="K21" i="2827"/>
  <c r="P13" i="2085"/>
  <c r="K20" i="2830"/>
  <c r="P27" i="2085"/>
  <c r="K19" i="2835"/>
  <c r="P20" i="2085"/>
  <c r="K22" i="2832"/>
  <c r="N21" i="2833"/>
  <c r="K20" i="2832"/>
  <c r="N22" i="2833"/>
  <c r="P15" i="2085"/>
  <c r="K21" i="2830"/>
  <c r="Q11" i="2085"/>
  <c r="P21" i="2085"/>
  <c r="K20" i="2833"/>
  <c r="P11" i="2085"/>
  <c r="K20" i="2829"/>
  <c r="Q23" i="2085"/>
  <c r="N22" i="2831"/>
  <c r="N20" i="2829"/>
  <c r="N20" i="2833"/>
  <c r="N20" i="2826"/>
  <c r="N22" i="2827"/>
  <c r="N20" i="2832"/>
  <c r="N20" i="2835"/>
  <c r="N20" i="2828"/>
  <c r="N20" i="2830"/>
  <c r="Q22" i="2085"/>
  <c r="Q13" i="2085"/>
  <c r="P8" i="2085"/>
  <c r="K23" i="2827"/>
  <c r="Q6" i="2085"/>
  <c r="P24" i="2085"/>
  <c r="K22" i="2833"/>
  <c r="G23" i="2827"/>
  <c r="N23" i="2827"/>
  <c r="N19" i="2828"/>
  <c r="G20" i="2834"/>
  <c r="N20" i="2834"/>
  <c r="N19" i="2835"/>
  <c r="J21" i="2830"/>
  <c r="N21" i="2830"/>
  <c r="J23" i="2832"/>
  <c r="G23" i="2833"/>
  <c r="N23" i="2833"/>
  <c r="Q5" i="2085"/>
  <c r="P28" i="2085"/>
  <c r="K20" i="2835"/>
  <c r="N16" i="2838"/>
  <c r="N10" i="2838"/>
  <c r="N9" i="2838"/>
  <c r="N96" i="2839"/>
  <c r="N22" i="2839"/>
  <c r="I23" i="2839"/>
  <c r="J23" i="2839"/>
  <c r="N21" i="2839"/>
  <c r="P42" i="2085"/>
  <c r="K22" i="2839"/>
  <c r="Q42" i="2085"/>
  <c r="N19" i="2839"/>
  <c r="N18" i="2839"/>
  <c r="N20" i="2839"/>
  <c r="N17" i="2839"/>
  <c r="N11" i="2839"/>
  <c r="N9" i="2839"/>
  <c r="N16" i="2839"/>
  <c r="N10" i="2839"/>
  <c r="G31" i="2839"/>
  <c r="I23" i="2841"/>
  <c r="J23" i="2841"/>
  <c r="N19" i="2841"/>
  <c r="N21" i="2841"/>
  <c r="N20" i="2841"/>
  <c r="N17" i="2841"/>
  <c r="N18" i="2841"/>
  <c r="N16" i="2841"/>
  <c r="N11" i="2841"/>
  <c r="N10" i="2841"/>
  <c r="S115" i="2841"/>
  <c r="S116" i="2841"/>
  <c r="K85" i="2841"/>
  <c r="N9" i="2841"/>
  <c r="G31" i="2841"/>
  <c r="K66" i="2841"/>
  <c r="N19" i="2842"/>
  <c r="N16" i="2842"/>
  <c r="N17" i="2842"/>
  <c r="N10" i="2842"/>
  <c r="N15" i="2842"/>
  <c r="N9" i="2842"/>
  <c r="G29" i="2842"/>
  <c r="K72" i="2721"/>
  <c r="E16" i="325"/>
  <c r="Q47" i="2721"/>
  <c r="N18" i="2843"/>
  <c r="N20" i="2843"/>
  <c r="N15" i="2843"/>
  <c r="N19" i="2843"/>
  <c r="J22" i="2843"/>
  <c r="G30" i="2843"/>
  <c r="N16" i="2843"/>
  <c r="N9" i="2843"/>
  <c r="I22" i="2843"/>
  <c r="N17" i="2843"/>
  <c r="N10" i="2843"/>
  <c r="N97" i="2844"/>
  <c r="G73" i="2826"/>
  <c r="M73" i="2826"/>
  <c r="N73" i="2826"/>
  <c r="G78" i="2836"/>
  <c r="L75" i="2829"/>
  <c r="K75" i="2829"/>
  <c r="D38" i="325"/>
  <c r="G75" i="2829"/>
  <c r="K77" i="2833"/>
  <c r="M81" i="2837"/>
  <c r="N81" i="2837"/>
  <c r="G78" i="2833"/>
  <c r="M78" i="2833"/>
  <c r="N77" i="2831"/>
  <c r="M77" i="2831"/>
  <c r="G77" i="2831"/>
  <c r="J73" i="2826"/>
  <c r="N78" i="2833"/>
  <c r="G76" i="2834"/>
  <c r="N20" i="2844"/>
  <c r="N18" i="2844"/>
  <c r="N19" i="2844"/>
  <c r="N16" i="2844"/>
  <c r="N17" i="2844"/>
  <c r="N9" i="2844"/>
  <c r="N10" i="2844"/>
  <c r="N11" i="2844"/>
  <c r="N11" i="2826"/>
  <c r="N11" i="2830"/>
  <c r="N11" i="2835"/>
  <c r="J25" i="2837"/>
  <c r="N14" i="2836"/>
  <c r="G12" i="2826"/>
  <c r="N12" i="2826"/>
  <c r="G12" i="2831"/>
  <c r="G32" i="2831"/>
  <c r="G11" i="2832"/>
  <c r="N11" i="2832"/>
  <c r="G11" i="2834"/>
  <c r="J21" i="2835"/>
  <c r="G15" i="2836"/>
  <c r="G12" i="2837"/>
  <c r="N14" i="2837"/>
  <c r="G11" i="2838"/>
  <c r="G31" i="2838"/>
  <c r="Z5" i="2723"/>
  <c r="P27" i="2723"/>
  <c r="K11" i="2835"/>
  <c r="Q27" i="2723"/>
  <c r="Q19" i="2723"/>
  <c r="P6" i="2723"/>
  <c r="K11" i="2827"/>
  <c r="Q20" i="2723"/>
  <c r="Q24" i="2723"/>
  <c r="P18" i="2723"/>
  <c r="K12" i="2831"/>
  <c r="P9" i="2723"/>
  <c r="K11" i="2828"/>
  <c r="P4" i="2723"/>
  <c r="K11" i="2826"/>
  <c r="G11" i="2829"/>
  <c r="N11" i="2829"/>
  <c r="G13" i="2833"/>
  <c r="N11" i="2827"/>
  <c r="G12" i="2832"/>
  <c r="N12" i="2832"/>
  <c r="G12" i="2834"/>
  <c r="N12" i="2834"/>
  <c r="P35" i="2723"/>
  <c r="K12" i="2837"/>
  <c r="P37" i="2723"/>
  <c r="K13" i="2837"/>
  <c r="P14" i="2723"/>
  <c r="K11" i="2830"/>
  <c r="N13" i="2829"/>
  <c r="N13" i="2831"/>
  <c r="N11" i="2828"/>
  <c r="G31" i="2844"/>
  <c r="J23" i="2844"/>
  <c r="I23" i="2844"/>
  <c r="M76" i="2834"/>
  <c r="G73" i="2835"/>
  <c r="M73" i="2835"/>
  <c r="G81" i="2837"/>
  <c r="G30" i="2829"/>
  <c r="G33" i="2837"/>
  <c r="N12" i="2837"/>
  <c r="N99" i="2845"/>
  <c r="G32" i="2845"/>
  <c r="J24" i="2845"/>
  <c r="I24" i="2845"/>
  <c r="N91" i="2846"/>
  <c r="G29" i="2846"/>
  <c r="J21" i="2846"/>
  <c r="I21" i="2846"/>
  <c r="L114" i="2843"/>
  <c r="L112" i="2830"/>
  <c r="L110" i="2842"/>
  <c r="L117" i="2846"/>
  <c r="L119" i="2845"/>
  <c r="L113" i="2847"/>
  <c r="L118" i="2827"/>
  <c r="L117" i="2844"/>
  <c r="L115" i="2832"/>
  <c r="L114" i="2835"/>
  <c r="G72" i="2847"/>
  <c r="L116" i="2831"/>
  <c r="F29" i="325"/>
  <c r="I22" i="2849"/>
  <c r="N21" i="2849"/>
  <c r="J22" i="2849"/>
  <c r="N19" i="2849"/>
  <c r="N20" i="2849"/>
  <c r="N11" i="2849"/>
  <c r="N10" i="2849"/>
  <c r="N12" i="2849"/>
  <c r="G30" i="2849"/>
  <c r="G29" i="2835"/>
  <c r="N11" i="2838"/>
  <c r="I25" i="2837"/>
  <c r="J21" i="2828"/>
  <c r="N11" i="2833"/>
  <c r="J21" i="2848"/>
  <c r="N9" i="2849"/>
  <c r="O121" i="2828"/>
  <c r="O118" i="2830"/>
  <c r="E51" i="325"/>
  <c r="L113" i="2849"/>
  <c r="N89" i="2850"/>
  <c r="O122" i="2838"/>
  <c r="O121" i="2831"/>
  <c r="O123" i="2836"/>
  <c r="O124" i="2827"/>
  <c r="O122" i="2831"/>
  <c r="O116" i="2842"/>
  <c r="O120" i="2835"/>
  <c r="O123" i="2844"/>
  <c r="O121" i="2838"/>
  <c r="O125" i="2834"/>
  <c r="O119" i="2847"/>
  <c r="O123" i="2833"/>
  <c r="O123" i="2846"/>
  <c r="O121" i="2840"/>
  <c r="O121" i="2832"/>
  <c r="O122" i="2839"/>
  <c r="O118" i="2841"/>
  <c r="O118" i="2826"/>
  <c r="O125" i="2850"/>
  <c r="O124" i="2851"/>
  <c r="O119" i="2849"/>
  <c r="O120" i="2843"/>
  <c r="O125" i="2845"/>
  <c r="O126" i="2837"/>
  <c r="O118" i="2829"/>
  <c r="O119" i="2843"/>
  <c r="O117" i="2830"/>
  <c r="O117" i="2848"/>
  <c r="O122" i="2836"/>
  <c r="O124" i="2845"/>
  <c r="O122" i="2833"/>
  <c r="D51" i="325"/>
  <c r="O124" i="2850"/>
  <c r="O122" i="2846"/>
  <c r="O118" i="2849"/>
  <c r="O123" i="2851"/>
  <c r="O117" i="2829"/>
  <c r="O120" i="2832"/>
  <c r="O117" i="2841"/>
  <c r="N94" i="2851"/>
  <c r="L116" i="2838"/>
  <c r="L117" i="2836"/>
  <c r="L116" i="2839"/>
  <c r="L115" i="2828"/>
  <c r="L120" i="2837"/>
  <c r="L112" i="2826"/>
  <c r="L117" i="2833"/>
  <c r="L77" i="2727"/>
  <c r="L119" i="2834"/>
  <c r="L115" i="2840"/>
  <c r="L112" i="2841"/>
  <c r="L112" i="2829"/>
  <c r="L112" i="2848"/>
  <c r="L119" i="2850"/>
  <c r="D49" i="325"/>
  <c r="N21" i="2851"/>
  <c r="J24" i="2851"/>
  <c r="I24" i="2851"/>
  <c r="N23" i="2851"/>
  <c r="C26" i="325"/>
  <c r="N18" i="2851"/>
  <c r="N22" i="2851"/>
  <c r="AA4" i="2085"/>
  <c r="I78" i="2085"/>
  <c r="H78" i="2085"/>
  <c r="D18" i="325"/>
  <c r="Q71" i="2085"/>
  <c r="N13" i="2851"/>
  <c r="N17" i="2851"/>
  <c r="AA6" i="2721"/>
  <c r="Q66" i="2721"/>
  <c r="Z8" i="2721"/>
  <c r="N14" i="2851"/>
  <c r="N12" i="2851"/>
  <c r="P70" i="2723"/>
  <c r="K14" i="2851"/>
  <c r="N11" i="2851"/>
  <c r="P72" i="2724"/>
  <c r="K11" i="2851"/>
  <c r="I80" i="2724"/>
  <c r="H80" i="2724"/>
  <c r="K78" i="2723"/>
  <c r="E14" i="325"/>
  <c r="Q68" i="2723"/>
  <c r="N10" i="2851"/>
  <c r="N9" i="2851"/>
  <c r="G32" i="2851"/>
  <c r="P70" i="2724"/>
  <c r="K9" i="2851"/>
  <c r="E13" i="325"/>
  <c r="D13" i="325"/>
  <c r="O118" i="2847"/>
  <c r="L111" i="2848"/>
  <c r="L115" i="2838"/>
  <c r="L111" i="2841"/>
  <c r="L116" i="2844"/>
  <c r="L116" i="2836"/>
  <c r="L112" i="2847"/>
  <c r="L109" i="2842"/>
  <c r="L76" i="2727"/>
  <c r="L114" i="2840"/>
  <c r="L115" i="2839"/>
  <c r="L116" i="2846"/>
  <c r="L118" i="2834"/>
  <c r="L113" i="2835"/>
  <c r="L111" i="2829"/>
  <c r="L117" i="2851"/>
  <c r="L118" i="2845"/>
  <c r="L111" i="2830"/>
  <c r="L111" i="2826"/>
  <c r="L113" i="2843"/>
  <c r="L118" i="2850"/>
  <c r="M81" i="2827"/>
  <c r="G81" i="2836"/>
  <c r="L81" i="2827"/>
  <c r="G81" i="2851"/>
  <c r="K81" i="2827"/>
  <c r="G78" i="2829"/>
  <c r="G85" i="2837"/>
  <c r="G81" i="2834"/>
  <c r="L78" i="2847"/>
  <c r="M78" i="2829"/>
  <c r="M81" i="2836"/>
  <c r="E40" i="325"/>
  <c r="D40" i="325"/>
  <c r="J80" i="2832"/>
  <c r="G80" i="2834"/>
  <c r="J81" i="2833"/>
  <c r="G80" i="2832"/>
  <c r="G80" i="2838"/>
  <c r="N79" i="2826"/>
  <c r="L82" i="2838"/>
  <c r="L80" i="2835"/>
  <c r="L84" i="2836"/>
  <c r="N84" i="2836"/>
  <c r="L83" i="2838"/>
  <c r="D41" i="325"/>
  <c r="L83" i="2844"/>
  <c r="L80" i="2840"/>
  <c r="L79" i="2835"/>
  <c r="L81" i="2828"/>
  <c r="K82" i="2845"/>
  <c r="L86" i="2837"/>
  <c r="K85" i="2836"/>
  <c r="L87" i="2837"/>
  <c r="J80" i="2843"/>
  <c r="J81" i="2843"/>
  <c r="J82" i="2845"/>
  <c r="K80" i="2828"/>
  <c r="L80" i="2828"/>
  <c r="J80" i="2828"/>
  <c r="L81" i="2843"/>
  <c r="K82" i="2839"/>
  <c r="C41" i="325"/>
  <c r="J89" i="2837"/>
  <c r="L86" i="2831"/>
  <c r="G82" i="2847"/>
  <c r="M85" i="2838"/>
  <c r="L85" i="2840"/>
  <c r="G84" i="2844"/>
  <c r="I21" i="2834"/>
  <c r="G29" i="2834"/>
  <c r="N11" i="2834"/>
  <c r="N13" i="2833"/>
  <c r="G32" i="2833"/>
  <c r="M49" i="2846"/>
  <c r="I21" i="2826"/>
  <c r="G29" i="2826"/>
  <c r="M66" i="2836"/>
  <c r="L117" i="2827"/>
  <c r="O120" i="2828"/>
  <c r="C42" i="325"/>
  <c r="E12" i="325"/>
  <c r="G52" i="2839"/>
  <c r="M56" i="2845"/>
  <c r="N72" i="2844"/>
  <c r="N63" i="2834"/>
  <c r="G63" i="2834"/>
  <c r="M71" i="2844"/>
  <c r="I24" i="2831"/>
  <c r="O123" i="2827"/>
  <c r="N12" i="2831"/>
  <c r="Q5" i="7"/>
  <c r="M49" i="2826"/>
  <c r="N54" i="2829"/>
  <c r="E49" i="325"/>
  <c r="G31" i="2832"/>
  <c r="N66" i="2839"/>
  <c r="G74" i="2837"/>
  <c r="M74" i="2837"/>
  <c r="G73" i="2833"/>
  <c r="N74" i="2834"/>
  <c r="M55" i="2832"/>
  <c r="N56" i="2847"/>
  <c r="G56" i="2847"/>
  <c r="N57" i="2840"/>
  <c r="G57" i="2840"/>
  <c r="G62" i="2833"/>
  <c r="M62" i="2833"/>
  <c r="K18" i="2839"/>
  <c r="O120" i="2840"/>
  <c r="N60" i="2843"/>
  <c r="K22" i="2837"/>
  <c r="G48" i="2826"/>
  <c r="M53" i="2832"/>
  <c r="K20" i="2837"/>
  <c r="G51" i="2829"/>
  <c r="N59" i="2829"/>
  <c r="G59" i="2829"/>
  <c r="K16" i="2838"/>
  <c r="K9" i="2837"/>
  <c r="N71" i="2832"/>
  <c r="G71" i="2832"/>
  <c r="N15" i="2836"/>
  <c r="N54" i="2837"/>
  <c r="N59" i="2839"/>
  <c r="M59" i="2839"/>
  <c r="M59" i="2832"/>
  <c r="G65" i="2827"/>
  <c r="M72" i="2836"/>
  <c r="O121" i="2839"/>
  <c r="N65" i="2838"/>
  <c r="L112" i="2849"/>
  <c r="L116" i="2833"/>
  <c r="O125" i="2837"/>
  <c r="O117" i="2826"/>
  <c r="I23" i="2838"/>
  <c r="G51" i="2835"/>
  <c r="G52" i="2832"/>
  <c r="L65" i="2827"/>
  <c r="G51" i="2828"/>
  <c r="O122" i="2844"/>
  <c r="L114" i="2828"/>
  <c r="O124" i="2834"/>
  <c r="M66" i="2831"/>
  <c r="G55" i="2836"/>
  <c r="N58" i="2828"/>
  <c r="N67" i="2837"/>
  <c r="G68" i="2846"/>
  <c r="M68" i="2846"/>
  <c r="N81" i="2839"/>
  <c r="O119" i="2835"/>
  <c r="L115" i="2831"/>
  <c r="O115" i="2842"/>
  <c r="D33" i="325"/>
  <c r="M48" i="2828"/>
  <c r="M52" i="2834"/>
  <c r="N62" i="2826"/>
  <c r="G62" i="2826"/>
  <c r="N73" i="2851"/>
  <c r="N54" i="2831"/>
  <c r="G54" i="2831"/>
  <c r="N54" i="2827"/>
  <c r="N57" i="2849"/>
  <c r="N63" i="2831"/>
  <c r="M63" i="2831"/>
  <c r="N70" i="2835"/>
  <c r="M53" i="2827"/>
  <c r="N65" i="2847"/>
  <c r="L119" i="2837"/>
  <c r="I23" i="2832"/>
  <c r="G53" i="2831"/>
  <c r="N56" i="2849"/>
  <c r="M62" i="2831"/>
  <c r="L114" i="2832"/>
  <c r="N51" i="2834"/>
  <c r="G51" i="2834"/>
  <c r="N66" i="2846"/>
  <c r="M66" i="2846"/>
  <c r="M56" i="2835"/>
  <c r="L79" i="2826"/>
  <c r="N56" i="2833"/>
  <c r="E29" i="325"/>
  <c r="N75" i="2847"/>
  <c r="G75" i="2847"/>
  <c r="J92" i="2851"/>
  <c r="M52" i="2833"/>
  <c r="G50" i="2843"/>
  <c r="G50" i="2834"/>
  <c r="M63" i="2829"/>
  <c r="N74" i="2851"/>
  <c r="L65" i="2826"/>
  <c r="N79" i="2838"/>
  <c r="N86" i="2831"/>
  <c r="G71" i="2849"/>
  <c r="M70" i="2846"/>
  <c r="G73" i="2836"/>
  <c r="J97" i="2827"/>
  <c r="J100" i="2845"/>
  <c r="J94" i="2837"/>
  <c r="N70" i="2829"/>
  <c r="M85" i="2837"/>
  <c r="J97" i="2833"/>
  <c r="N85" i="2844"/>
  <c r="N85" i="2831"/>
  <c r="G69" i="2840"/>
  <c r="M69" i="2840"/>
  <c r="N84" i="2833"/>
  <c r="N81" i="2829"/>
  <c r="J95" i="2827"/>
  <c r="J96" i="2850"/>
  <c r="J95" i="2835"/>
  <c r="J88" i="2847"/>
  <c r="J98" i="2850"/>
  <c r="J96" i="2840"/>
  <c r="J94" i="2835"/>
  <c r="N72" i="2832"/>
  <c r="N84" i="2843"/>
  <c r="J93" i="2835"/>
  <c r="J92" i="2826"/>
  <c r="G63" i="2826"/>
  <c r="N68" i="2840"/>
  <c r="M85" i="2839"/>
  <c r="J92" i="2836"/>
  <c r="J97" i="2850"/>
  <c r="J98" i="2839"/>
  <c r="J97" i="2828"/>
  <c r="F28" i="4"/>
  <c r="G28" i="4"/>
  <c r="N84" i="2849"/>
  <c r="M83" i="2843"/>
  <c r="J97" i="2838"/>
  <c r="M74" i="2845"/>
  <c r="N78" i="2847"/>
  <c r="N82" i="2836"/>
  <c r="N82" i="2848"/>
  <c r="J96" i="2839"/>
  <c r="G80" i="2839"/>
  <c r="M80" i="2839"/>
  <c r="G60" i="2836"/>
  <c r="G70" i="2832"/>
  <c r="J97" i="2839"/>
  <c r="G71" i="2843"/>
  <c r="G73" i="2847"/>
  <c r="M74" i="2844"/>
  <c r="N72" i="2840"/>
  <c r="G72" i="2840"/>
  <c r="N86" i="2837"/>
  <c r="J98" i="2845"/>
  <c r="J98" i="2833"/>
  <c r="M73" i="2831"/>
  <c r="N82" i="2846"/>
  <c r="J91" i="2833"/>
  <c r="J101" i="2837"/>
  <c r="G64" i="2832"/>
  <c r="M64" i="2832"/>
  <c r="G71" i="2836"/>
  <c r="N73" i="2832"/>
  <c r="G77" i="2834"/>
  <c r="N81" i="2844"/>
  <c r="J89" i="2850"/>
  <c r="J89" i="2828"/>
  <c r="N78" i="2846"/>
  <c r="G82" i="2833"/>
  <c r="M82" i="2833"/>
  <c r="G73" i="2844"/>
  <c r="M73" i="2844"/>
  <c r="J92" i="2848"/>
  <c r="G57" i="2848"/>
  <c r="G60" i="2844"/>
  <c r="N74" i="2829"/>
  <c r="M84" i="2845"/>
  <c r="J94" i="2828"/>
  <c r="J95" i="2843"/>
  <c r="G53" i="2833"/>
  <c r="M55" i="2831"/>
  <c r="G57" i="2847"/>
  <c r="M61" i="2848"/>
  <c r="J98" i="2834"/>
  <c r="J96" i="2846"/>
  <c r="G58" i="2839"/>
  <c r="G68" i="2834"/>
  <c r="M66" i="2826"/>
  <c r="N73" i="2843"/>
  <c r="G73" i="2843"/>
  <c r="G89" i="2837"/>
  <c r="M89" i="2837"/>
  <c r="J73" i="2719"/>
  <c r="Q73" i="2719"/>
  <c r="J96" i="2843"/>
  <c r="M67" i="2836"/>
  <c r="N63" i="2835"/>
  <c r="M71" i="2846"/>
  <c r="M75" i="2828"/>
  <c r="M66" i="2827"/>
  <c r="N74" i="2836"/>
  <c r="M74" i="2836"/>
  <c r="M71" i="2829"/>
  <c r="J91" i="2827"/>
  <c r="J97" i="2844"/>
  <c r="G29" i="4"/>
  <c r="M61" i="2826"/>
  <c r="G51" i="2846"/>
  <c r="M51" i="2846"/>
  <c r="K18" i="2831"/>
  <c r="M85" i="2845"/>
  <c r="G85" i="2845"/>
  <c r="N79" i="2850"/>
  <c r="G49" i="2849"/>
  <c r="M49" i="2849"/>
  <c r="M73" i="2845"/>
  <c r="N83" i="2851"/>
  <c r="J100" i="2827"/>
  <c r="M80" i="2850"/>
  <c r="G24" i="4"/>
  <c r="G57" i="2834"/>
  <c r="G48" i="2850"/>
  <c r="N50" i="2835"/>
  <c r="M50" i="2835"/>
  <c r="G60" i="2840"/>
  <c r="G67" i="2828"/>
  <c r="M81" i="2851"/>
  <c r="N66" i="2833"/>
  <c r="G66" i="2833"/>
  <c r="G73" i="2849"/>
  <c r="N60" i="2851"/>
  <c r="M60" i="2851"/>
  <c r="J99" i="2834"/>
  <c r="M86" i="2844"/>
  <c r="F35" i="4"/>
  <c r="N54" i="2834"/>
  <c r="G54" i="2834"/>
  <c r="G67" i="2846"/>
  <c r="G76" i="2833"/>
  <c r="J100" i="2834"/>
  <c r="K19" i="2844"/>
  <c r="N80" i="2851"/>
  <c r="N85" i="2840"/>
  <c r="Q9" i="2721"/>
  <c r="G15" i="2828"/>
  <c r="N51" i="2850"/>
  <c r="G51" i="2850"/>
  <c r="M74" i="2850"/>
  <c r="I74" i="2725"/>
  <c r="M61" i="2831"/>
  <c r="J23" i="2830"/>
  <c r="AA9" i="2720"/>
  <c r="G20" i="2827"/>
  <c r="I24" i="2827"/>
  <c r="G56" i="2851"/>
  <c r="N9" i="2830"/>
  <c r="G72" i="2851"/>
  <c r="K16" i="2843"/>
  <c r="G51" i="2851"/>
  <c r="M51" i="2851"/>
  <c r="K9" i="2844"/>
  <c r="G55" i="2849"/>
  <c r="M55" i="2849"/>
  <c r="AA8" i="2721"/>
  <c r="G17" i="2827"/>
  <c r="K19" i="2845"/>
  <c r="J72" i="2826"/>
  <c r="L78" i="2085"/>
  <c r="J21" i="2827"/>
  <c r="K73" i="2827"/>
  <c r="G63" i="2850"/>
  <c r="M63" i="2850"/>
  <c r="J94" i="2826"/>
  <c r="Q15" i="2723"/>
  <c r="G12" i="2830"/>
  <c r="G31" i="2830"/>
  <c r="K17" i="2832"/>
  <c r="M53" i="2848"/>
  <c r="J78" i="2829"/>
  <c r="K9" i="2836"/>
  <c r="G54" i="2850"/>
  <c r="M54" i="2850"/>
  <c r="K21" i="2838"/>
  <c r="N53" i="2850"/>
  <c r="G53" i="2850"/>
  <c r="L70" i="2829"/>
  <c r="N64" i="2850"/>
  <c r="M64" i="2850"/>
  <c r="J24" i="2833"/>
  <c r="J75" i="2827"/>
  <c r="K21" i="2851"/>
  <c r="I22" i="2840"/>
  <c r="G30" i="2840"/>
  <c r="G57" i="2851"/>
  <c r="M57" i="2851"/>
  <c r="J93" i="2826"/>
  <c r="I21" i="2842"/>
  <c r="N10" i="2837"/>
  <c r="G50" i="2850"/>
  <c r="M79" i="2828"/>
  <c r="I24" i="2833"/>
  <c r="I78" i="2723"/>
  <c r="H72" i="2721"/>
  <c r="D16" i="325"/>
  <c r="I72" i="2721"/>
  <c r="N19" i="2850"/>
  <c r="I21" i="2835"/>
  <c r="AA5" i="2723"/>
  <c r="N19" i="2837"/>
  <c r="I21" i="2850"/>
  <c r="P10" i="2720"/>
  <c r="K18" i="2829"/>
  <c r="J21" i="2850"/>
  <c r="N9" i="2850"/>
  <c r="N69" i="2837"/>
  <c r="G7" i="2829"/>
  <c r="N19" i="2838"/>
  <c r="N19" i="2840"/>
  <c r="K78" i="2085"/>
  <c r="E18" i="325"/>
  <c r="Q21" i="2085"/>
  <c r="J100" i="2851"/>
  <c r="N21" i="2837"/>
  <c r="N16" i="2840"/>
  <c r="N51" i="2845"/>
  <c r="N9" i="2840"/>
  <c r="J23" i="2838"/>
  <c r="M68" i="2843"/>
  <c r="G24" i="2836"/>
  <c r="N24" i="2836"/>
  <c r="N10" i="2840"/>
  <c r="N18" i="2840"/>
  <c r="N10" i="2845"/>
  <c r="G29" i="2848"/>
  <c r="N9" i="2835"/>
  <c r="M54" i="2832"/>
  <c r="G11" i="2850"/>
  <c r="G29" i="2850"/>
  <c r="P65" i="2723"/>
  <c r="K12" i="2849"/>
  <c r="Q65" i="2723"/>
  <c r="N9" i="2848"/>
  <c r="P67" i="2721"/>
  <c r="K18" i="2851"/>
  <c r="M81" i="2834"/>
  <c r="G78" i="2835"/>
  <c r="M78" i="2835"/>
  <c r="G84" i="2837"/>
  <c r="M84" i="2837"/>
  <c r="G78" i="2828"/>
  <c r="M78" i="2828"/>
  <c r="M80" i="2838"/>
  <c r="D19" i="325"/>
  <c r="D20" i="325"/>
  <c r="C40" i="325"/>
  <c r="F40" i="325"/>
  <c r="M80" i="2834"/>
  <c r="M80" i="2832"/>
  <c r="M79" i="2849"/>
  <c r="G79" i="2849"/>
  <c r="M82" i="2847"/>
  <c r="G84" i="2838"/>
  <c r="M84" i="2838"/>
  <c r="G83" i="2849"/>
  <c r="M83" i="2849"/>
  <c r="G83" i="2846"/>
  <c r="M83" i="2846"/>
  <c r="G83" i="2829"/>
  <c r="M83" i="2829"/>
  <c r="D42" i="325"/>
  <c r="E42" i="325"/>
  <c r="M84" i="2844"/>
  <c r="G88" i="2837"/>
  <c r="M88" i="2837"/>
  <c r="G52" i="2845"/>
  <c r="M52" i="2845"/>
  <c r="N20" i="2827"/>
  <c r="G71" i="2846"/>
  <c r="G52" i="2838"/>
  <c r="M52" i="2838"/>
  <c r="G33" i="2836"/>
  <c r="G52" i="2834"/>
  <c r="G61" i="2848"/>
  <c r="G48" i="2828"/>
  <c r="M59" i="2829"/>
  <c r="N73" i="2719"/>
  <c r="G86" i="2831"/>
  <c r="M86" i="2831"/>
  <c r="N21" i="2827"/>
  <c r="J24" i="2827"/>
  <c r="G53" i="2828"/>
  <c r="M53" i="2828"/>
  <c r="G55" i="2850"/>
  <c r="M55" i="2850"/>
  <c r="G71" i="2829"/>
  <c r="G78" i="2846"/>
  <c r="M78" i="2846"/>
  <c r="G79" i="2838"/>
  <c r="M79" i="2838"/>
  <c r="G65" i="2838"/>
  <c r="M65" i="2838"/>
  <c r="G63" i="2835"/>
  <c r="M63" i="2835"/>
  <c r="G84" i="2846"/>
  <c r="M84" i="2846"/>
  <c r="M66" i="2833"/>
  <c r="M53" i="2833"/>
  <c r="G72" i="2844"/>
  <c r="M72" i="2844"/>
  <c r="G51" i="2827"/>
  <c r="M51" i="2827"/>
  <c r="G82" i="2848"/>
  <c r="M82" i="2848"/>
  <c r="G80" i="2827"/>
  <c r="M80" i="2827"/>
  <c r="G82" i="2846"/>
  <c r="M82" i="2846"/>
  <c r="G56" i="2849"/>
  <c r="M56" i="2849"/>
  <c r="G52" i="2835"/>
  <c r="M52" i="2835"/>
  <c r="F80" i="2727"/>
  <c r="G67" i="2826"/>
  <c r="M67" i="2826"/>
  <c r="G71" i="2839"/>
  <c r="M71" i="2839"/>
  <c r="G66" i="2827"/>
  <c r="G82" i="2836"/>
  <c r="M82" i="2836"/>
  <c r="G63" i="2831"/>
  <c r="G77" i="2835"/>
  <c r="M77" i="2835"/>
  <c r="G49" i="2826"/>
  <c r="G69" i="2847"/>
  <c r="M69" i="2847"/>
  <c r="N17" i="2827"/>
  <c r="G32" i="2827"/>
  <c r="G78" i="2847"/>
  <c r="M78" i="2847"/>
  <c r="G68" i="2840"/>
  <c r="M68" i="2840"/>
  <c r="G57" i="2849"/>
  <c r="M57" i="2849"/>
  <c r="G71" i="2848"/>
  <c r="M71" i="2848"/>
  <c r="G79" i="2850"/>
  <c r="M79" i="2850"/>
  <c r="G81" i="2848"/>
  <c r="M81" i="2848"/>
  <c r="G62" i="2834"/>
  <c r="M62" i="2834"/>
  <c r="G54" i="2839"/>
  <c r="M54" i="2839"/>
  <c r="G81" i="2839"/>
  <c r="M81" i="2839"/>
  <c r="I25" i="2836"/>
  <c r="G54" i="2827"/>
  <c r="M54" i="2827"/>
  <c r="N7" i="2829"/>
  <c r="I22" i="2829"/>
  <c r="G72" i="2839"/>
  <c r="M72" i="2839"/>
  <c r="G83" i="2840"/>
  <c r="M83" i="2840"/>
  <c r="E20" i="325"/>
  <c r="D80" i="2727"/>
  <c r="H80" i="2727"/>
  <c r="G51" i="2849"/>
  <c r="M51" i="2849"/>
  <c r="G58" i="2851"/>
  <c r="M58" i="2851"/>
  <c r="M60" i="2840"/>
  <c r="M50" i="2834"/>
  <c r="G56" i="2835"/>
  <c r="M54" i="2831"/>
  <c r="G53" i="2832"/>
  <c r="M57" i="2840"/>
  <c r="G74" i="2850"/>
  <c r="M70" i="2832"/>
  <c r="G55" i="2838"/>
  <c r="M55" i="2838"/>
  <c r="G59" i="2832"/>
  <c r="G64" i="2839"/>
  <c r="M64" i="2839"/>
  <c r="G74" i="2829"/>
  <c r="M74" i="2829"/>
  <c r="G79" i="2829"/>
  <c r="M79" i="2829"/>
  <c r="G65" i="2832"/>
  <c r="M65" i="2832"/>
  <c r="G53" i="2839"/>
  <c r="M53" i="2839"/>
  <c r="G59" i="2839"/>
  <c r="G51" i="2840"/>
  <c r="M51" i="2840"/>
  <c r="G81" i="2833"/>
  <c r="M81" i="2833"/>
  <c r="G66" i="2826"/>
  <c r="G81" i="2838"/>
  <c r="M81" i="2838"/>
  <c r="G84" i="2832"/>
  <c r="M84" i="2832"/>
  <c r="G70" i="2844"/>
  <c r="M70" i="2844"/>
  <c r="G84" i="2849"/>
  <c r="M84" i="2849"/>
  <c r="G80" i="2849"/>
  <c r="M80" i="2849"/>
  <c r="G54" i="2837"/>
  <c r="M54" i="2837"/>
  <c r="G55" i="2832"/>
  <c r="G50" i="2835"/>
  <c r="G59" i="2826"/>
  <c r="M59" i="2826"/>
  <c r="G61" i="2832"/>
  <c r="M61" i="2832"/>
  <c r="G84" i="2840"/>
  <c r="M84" i="2840"/>
  <c r="G66" i="2846"/>
  <c r="G67" i="2837"/>
  <c r="M67" i="2837"/>
  <c r="G52" i="2850"/>
  <c r="M52" i="2850"/>
  <c r="M57" i="2848"/>
  <c r="I21" i="2828"/>
  <c r="G29" i="2828"/>
  <c r="N15" i="2828"/>
  <c r="G84" i="2843"/>
  <c r="M84" i="2843"/>
  <c r="G79" i="2832"/>
  <c r="M79" i="2832"/>
  <c r="G53" i="2834"/>
  <c r="M53" i="2834"/>
  <c r="G84" i="2850"/>
  <c r="M84" i="2850"/>
  <c r="G85" i="2840"/>
  <c r="M85" i="2840"/>
  <c r="G75" i="2828"/>
  <c r="G74" i="2844"/>
  <c r="G85" i="2831"/>
  <c r="M85" i="2831"/>
  <c r="G53" i="2846"/>
  <c r="M53" i="2846"/>
  <c r="G73" i="2851"/>
  <c r="M73" i="2851"/>
  <c r="L54" i="2832"/>
  <c r="M71" i="2849"/>
  <c r="M76" i="2833"/>
  <c r="G60" i="2851"/>
  <c r="N12" i="2830"/>
  <c r="I23" i="2830"/>
  <c r="G74" i="2827"/>
  <c r="M74" i="2827"/>
  <c r="G72" i="2832"/>
  <c r="M72" i="2832"/>
  <c r="G85" i="2844"/>
  <c r="M85" i="2844"/>
  <c r="G80" i="2851"/>
  <c r="M80" i="2851"/>
  <c r="G60" i="2843"/>
  <c r="M60" i="2843"/>
  <c r="G66" i="2839"/>
  <c r="M66" i="2839"/>
  <c r="N11" i="2850"/>
  <c r="F42" i="325"/>
  <c r="F115" i="2848"/>
  <c r="F115" i="2830"/>
  <c r="F120" i="2844"/>
  <c r="F121" i="2851"/>
  <c r="F117" i="2835"/>
  <c r="F117" i="2843"/>
  <c r="F116" i="2849"/>
  <c r="F123" i="2837"/>
  <c r="F118" i="2832"/>
  <c r="F119" i="2838"/>
  <c r="F122" i="2850"/>
  <c r="F120" i="2846"/>
  <c r="F119" i="2831"/>
  <c r="F116" i="2847"/>
  <c r="F113" i="2842"/>
  <c r="F120" i="2833"/>
  <c r="F118" i="2828"/>
  <c r="F115" i="2826"/>
  <c r="F115" i="2841"/>
  <c r="F122" i="2834"/>
  <c r="F115" i="2829"/>
  <c r="F122" i="2845"/>
  <c r="F118" i="2840"/>
  <c r="F119" i="2839"/>
  <c r="F121" i="2827"/>
  <c r="F120" i="2836"/>
  <c r="N94" i="2831"/>
  <c r="J94" i="2839"/>
  <c r="J96" i="2834"/>
  <c r="J94" i="2838"/>
  <c r="Q113" i="2849"/>
  <c r="Q116" i="2838"/>
  <c r="Q116" i="2839"/>
  <c r="J92" i="2828"/>
  <c r="J92" i="2850"/>
  <c r="Q110" i="2842"/>
  <c r="J98" i="2837"/>
  <c r="J94" i="2851"/>
  <c r="J94" i="2840"/>
  <c r="J95" i="2851"/>
  <c r="J96" i="2851"/>
  <c r="J89" i="2848"/>
  <c r="J91" i="2828"/>
  <c r="J89" i="2835"/>
  <c r="J96" i="2836"/>
  <c r="J93" i="2843"/>
  <c r="J95" i="2834"/>
  <c r="J92" i="2843"/>
  <c r="Q111" i="2829"/>
  <c r="E50" i="325"/>
  <c r="J92" i="2840"/>
  <c r="J95" i="2850"/>
  <c r="J96" i="2845"/>
  <c r="J97" i="2837"/>
  <c r="J94" i="2850"/>
  <c r="J96" i="2837"/>
  <c r="J95" i="2844"/>
  <c r="Q118" i="2834"/>
  <c r="J94" i="2834"/>
  <c r="J95" i="2831"/>
  <c r="J90" i="2828"/>
  <c r="J94" i="2831"/>
  <c r="J93" i="2827"/>
  <c r="J93" i="2845"/>
  <c r="J93" i="2840"/>
  <c r="J93" i="2833"/>
  <c r="J92" i="2827"/>
  <c r="J92" i="2849"/>
  <c r="J91" i="2829"/>
  <c r="J94" i="2836"/>
  <c r="J93" i="2844"/>
  <c r="J94" i="2843"/>
  <c r="J93" i="2850"/>
  <c r="J95" i="2836"/>
  <c r="J95" i="2838"/>
  <c r="J91" i="2843"/>
  <c r="J92" i="2832"/>
  <c r="Q112" i="2841"/>
  <c r="Q117" i="2844"/>
  <c r="N91" i="2828"/>
  <c r="Q119" i="2850"/>
  <c r="Q118" i="2851"/>
  <c r="Q117" i="2846"/>
  <c r="L93" i="2827"/>
  <c r="Q119" i="2845"/>
  <c r="Q77" i="2727"/>
  <c r="Q112" i="2830"/>
  <c r="Q119" i="2834"/>
  <c r="Q112" i="2826"/>
  <c r="Q114" i="2843"/>
  <c r="Q120" i="2837"/>
  <c r="Q115" i="2828"/>
  <c r="Q113" i="2847"/>
  <c r="Q116" i="2831"/>
  <c r="Q115" i="2840"/>
  <c r="Q114" i="2835"/>
  <c r="Q112" i="2848"/>
  <c r="Q117" i="2833"/>
  <c r="Q112" i="2829"/>
  <c r="Q115" i="2832"/>
  <c r="Q117" i="2836"/>
  <c r="Q76" i="2727"/>
  <c r="Q114" i="2828"/>
  <c r="Q115" i="2838"/>
  <c r="Q118" i="2850"/>
  <c r="Q114" i="2840"/>
  <c r="Q119" i="2837"/>
  <c r="Q111" i="2841"/>
  <c r="Q111" i="2826"/>
  <c r="Q111" i="2848"/>
  <c r="Q118" i="2845"/>
  <c r="Q116" i="2844"/>
  <c r="Q112" i="2847"/>
  <c r="Q112" i="2849"/>
  <c r="D50" i="325"/>
  <c r="Q111" i="2830"/>
  <c r="Q115" i="2839"/>
  <c r="Q113" i="2843"/>
  <c r="Q115" i="2831"/>
  <c r="Q109" i="2842"/>
  <c r="Q116" i="2836"/>
  <c r="Q116" i="2833"/>
  <c r="Q114" i="2832"/>
  <c r="Q116" i="2846"/>
  <c r="Q117" i="2827"/>
  <c r="Q113" i="2835"/>
  <c r="Q117" i="2851"/>
  <c r="J89" i="2840"/>
  <c r="J86" i="2848"/>
  <c r="J88" i="2843"/>
  <c r="J89" i="2827"/>
  <c r="J90" i="2845"/>
  <c r="J87" i="2828"/>
  <c r="M81" i="2828"/>
  <c r="G81" i="2828"/>
  <c r="M81" i="2832"/>
  <c r="G81" i="2832"/>
  <c r="G82" i="2844"/>
  <c r="M82" i="2844"/>
  <c r="M80" i="2835"/>
  <c r="G80" i="2835"/>
  <c r="G87" i="2837"/>
  <c r="M87" i="2837"/>
  <c r="M83" i="2827"/>
  <c r="G83" i="2827"/>
  <c r="M80" i="2828"/>
  <c r="G80" i="2828"/>
  <c r="G82" i="2840"/>
  <c r="M82" i="2840"/>
  <c r="G83" i="2833"/>
  <c r="M83" i="2833"/>
  <c r="M84" i="2833"/>
  <c r="G84" i="2833"/>
  <c r="M80" i="2843"/>
  <c r="G80" i="2843"/>
  <c r="M82" i="2834"/>
  <c r="G82" i="2834"/>
  <c r="M81" i="2843"/>
  <c r="G81" i="2843"/>
  <c r="M83" i="2834"/>
  <c r="G83" i="2834"/>
  <c r="G82" i="2843"/>
  <c r="M82" i="2843"/>
  <c r="M79" i="2835"/>
  <c r="G79" i="2835"/>
  <c r="M81" i="2844"/>
  <c r="G81" i="2844"/>
  <c r="M83" i="2844"/>
  <c r="G83" i="2844"/>
  <c r="M82" i="2845"/>
  <c r="G82" i="2845"/>
  <c r="G83" i="2845"/>
  <c r="M83" i="2845"/>
  <c r="M83" i="2836"/>
  <c r="G83" i="2836"/>
  <c r="M84" i="2836"/>
  <c r="G84" i="2836"/>
  <c r="M80" i="2826"/>
  <c r="G80" i="2826"/>
  <c r="M85" i="2836"/>
  <c r="G85" i="2836"/>
  <c r="G82" i="2827"/>
  <c r="M82" i="2827"/>
  <c r="M86" i="2837"/>
  <c r="G86" i="2837"/>
  <c r="G82" i="2838"/>
  <c r="M82" i="2838"/>
  <c r="M83" i="2838"/>
  <c r="G83" i="2838"/>
  <c r="M82" i="2839"/>
  <c r="G82" i="2839"/>
  <c r="G83" i="2839"/>
  <c r="M83" i="2839"/>
  <c r="M80" i="2829"/>
  <c r="G80" i="2829"/>
  <c r="M80" i="2840"/>
  <c r="G80" i="2840"/>
  <c r="M81" i="2829"/>
  <c r="G81" i="2829"/>
  <c r="G81" i="2840"/>
  <c r="M81" i="2840"/>
  <c r="M83" i="2831"/>
  <c r="G83" i="2831"/>
  <c r="G82" i="2832"/>
  <c r="M82" i="2832"/>
  <c r="G84" i="2831"/>
  <c r="M84" i="2831"/>
  <c r="G82" i="2851"/>
  <c r="M82" i="2851"/>
  <c r="M83" i="2851"/>
  <c r="G83" i="2851"/>
  <c r="G79" i="2826"/>
  <c r="M79" i="2826"/>
  <c r="F41" i="325"/>
  <c r="L84" i="2833"/>
  <c r="F39" i="325"/>
  <c r="N33" i="2716"/>
  <c r="L90" i="2836" s="1"/>
  <c r="F38" i="325"/>
  <c r="G75" i="2838"/>
  <c r="M77" i="2834"/>
  <c r="M77" i="2833"/>
  <c r="M75" i="2847"/>
  <c r="D37" i="325"/>
  <c r="G75" i="2839"/>
  <c r="M75" i="2839"/>
  <c r="M74" i="2851"/>
  <c r="G74" i="2851"/>
  <c r="G75" i="2834"/>
  <c r="M75" i="2834"/>
  <c r="G73" i="2828"/>
  <c r="M73" i="2828"/>
  <c r="G72" i="2848"/>
  <c r="M72" i="2848"/>
  <c r="M79" i="2837"/>
  <c r="G79" i="2837"/>
  <c r="C37" i="325"/>
  <c r="M74" i="2834"/>
  <c r="K76" i="2836"/>
  <c r="M77" i="2837"/>
  <c r="J74" i="2839"/>
  <c r="M72" i="2847"/>
  <c r="L76" i="2836"/>
  <c r="J73" i="2844"/>
  <c r="K74" i="2834"/>
  <c r="M71" i="2826"/>
  <c r="J72" i="2848"/>
  <c r="G71" i="2826"/>
  <c r="M73" i="2849"/>
  <c r="K75" i="2836"/>
  <c r="J72" i="2828"/>
  <c r="J73" i="2838"/>
  <c r="K73" i="2838"/>
  <c r="M73" i="2847"/>
  <c r="M72" i="2840"/>
  <c r="M73" i="2843"/>
  <c r="G76" i="2836"/>
  <c r="M75" i="2836"/>
  <c r="G71" i="2828"/>
  <c r="M71" i="2828"/>
  <c r="G72" i="2849"/>
  <c r="M72" i="2849"/>
  <c r="G69" i="2848"/>
  <c r="M69" i="2848"/>
  <c r="G74" i="2831"/>
  <c r="M74" i="2831"/>
  <c r="G70" i="2840"/>
  <c r="M70" i="2840"/>
  <c r="G70" i="2835"/>
  <c r="M70" i="2835"/>
  <c r="M69" i="2828"/>
  <c r="G69" i="2828"/>
  <c r="G73" i="2834"/>
  <c r="M73" i="2834"/>
  <c r="G70" i="2829"/>
  <c r="M70" i="2829"/>
  <c r="M70" i="2850"/>
  <c r="J72" i="2839"/>
  <c r="N71" i="2828"/>
  <c r="J71" i="2832"/>
  <c r="J69" i="2846"/>
  <c r="G74" i="2836"/>
  <c r="M71" i="2832"/>
  <c r="N69" i="2828"/>
  <c r="M70" i="2848"/>
  <c r="M73" i="2836"/>
  <c r="N72" i="2849"/>
  <c r="J69" i="2847"/>
  <c r="M71" i="2850"/>
  <c r="K74" i="2836"/>
  <c r="J73" i="2845"/>
  <c r="J72" i="2850"/>
  <c r="J72" i="2845"/>
  <c r="M71" i="2843"/>
  <c r="M73" i="2839"/>
  <c r="M72" i="2831"/>
  <c r="G72" i="2831"/>
  <c r="C35" i="325"/>
  <c r="E35" i="325"/>
  <c r="G69" i="2838"/>
  <c r="M69" i="2838"/>
  <c r="G70" i="2839"/>
  <c r="N72" i="2831"/>
  <c r="J71" i="2833"/>
  <c r="M68" i="2828"/>
  <c r="G70" i="2838"/>
  <c r="M67" i="2828"/>
  <c r="K67" i="2835"/>
  <c r="J69" i="2838"/>
  <c r="J70" i="2832"/>
  <c r="M69" i="2834"/>
  <c r="K70" i="2832"/>
  <c r="M71" i="2836"/>
  <c r="M67" i="2846"/>
  <c r="G70" i="2837"/>
  <c r="M70" i="2837"/>
  <c r="G67" i="2832"/>
  <c r="M67" i="2832"/>
  <c r="G65" i="2847"/>
  <c r="M65" i="2847"/>
  <c r="G69" i="2837"/>
  <c r="M69" i="2837"/>
  <c r="L70" i="2831"/>
  <c r="G65" i="2846"/>
  <c r="M65" i="2846"/>
  <c r="G68" i="2839"/>
  <c r="M68" i="2839"/>
  <c r="M67" i="2834"/>
  <c r="G67" i="2834"/>
  <c r="G68" i="2827"/>
  <c r="E34" i="325"/>
  <c r="G68" i="2838"/>
  <c r="M67" i="2838"/>
  <c r="N65" i="2846"/>
  <c r="N67" i="2834"/>
  <c r="J70" i="2837"/>
  <c r="K70" i="2837"/>
  <c r="M71" i="2837"/>
  <c r="J67" i="2829"/>
  <c r="L69" i="2837"/>
  <c r="K68" i="2838"/>
  <c r="M68" i="2834"/>
  <c r="G64" i="2834"/>
  <c r="M64" i="2834"/>
  <c r="C33" i="325"/>
  <c r="G67" i="2831"/>
  <c r="M67" i="2831"/>
  <c r="F33" i="325"/>
  <c r="M62" i="2826"/>
  <c r="J62" i="2826"/>
  <c r="J62" i="2828"/>
  <c r="J66" i="2827"/>
  <c r="G64" i="2850"/>
  <c r="M63" i="2826"/>
  <c r="M65" i="2839"/>
  <c r="M63" i="2834"/>
  <c r="M65" i="2827"/>
  <c r="G61" i="2834"/>
  <c r="M61" i="2834"/>
  <c r="M63" i="2827"/>
  <c r="G63" i="2827"/>
  <c r="M60" i="2826"/>
  <c r="G60" i="2826"/>
  <c r="M64" i="2836"/>
  <c r="G64" i="2836"/>
  <c r="J61" i="2848"/>
  <c r="J61" i="2834"/>
  <c r="J64" i="2836"/>
  <c r="N63" i="2827"/>
  <c r="N60" i="2826"/>
  <c r="D32" i="325"/>
  <c r="G61" i="2826"/>
  <c r="C31" i="325"/>
  <c r="M59" i="2828"/>
  <c r="G59" i="2828"/>
  <c r="G58" i="2828"/>
  <c r="M58" i="2828"/>
  <c r="G61" i="2845"/>
  <c r="M61" i="2845"/>
  <c r="G62" i="2827"/>
  <c r="M62" i="2827"/>
  <c r="G61" i="2827"/>
  <c r="M61" i="2827"/>
  <c r="F31" i="325"/>
  <c r="M60" i="2829"/>
  <c r="N59" i="2828"/>
  <c r="J59" i="2828"/>
  <c r="J60" i="2840"/>
  <c r="J59" i="2840"/>
  <c r="J63" i="2831"/>
  <c r="J59" i="2843"/>
  <c r="K59" i="2843"/>
  <c r="L59" i="2840"/>
  <c r="M59" i="2843"/>
  <c r="M59" i="2840"/>
  <c r="E31" i="325"/>
  <c r="M60" i="2844"/>
  <c r="G56" i="2848"/>
  <c r="M56" i="2848"/>
  <c r="L58" i="2839"/>
  <c r="J60" i="2836"/>
  <c r="N58" i="2834"/>
  <c r="G60" i="2827"/>
  <c r="E30" i="325"/>
  <c r="N60" i="2839"/>
  <c r="M58" i="2834"/>
  <c r="G58" i="2834"/>
  <c r="G58" i="2849"/>
  <c r="M58" i="2849"/>
  <c r="G60" i="2833"/>
  <c r="M60" i="2833"/>
  <c r="G60" i="2839"/>
  <c r="M60" i="2839"/>
  <c r="F30" i="325"/>
  <c r="J60" i="2831"/>
  <c r="M57" i="2834"/>
  <c r="M60" i="2836"/>
  <c r="M57" i="2847"/>
  <c r="J57" i="2834"/>
  <c r="M58" i="2839"/>
  <c r="M61" i="2833"/>
  <c r="M56" i="2847"/>
  <c r="G55" i="2851"/>
  <c r="M55" i="2851"/>
  <c r="M54" i="2849"/>
  <c r="G54" i="2849"/>
  <c r="G57" i="2833"/>
  <c r="M57" i="2833"/>
  <c r="G52" i="2848"/>
  <c r="M52" i="2848"/>
  <c r="M56" i="2833"/>
  <c r="G56" i="2833"/>
  <c r="G55" i="2833"/>
  <c r="M55" i="2833"/>
  <c r="G53" i="2843"/>
  <c r="M53" i="2843"/>
  <c r="G53" i="2847"/>
  <c r="M53" i="2847"/>
  <c r="G52" i="2828"/>
  <c r="M52" i="2828"/>
  <c r="G56" i="2831"/>
  <c r="M56" i="2831"/>
  <c r="M54" i="2834"/>
  <c r="G55" i="2831"/>
  <c r="N53" i="2847"/>
  <c r="M56" i="2851"/>
  <c r="N55" i="2851"/>
  <c r="M53" i="2850"/>
  <c r="M57" i="2831"/>
  <c r="M54" i="2829"/>
  <c r="J54" i="2834"/>
  <c r="K65" i="2850"/>
  <c r="M57" i="2836"/>
  <c r="M56" i="2837"/>
  <c r="M52" i="2846"/>
  <c r="M53" i="2840"/>
  <c r="M53" i="2829"/>
  <c r="E28" i="325"/>
  <c r="J53" i="2828"/>
  <c r="N56" i="2831"/>
  <c r="M53" i="2835"/>
  <c r="N55" i="2833"/>
  <c r="K65" i="2834"/>
  <c r="G52" i="2829"/>
  <c r="M52" i="2829"/>
  <c r="G54" i="2833"/>
  <c r="M54" i="2833"/>
  <c r="M52" i="2840"/>
  <c r="G52" i="2840"/>
  <c r="G51" i="2826"/>
  <c r="M51" i="2826"/>
  <c r="G54" i="2836"/>
  <c r="M54" i="2836"/>
  <c r="N52" i="2829"/>
  <c r="J51" i="2828"/>
  <c r="M51" i="2828"/>
  <c r="J54" i="2837"/>
  <c r="N52" i="2840"/>
  <c r="N54" i="2836"/>
  <c r="J55" i="2836"/>
  <c r="M53" i="2831"/>
  <c r="M51" i="2834"/>
  <c r="M51" i="2829"/>
  <c r="M50" i="2850"/>
  <c r="M51" i="2843"/>
  <c r="M52" i="2832"/>
  <c r="M53" i="2838"/>
  <c r="M51" i="2835"/>
  <c r="M51" i="2847"/>
  <c r="L54" i="2827"/>
  <c r="M52" i="2839"/>
  <c r="M51" i="2850"/>
  <c r="M53" i="2849"/>
  <c r="N51" i="2826"/>
  <c r="M51" i="2848"/>
  <c r="M55" i="2836"/>
  <c r="F26" i="325"/>
  <c r="G52" i="2851"/>
  <c r="M52" i="2851"/>
  <c r="G51" i="2844"/>
  <c r="M51" i="2844"/>
  <c r="G50" i="2829"/>
  <c r="M50" i="2829"/>
  <c r="G48" i="2848"/>
  <c r="M48" i="2848"/>
  <c r="M50" i="2844"/>
  <c r="G50" i="2844"/>
  <c r="G52" i="2827"/>
  <c r="M52" i="2827"/>
  <c r="G49" i="2847"/>
  <c r="M49" i="2847"/>
  <c r="G48" i="2847"/>
  <c r="M48" i="2847"/>
  <c r="G51" i="2845"/>
  <c r="M51" i="2845"/>
  <c r="M53" i="2837"/>
  <c r="L50" i="2844"/>
  <c r="M48" i="2826"/>
  <c r="M51" i="2833"/>
  <c r="M48" i="2850"/>
  <c r="M50" i="2843"/>
  <c r="G74" i="2826"/>
  <c r="M74" i="2826"/>
  <c r="G73" i="2848"/>
  <c r="M73" i="2848"/>
  <c r="M74" i="2835"/>
  <c r="G74" i="2835"/>
  <c r="G76" i="2827"/>
  <c r="M76" i="2827"/>
  <c r="G75" i="2833"/>
  <c r="M75" i="2833"/>
  <c r="M73" i="2838"/>
  <c r="G73" i="2838"/>
  <c r="G72" i="2843"/>
  <c r="M72" i="2843"/>
  <c r="G71" i="2847"/>
  <c r="M71" i="2847"/>
  <c r="M76" i="2836"/>
  <c r="G78" i="2837"/>
  <c r="M78" i="2837"/>
  <c r="G72" i="2835"/>
  <c r="M72" i="2835"/>
  <c r="M75" i="2827"/>
  <c r="G75" i="2827"/>
  <c r="M74" i="2838"/>
  <c r="G74" i="2838"/>
  <c r="E37" i="325"/>
  <c r="G75" i="2851"/>
  <c r="M75" i="2851"/>
  <c r="M70" i="2828"/>
  <c r="G70" i="2828"/>
  <c r="G72" i="2850"/>
  <c r="M72" i="2850"/>
  <c r="F36" i="325"/>
  <c r="C36" i="325"/>
  <c r="M69" i="2846"/>
  <c r="G69" i="2846"/>
  <c r="G69" i="2835"/>
  <c r="M69" i="2835"/>
  <c r="D36" i="325"/>
  <c r="G72" i="2845"/>
  <c r="M72" i="2845"/>
  <c r="L73" i="2827"/>
  <c r="E36" i="325"/>
  <c r="G70" i="2834"/>
  <c r="M70" i="2834"/>
  <c r="M70" i="2827"/>
  <c r="G70" i="2827"/>
  <c r="G68" i="2835"/>
  <c r="M68" i="2835"/>
  <c r="G71" i="2845"/>
  <c r="M71" i="2845"/>
  <c r="G73" i="2837"/>
  <c r="M73" i="2837"/>
  <c r="G67" i="2835"/>
  <c r="M67" i="2835"/>
  <c r="G71" i="2833"/>
  <c r="M71" i="2833"/>
  <c r="M69" i="2844"/>
  <c r="G69" i="2844"/>
  <c r="G66" i="2828"/>
  <c r="M66" i="2828"/>
  <c r="M65" i="2826"/>
  <c r="G65" i="2826"/>
  <c r="F34" i="325"/>
  <c r="C34" i="325"/>
  <c r="G67" i="2829"/>
  <c r="M67" i="2829"/>
  <c r="G70" i="2831"/>
  <c r="M70" i="2831"/>
  <c r="G69" i="2845"/>
  <c r="M69" i="2845"/>
  <c r="D34" i="325"/>
  <c r="G69" i="2827"/>
  <c r="M69" i="2827"/>
  <c r="G66" i="2837"/>
  <c r="M66" i="2837"/>
  <c r="G62" i="2835"/>
  <c r="M62" i="2835"/>
  <c r="G63" i="2828"/>
  <c r="M63" i="2828"/>
  <c r="G63" i="2840"/>
  <c r="M63" i="2840"/>
  <c r="G62" i="2828"/>
  <c r="M62" i="2828"/>
  <c r="G64" i="2838"/>
  <c r="M64" i="2838"/>
  <c r="C32" i="325"/>
  <c r="G60" i="2848"/>
  <c r="M60" i="2848"/>
  <c r="G61" i="2838"/>
  <c r="M61" i="2838"/>
  <c r="G60" i="2832"/>
  <c r="M60" i="2832"/>
  <c r="G61" i="2844"/>
  <c r="M61" i="2844"/>
  <c r="M56" i="2850"/>
  <c r="G56" i="2850"/>
  <c r="M59" i="2849"/>
  <c r="G59" i="2849"/>
  <c r="G60" i="2837"/>
  <c r="M60" i="2837"/>
  <c r="M60" i="2831"/>
  <c r="G60" i="2831"/>
  <c r="G58" i="2850"/>
  <c r="M58" i="2850"/>
  <c r="G57" i="2835"/>
  <c r="M57" i="2835"/>
  <c r="M60" i="2827"/>
  <c r="G59" i="2851"/>
  <c r="M59" i="2851"/>
  <c r="G58" i="2840"/>
  <c r="M58" i="2840"/>
  <c r="C30" i="325"/>
  <c r="G61" i="2836"/>
  <c r="M61" i="2836"/>
  <c r="G57" i="2850"/>
  <c r="M57" i="2850"/>
  <c r="G57" i="2846"/>
  <c r="M57" i="2846"/>
  <c r="M52" i="2826"/>
  <c r="G52" i="2826"/>
  <c r="G52" i="2847"/>
  <c r="M52" i="2847"/>
  <c r="G57" i="2837"/>
  <c r="M57" i="2837"/>
  <c r="G56" i="2836"/>
  <c r="M56" i="2836"/>
  <c r="M54" i="2840"/>
  <c r="G54" i="2840"/>
  <c r="M52" i="2849"/>
  <c r="G52" i="2849"/>
  <c r="G50" i="2848"/>
  <c r="M50" i="2848"/>
  <c r="D81" i="2727"/>
  <c r="C27" i="325"/>
  <c r="F27" i="325"/>
  <c r="F81" i="2727"/>
  <c r="D26" i="325"/>
  <c r="G49" i="2850"/>
  <c r="M49" i="2850"/>
  <c r="E26" i="325"/>
  <c r="G48" i="2846"/>
  <c r="M48" i="2846"/>
  <c r="F37" i="325"/>
  <c r="F35" i="325"/>
  <c r="F28" i="325"/>
  <c r="O43" i="2858"/>
  <c r="AA88" i="2878"/>
  <c r="AC88" i="2878" s="1"/>
  <c r="R25" i="2878"/>
  <c r="S25" i="2878" s="1"/>
  <c r="R29" i="2878"/>
  <c r="S29" i="2878" s="1"/>
  <c r="Q18" i="2875"/>
  <c r="Q14" i="2875"/>
  <c r="Q22" i="2875"/>
  <c r="Q4" i="2875"/>
  <c r="U23" i="2875"/>
  <c r="V23" i="2875" s="1"/>
  <c r="Q9" i="2716"/>
  <c r="M55" i="2716"/>
  <c r="N87" i="2849"/>
  <c r="M51" i="2716"/>
  <c r="N86" i="2847"/>
  <c r="M47" i="2716"/>
  <c r="N89" i="2845"/>
  <c r="M39" i="2716"/>
  <c r="N89" i="2839"/>
  <c r="M35" i="2716"/>
  <c r="N88" i="2838"/>
  <c r="M27" i="2716"/>
  <c r="N89" i="2833"/>
  <c r="M23" i="2716"/>
  <c r="N89" i="2831"/>
  <c r="M19" i="2716"/>
  <c r="N88" i="2827"/>
  <c r="M58" i="2716"/>
  <c r="N89" i="2851"/>
  <c r="M54" i="2716"/>
  <c r="N85" i="2848"/>
  <c r="M50" i="2716"/>
  <c r="N89" i="2846"/>
  <c r="M46" i="2716"/>
  <c r="N88" i="2845"/>
  <c r="M38" i="2716"/>
  <c r="N88" i="2839"/>
  <c r="M34" i="2716"/>
  <c r="N92" i="2837"/>
  <c r="M26" i="2716"/>
  <c r="N88" i="2832"/>
  <c r="M18" i="2716"/>
  <c r="N86" i="2826"/>
  <c r="I85" i="2848"/>
  <c r="I92" i="2837"/>
  <c r="M57" i="2716"/>
  <c r="N88" i="2851"/>
  <c r="M41" i="2716"/>
  <c r="N88" i="2840"/>
  <c r="M37" i="2716"/>
  <c r="N90" i="2838"/>
  <c r="M33" i="2716"/>
  <c r="M17" i="2716"/>
  <c r="N85" i="2826"/>
  <c r="I90" i="2838"/>
  <c r="J88" i="2851"/>
  <c r="J88" i="2840"/>
  <c r="N87" i="2850"/>
  <c r="N87" i="2846"/>
  <c r="N87" i="2843"/>
  <c r="N90" i="2839"/>
  <c r="N89" i="2838"/>
  <c r="N88" i="2834"/>
  <c r="N90" i="2831"/>
  <c r="I89" i="2838"/>
  <c r="Q11" i="2716"/>
  <c r="E114" i="2843"/>
  <c r="K90" i="2836"/>
  <c r="K100" i="2836" s="1"/>
  <c r="E116" i="2838"/>
  <c r="E119" i="2834"/>
  <c r="E77" i="2727"/>
  <c r="E113" i="2849"/>
  <c r="E117" i="2844"/>
  <c r="K97" i="2843"/>
  <c r="K102" i="2845"/>
  <c r="K95" i="2826"/>
  <c r="K101" i="2851"/>
  <c r="K98" i="2832"/>
  <c r="K101" i="2827"/>
  <c r="K99" i="2838"/>
  <c r="N90" i="2836"/>
  <c r="K95" i="2848"/>
  <c r="L85" i="2826"/>
  <c r="J87" i="2843"/>
  <c r="G104" i="2716"/>
  <c r="AC43" i="2858"/>
  <c r="AB43" i="2858"/>
  <c r="AA82" i="2858"/>
  <c r="W48" i="2858"/>
  <c r="O82" i="2864"/>
  <c r="O43" i="2864"/>
  <c r="AA82" i="2864"/>
  <c r="AA43" i="2864"/>
  <c r="AC82" i="2858"/>
  <c r="AB82" i="2858"/>
  <c r="AC43" i="2864"/>
  <c r="AB43" i="2864"/>
  <c r="AC82" i="2864"/>
  <c r="AB82" i="2864"/>
  <c r="AA83" i="2879"/>
  <c r="AC83" i="2879"/>
  <c r="R56" i="2879"/>
  <c r="S56" i="2879" s="1"/>
  <c r="AA44" i="2879"/>
  <c r="AC44" i="2879"/>
  <c r="R13" i="2879"/>
  <c r="S13" i="2879" s="1"/>
  <c r="R17" i="2879"/>
  <c r="S17" i="2879" s="1"/>
  <c r="R29" i="2879"/>
  <c r="S29" i="2879" s="1"/>
  <c r="R33" i="2879"/>
  <c r="S33" i="2879" s="1"/>
  <c r="O83" i="2879"/>
  <c r="N64" i="2879"/>
  <c r="O44" i="2879"/>
  <c r="AB44" i="2879"/>
  <c r="N68" i="2879"/>
  <c r="R68" i="2879"/>
  <c r="S68" i="2879" s="1"/>
  <c r="D113" i="2842"/>
  <c r="H113" i="2842"/>
  <c r="D116" i="2847"/>
  <c r="H116" i="2847"/>
  <c r="D120" i="2836"/>
  <c r="H120" i="2836"/>
  <c r="D120" i="2844"/>
  <c r="H120" i="2844"/>
  <c r="D115" i="2829"/>
  <c r="H115" i="2829"/>
  <c r="D119" i="2839"/>
  <c r="H119" i="2839"/>
  <c r="D120" i="2833"/>
  <c r="H120" i="2833"/>
  <c r="D121" i="2827"/>
  <c r="H121" i="2827"/>
  <c r="D119" i="2831"/>
  <c r="H119" i="2831"/>
  <c r="D118" i="2832"/>
  <c r="H118" i="2832"/>
  <c r="D123" i="2837"/>
  <c r="H123" i="2837"/>
  <c r="D117" i="2835"/>
  <c r="H117" i="2835"/>
  <c r="D122" i="2850"/>
  <c r="H122" i="2850"/>
  <c r="D122" i="2834"/>
  <c r="H122" i="2834"/>
  <c r="D118" i="2828"/>
  <c r="H118" i="2828"/>
  <c r="D116" i="2849"/>
  <c r="H116" i="2849"/>
  <c r="D115" i="2841"/>
  <c r="H115" i="2841"/>
  <c r="D115" i="2830"/>
  <c r="H115" i="2830"/>
  <c r="D115" i="2848"/>
  <c r="H115" i="2848"/>
  <c r="D117" i="2843"/>
  <c r="H117" i="2843"/>
  <c r="D118" i="2840"/>
  <c r="H118" i="2840"/>
  <c r="D119" i="2838"/>
  <c r="H119" i="2838"/>
  <c r="D121" i="2851"/>
  <c r="H121" i="2851"/>
  <c r="D115" i="2826"/>
  <c r="H115" i="2826"/>
  <c r="D120" i="2846"/>
  <c r="H120" i="2846"/>
  <c r="D122" i="2845"/>
  <c r="H122" i="2845"/>
  <c r="AB83" i="2879"/>
  <c r="K67" i="2845" l="1"/>
  <c r="K66" i="2849"/>
  <c r="K67" i="2839"/>
  <c r="K86" i="2827"/>
  <c r="K64" i="2847"/>
  <c r="K67" i="2851"/>
  <c r="K65" i="2843"/>
  <c r="K66" i="2838"/>
  <c r="K64" i="2826"/>
  <c r="K64" i="2828"/>
  <c r="K64" i="2846"/>
  <c r="S117" i="2843"/>
  <c r="S118" i="2843" s="1"/>
  <c r="K68" i="2833"/>
  <c r="K64" i="2848"/>
  <c r="S120" i="2844"/>
  <c r="S121" i="2844" s="1"/>
  <c r="K68" i="2837"/>
  <c r="K66" i="2832"/>
  <c r="K68" i="2831"/>
  <c r="S120" i="2833"/>
  <c r="S121" i="2833" s="1"/>
  <c r="K67" i="2827"/>
  <c r="K65" i="2829"/>
  <c r="K65" i="2840"/>
  <c r="K86" i="2840"/>
  <c r="S118" i="2832"/>
  <c r="S119" i="2832" s="1"/>
  <c r="S115" i="2848"/>
  <c r="S116" i="2848" s="1"/>
  <c r="K64" i="2835"/>
  <c r="S120" i="2846"/>
  <c r="S121" i="2846" s="1"/>
  <c r="K85" i="2846"/>
  <c r="K86" i="2838"/>
  <c r="S116" i="2849"/>
  <c r="S117" i="2849" s="1"/>
  <c r="E43" i="325"/>
  <c r="S119" i="2839"/>
  <c r="S120" i="2839" s="1"/>
  <c r="S119" i="2838"/>
  <c r="S120" i="2838" s="1"/>
  <c r="S122" i="2850"/>
  <c r="S123" i="2850" s="1"/>
  <c r="S118" i="2828"/>
  <c r="S119" i="2828" s="1"/>
  <c r="K86" i="2839"/>
  <c r="K84" i="2828"/>
  <c r="H81" i="2727"/>
  <c r="K83" i="2826"/>
  <c r="S119" i="2831"/>
  <c r="S120" i="2831" s="1"/>
  <c r="S117" i="2835"/>
  <c r="S118" i="2835" s="1"/>
  <c r="D43" i="325"/>
  <c r="K86" i="2834"/>
  <c r="K90" i="2837"/>
  <c r="S123" i="2837"/>
  <c r="S124" i="2837" s="1"/>
  <c r="K85" i="2850"/>
  <c r="F43" i="325"/>
  <c r="F117" i="2849" s="1"/>
  <c r="S121" i="2851"/>
  <c r="S122" i="2851" s="1"/>
  <c r="S118" i="2840"/>
  <c r="S119" i="2840" s="1"/>
  <c r="K83" i="2835"/>
  <c r="K87" i="2833"/>
  <c r="K87" i="2831"/>
  <c r="K87" i="2844"/>
  <c r="K83" i="2848"/>
  <c r="K86" i="2851"/>
  <c r="S122" i="2845"/>
  <c r="S123" i="2845" s="1"/>
  <c r="K84" i="2829"/>
  <c r="K85" i="2843"/>
  <c r="K84" i="2847"/>
  <c r="S115" i="2826"/>
  <c r="S116" i="2826" s="1"/>
  <c r="K88" i="2836"/>
  <c r="C43" i="325"/>
  <c r="D121" i="2844" s="1"/>
  <c r="S116" i="2847"/>
  <c r="S117" i="2847" s="1"/>
  <c r="S120" i="2836"/>
  <c r="S121" i="2836" s="1"/>
  <c r="S122" i="2834"/>
  <c r="S123" i="2834" s="1"/>
  <c r="S115" i="2829"/>
  <c r="S116" i="2829" s="1"/>
  <c r="F121" i="2836"/>
  <c r="K103" i="2837"/>
  <c r="K100" i="2846"/>
  <c r="K102" i="2850"/>
  <c r="K99" i="2839"/>
  <c r="K96" i="2849"/>
  <c r="K96" i="2847"/>
  <c r="X66" i="2879"/>
  <c r="Y66" i="2879" s="1"/>
  <c r="T23" i="2716"/>
  <c r="T34" i="2716"/>
  <c r="R63" i="2858"/>
  <c r="S63" i="2858" s="1"/>
  <c r="R21" i="2879"/>
  <c r="S21" i="2879" s="1"/>
  <c r="J88" i="2846"/>
  <c r="N69" i="2878"/>
  <c r="R61" i="2878"/>
  <c r="S61" i="2878" s="1"/>
  <c r="X21" i="2879"/>
  <c r="Y21" i="2879" s="1"/>
  <c r="X64" i="2879"/>
  <c r="Y64" i="2879" s="1"/>
  <c r="N60" i="2879"/>
  <c r="R25" i="2879"/>
  <c r="S25" i="2879" s="1"/>
  <c r="N12" i="2864"/>
  <c r="J86" i="2829"/>
  <c r="T54" i="2716"/>
  <c r="R17" i="2878"/>
  <c r="S17" i="2878" s="1"/>
  <c r="T38" i="2716"/>
  <c r="J87" i="2849"/>
  <c r="N67" i="2858"/>
  <c r="J89" i="2833"/>
  <c r="U40" i="2875"/>
  <c r="V40" i="2875" s="1"/>
  <c r="N59" i="2858"/>
  <c r="T45" i="2716"/>
  <c r="U87" i="2716"/>
  <c r="V87" i="2716" s="1"/>
  <c r="R14" i="2879"/>
  <c r="S14" i="2879" s="1"/>
  <c r="T17" i="2716"/>
  <c r="N75" i="2858"/>
  <c r="N27" i="2858"/>
  <c r="R31" i="2879"/>
  <c r="S31" i="2879" s="1"/>
  <c r="N31" i="2858"/>
  <c r="R54" i="2864"/>
  <c r="S54" i="2864" s="1"/>
  <c r="N74" i="2864"/>
  <c r="X29" i="2879"/>
  <c r="Y29" i="2879" s="1"/>
  <c r="X25" i="2879"/>
  <c r="Y25" i="2879" s="1"/>
  <c r="X68" i="2879"/>
  <c r="Y68" i="2879" s="1"/>
  <c r="X35" i="2879"/>
  <c r="Y35" i="2879" s="1"/>
  <c r="X31" i="2879"/>
  <c r="Y31" i="2879" s="1"/>
  <c r="X27" i="2879"/>
  <c r="Y27" i="2879" s="1"/>
  <c r="X74" i="2879"/>
  <c r="Y74" i="2879" s="1"/>
  <c r="R80" i="2878"/>
  <c r="S80" i="2878" s="1"/>
  <c r="R64" i="2878"/>
  <c r="S64" i="2878" s="1"/>
  <c r="R17" i="2858"/>
  <c r="S17" i="2858" s="1"/>
  <c r="R27" i="2879"/>
  <c r="S27" i="2879" s="1"/>
  <c r="N78" i="2879"/>
  <c r="R43" i="2878"/>
  <c r="S43" i="2878" s="1"/>
  <c r="N74" i="2879"/>
  <c r="R39" i="2878"/>
  <c r="S39" i="2878" s="1"/>
  <c r="R19" i="2878"/>
  <c r="S19" i="2878" s="1"/>
  <c r="R35" i="2879"/>
  <c r="S35" i="2879" s="1"/>
  <c r="N66" i="2879"/>
  <c r="X64" i="2864"/>
  <c r="Y64" i="2864" s="1"/>
  <c r="U10" i="2874"/>
  <c r="V10" i="2874" s="1"/>
  <c r="T36" i="2716"/>
  <c r="U29" i="2716"/>
  <c r="V29" i="2716" s="1"/>
  <c r="R76" i="2878"/>
  <c r="S76" i="2878" s="1"/>
  <c r="R60" i="2878"/>
  <c r="S60" i="2878" s="1"/>
  <c r="N57" i="2858"/>
  <c r="N64" i="2864"/>
  <c r="R72" i="2878"/>
  <c r="S72" i="2878" s="1"/>
  <c r="R56" i="2878"/>
  <c r="S56" i="2878" s="1"/>
  <c r="R60" i="2864"/>
  <c r="S60" i="2864" s="1"/>
  <c r="T25" i="2716"/>
  <c r="J90" i="2839"/>
  <c r="J89" i="2834"/>
  <c r="N54" i="2878"/>
  <c r="R68" i="2878"/>
  <c r="S68" i="2878" s="1"/>
  <c r="R13" i="2858"/>
  <c r="S13" i="2858" s="1"/>
  <c r="U9" i="2876"/>
  <c r="V9" i="2876" s="1"/>
  <c r="U85" i="2875"/>
  <c r="V85" i="2875" s="1"/>
  <c r="U55" i="2876"/>
  <c r="V55" i="2876" s="1"/>
  <c r="X19" i="2864"/>
  <c r="Y19" i="2864" s="1"/>
  <c r="U9" i="2874"/>
  <c r="V9" i="2874" s="1"/>
  <c r="R18" i="2879"/>
  <c r="S18" i="2879" s="1"/>
  <c r="R10" i="2879"/>
  <c r="S10" i="2879" s="1"/>
  <c r="N15" i="2864"/>
  <c r="U73" i="2874"/>
  <c r="V73" i="2874" s="1"/>
  <c r="U85" i="2874"/>
  <c r="V85" i="2874" s="1"/>
  <c r="U49" i="2876"/>
  <c r="V49" i="2876" s="1"/>
  <c r="U4" i="2716"/>
  <c r="V4" i="2716" s="1"/>
  <c r="R22" i="2879"/>
  <c r="S22" i="2879" s="1"/>
  <c r="R70" i="2878"/>
  <c r="S70" i="2878" s="1"/>
  <c r="U29" i="2876"/>
  <c r="V29" i="2876" s="1"/>
  <c r="N69" i="2890"/>
  <c r="R26" i="2879"/>
  <c r="S26" i="2879" s="1"/>
  <c r="R65" i="2879"/>
  <c r="S65" i="2879" s="1"/>
  <c r="J90" i="2838"/>
  <c r="U55" i="2874"/>
  <c r="V55" i="2874" s="1"/>
  <c r="N54" i="2858"/>
  <c r="U21" i="2875"/>
  <c r="V21" i="2875" s="1"/>
  <c r="U102" i="2875"/>
  <c r="V102" i="2875" s="1"/>
  <c r="N67" i="2898"/>
  <c r="N50" i="2889"/>
  <c r="X64" i="2889"/>
  <c r="Y64" i="2889" s="1"/>
  <c r="R77" i="2889"/>
  <c r="S77" i="2889" s="1"/>
  <c r="N68" i="2890"/>
  <c r="N58" i="2894"/>
  <c r="N50" i="2898"/>
  <c r="U33" i="2874"/>
  <c r="V33" i="2874" s="1"/>
  <c r="U15" i="2875"/>
  <c r="V15" i="2875" s="1"/>
  <c r="U17" i="2875"/>
  <c r="V17" i="2875" s="1"/>
  <c r="X35" i="2864"/>
  <c r="Y35" i="2864" s="1"/>
  <c r="X77" i="2864"/>
  <c r="Y77" i="2864" s="1"/>
  <c r="X49" i="2864"/>
  <c r="Y49" i="2864" s="1"/>
  <c r="X25" i="2858"/>
  <c r="Y25" i="2858" s="1"/>
  <c r="X9" i="2858"/>
  <c r="Y9" i="2858" s="1"/>
  <c r="N77" i="2879"/>
  <c r="X78" i="2879"/>
  <c r="Y78" i="2879" s="1"/>
  <c r="R77" i="2864"/>
  <c r="S77" i="2864" s="1"/>
  <c r="R11" i="2864"/>
  <c r="S11" i="2864" s="1"/>
  <c r="T26" i="2716"/>
  <c r="U82" i="2716"/>
  <c r="V82" i="2716" s="1"/>
  <c r="U22" i="2876"/>
  <c r="V22" i="2876" s="1"/>
  <c r="N75" i="2878"/>
  <c r="R74" i="2858"/>
  <c r="S74" i="2858" s="1"/>
  <c r="R19" i="2864"/>
  <c r="S19" i="2864" s="1"/>
  <c r="U98" i="2716"/>
  <c r="V98" i="2716" s="1"/>
  <c r="X33" i="2858"/>
  <c r="Y33" i="2858" s="1"/>
  <c r="U43" i="2874"/>
  <c r="V43" i="2874" s="1"/>
  <c r="R72" i="2884"/>
  <c r="S72" i="2884" s="1"/>
  <c r="X12" i="2893"/>
  <c r="Y12" i="2893" s="1"/>
  <c r="X22" i="2893"/>
  <c r="Y22" i="2893" s="1"/>
  <c r="N23" i="2893"/>
  <c r="N81" i="2894"/>
  <c r="X24" i="2898"/>
  <c r="Y24" i="2898" s="1"/>
  <c r="N66" i="2898"/>
  <c r="N31" i="2864"/>
  <c r="T48" i="2716"/>
  <c r="J90" i="2836"/>
  <c r="U18" i="2876"/>
  <c r="V18" i="2876" s="1"/>
  <c r="U93" i="2876"/>
  <c r="V93" i="2876" s="1"/>
  <c r="N79" i="2878"/>
  <c r="N22" i="2858"/>
  <c r="R62" i="2858"/>
  <c r="S62" i="2858" s="1"/>
  <c r="R70" i="2858"/>
  <c r="S70" i="2858" s="1"/>
  <c r="R35" i="2864"/>
  <c r="S35" i="2864" s="1"/>
  <c r="R37" i="2879"/>
  <c r="S37" i="2879" s="1"/>
  <c r="X23" i="2879"/>
  <c r="Y23" i="2879" s="1"/>
  <c r="X19" i="2879"/>
  <c r="Y19" i="2879" s="1"/>
  <c r="X15" i="2879"/>
  <c r="Y15" i="2879" s="1"/>
  <c r="X11" i="2879"/>
  <c r="Y11" i="2879" s="1"/>
  <c r="X54" i="2879"/>
  <c r="Y54" i="2879" s="1"/>
  <c r="N54" i="2888"/>
  <c r="N17" i="2891"/>
  <c r="N80" i="2894"/>
  <c r="R30" i="2895"/>
  <c r="S30" i="2895" s="1"/>
  <c r="R23" i="2864"/>
  <c r="S23" i="2864" s="1"/>
  <c r="U77" i="2874"/>
  <c r="V77" i="2874" s="1"/>
  <c r="U31" i="2874"/>
  <c r="V31" i="2874" s="1"/>
  <c r="R37" i="2878"/>
  <c r="S37" i="2878" s="1"/>
  <c r="N63" i="2878"/>
  <c r="R50" i="2858"/>
  <c r="S50" i="2858" s="1"/>
  <c r="N66" i="2858"/>
  <c r="X26" i="2891"/>
  <c r="Y26" i="2891" s="1"/>
  <c r="R30" i="2891"/>
  <c r="S30" i="2891" s="1"/>
  <c r="R33" i="2889"/>
  <c r="S33" i="2889" s="1"/>
  <c r="X34" i="2897"/>
  <c r="Y34" i="2897" s="1"/>
  <c r="N45" i="2897"/>
  <c r="R13" i="2898"/>
  <c r="S13" i="2898" s="1"/>
  <c r="N49" i="2898"/>
  <c r="R34" i="2879"/>
  <c r="S34" i="2879" s="1"/>
  <c r="R61" i="2879"/>
  <c r="S61" i="2879" s="1"/>
  <c r="N47" i="2885"/>
  <c r="N59" i="2889"/>
  <c r="N76" i="2890"/>
  <c r="N47" i="2891"/>
  <c r="N65" i="2893"/>
  <c r="N70" i="2893"/>
  <c r="N75" i="2893"/>
  <c r="N80" i="2893"/>
  <c r="X81" i="2894"/>
  <c r="Y81" i="2894" s="1"/>
  <c r="N24" i="2858"/>
  <c r="X14" i="2889"/>
  <c r="Y14" i="2889" s="1"/>
  <c r="X33" i="2893"/>
  <c r="Y33" i="2893" s="1"/>
  <c r="R37" i="2893"/>
  <c r="S37" i="2893" s="1"/>
  <c r="N59" i="2893"/>
  <c r="X25" i="2898"/>
  <c r="Y25" i="2898" s="1"/>
  <c r="X13" i="2885"/>
  <c r="Y13" i="2885" s="1"/>
  <c r="X15" i="2885"/>
  <c r="Y15" i="2885" s="1"/>
  <c r="X17" i="2885"/>
  <c r="Y17" i="2885" s="1"/>
  <c r="X19" i="2885"/>
  <c r="Y19" i="2885" s="1"/>
  <c r="X21" i="2885"/>
  <c r="Y21" i="2885" s="1"/>
  <c r="X23" i="2885"/>
  <c r="Y23" i="2885" s="1"/>
  <c r="X25" i="2885"/>
  <c r="Y25" i="2885" s="1"/>
  <c r="X27" i="2885"/>
  <c r="Y27" i="2885" s="1"/>
  <c r="X29" i="2885"/>
  <c r="Y29" i="2885" s="1"/>
  <c r="X31" i="2885"/>
  <c r="Y31" i="2885" s="1"/>
  <c r="X33" i="2885"/>
  <c r="Y33" i="2885" s="1"/>
  <c r="X35" i="2885"/>
  <c r="Y35" i="2885" s="1"/>
  <c r="X37" i="2885"/>
  <c r="Y37" i="2885" s="1"/>
  <c r="X39" i="2885"/>
  <c r="Y39" i="2885" s="1"/>
  <c r="X41" i="2885"/>
  <c r="Y41" i="2885" s="1"/>
  <c r="X79" i="2888"/>
  <c r="Y79" i="2888" s="1"/>
  <c r="N80" i="2888"/>
  <c r="N52" i="2889"/>
  <c r="R76" i="2889"/>
  <c r="S76" i="2889" s="1"/>
  <c r="X77" i="2889"/>
  <c r="Y77" i="2889" s="1"/>
  <c r="X28" i="2890"/>
  <c r="Y28" i="2890" s="1"/>
  <c r="X36" i="2890"/>
  <c r="Y36" i="2890" s="1"/>
  <c r="X35" i="2891"/>
  <c r="Y35" i="2891" s="1"/>
  <c r="X26" i="2893"/>
  <c r="Y26" i="2893" s="1"/>
  <c r="N61" i="2893"/>
  <c r="R27" i="2894"/>
  <c r="S27" i="2894" s="1"/>
  <c r="X28" i="2894"/>
  <c r="Y28" i="2894" s="1"/>
  <c r="X32" i="2894"/>
  <c r="Y32" i="2894" s="1"/>
  <c r="X30" i="2895"/>
  <c r="Y30" i="2895" s="1"/>
  <c r="X15" i="2897"/>
  <c r="Y15" i="2897" s="1"/>
  <c r="X33" i="2897"/>
  <c r="Y33" i="2897" s="1"/>
  <c r="R19" i="2898"/>
  <c r="S19" i="2898" s="1"/>
  <c r="X74" i="2864"/>
  <c r="Y74" i="2864" s="1"/>
  <c r="U20" i="2875"/>
  <c r="V20" i="2875" s="1"/>
  <c r="N79" i="2888"/>
  <c r="N77" i="2890"/>
  <c r="N55" i="2891"/>
  <c r="N70" i="2891"/>
  <c r="X27" i="2894"/>
  <c r="Y27" i="2894" s="1"/>
  <c r="N79" i="2894"/>
  <c r="R25" i="2898"/>
  <c r="S25" i="2898" s="1"/>
  <c r="X46" i="2898"/>
  <c r="Y46" i="2898" s="1"/>
  <c r="N58" i="2898"/>
  <c r="N63" i="2898"/>
  <c r="N71" i="2898"/>
  <c r="R50" i="2864"/>
  <c r="S50" i="2864" s="1"/>
  <c r="R56" i="2884"/>
  <c r="S56" i="2884" s="1"/>
  <c r="X23" i="2893"/>
  <c r="Y23" i="2893" s="1"/>
  <c r="R29" i="2893"/>
  <c r="S29" i="2893" s="1"/>
  <c r="R18" i="2895"/>
  <c r="S18" i="2895" s="1"/>
  <c r="X56" i="2895"/>
  <c r="Y56" i="2895" s="1"/>
  <c r="X31" i="2898"/>
  <c r="Y31" i="2898" s="1"/>
  <c r="X35" i="2898"/>
  <c r="Y35" i="2898" s="1"/>
  <c r="X54" i="2898"/>
  <c r="Y54" i="2898" s="1"/>
  <c r="N57" i="2898"/>
  <c r="N62" i="2898"/>
  <c r="N70" i="2898"/>
  <c r="X65" i="2885"/>
  <c r="Y65" i="2885" s="1"/>
  <c r="X67" i="2885"/>
  <c r="Y67" i="2885" s="1"/>
  <c r="R30" i="2887"/>
  <c r="S30" i="2887" s="1"/>
  <c r="X38" i="2888"/>
  <c r="Y38" i="2888" s="1"/>
  <c r="N58" i="2888"/>
  <c r="R24" i="2889"/>
  <c r="S24" i="2889" s="1"/>
  <c r="X29" i="2889"/>
  <c r="Y29" i="2889" s="1"/>
  <c r="X33" i="2889"/>
  <c r="Y33" i="2889" s="1"/>
  <c r="X75" i="2889"/>
  <c r="Y75" i="2889" s="1"/>
  <c r="X17" i="2890"/>
  <c r="Y17" i="2890" s="1"/>
  <c r="X16" i="2891"/>
  <c r="Y16" i="2891" s="1"/>
  <c r="X80" i="2892"/>
  <c r="Y80" i="2892" s="1"/>
  <c r="R25" i="2893"/>
  <c r="S25" i="2893" s="1"/>
  <c r="X30" i="2893"/>
  <c r="Y30" i="2893" s="1"/>
  <c r="X37" i="2893"/>
  <c r="Y37" i="2893" s="1"/>
  <c r="R41" i="2893"/>
  <c r="S41" i="2893" s="1"/>
  <c r="N51" i="2893"/>
  <c r="N72" i="2893"/>
  <c r="X72" i="2893"/>
  <c r="Y72" i="2893" s="1"/>
  <c r="N77" i="2893"/>
  <c r="X77" i="2893"/>
  <c r="Y77" i="2893" s="1"/>
  <c r="R30" i="2894"/>
  <c r="S30" i="2894" s="1"/>
  <c r="N56" i="2894"/>
  <c r="N62" i="2894"/>
  <c r="N64" i="2894"/>
  <c r="N65" i="2894"/>
  <c r="X65" i="2894"/>
  <c r="Y65" i="2894" s="1"/>
  <c r="R19" i="2895"/>
  <c r="S19" i="2895" s="1"/>
  <c r="X55" i="2895"/>
  <c r="Y55" i="2895" s="1"/>
  <c r="X79" i="2895"/>
  <c r="Y79" i="2895" s="1"/>
  <c r="R39" i="2896"/>
  <c r="S39" i="2896" s="1"/>
  <c r="R46" i="2896"/>
  <c r="S46" i="2896" s="1"/>
  <c r="X85" i="2896"/>
  <c r="Y85" i="2896" s="1"/>
  <c r="X28" i="2897"/>
  <c r="Y28" i="2897" s="1"/>
  <c r="R32" i="2897"/>
  <c r="S32" i="2897" s="1"/>
  <c r="X32" i="2897"/>
  <c r="Y32" i="2897" s="1"/>
  <c r="R9" i="2898"/>
  <c r="S9" i="2898" s="1"/>
  <c r="R17" i="2898"/>
  <c r="S17" i="2898" s="1"/>
  <c r="R18" i="2898"/>
  <c r="S18" i="2898" s="1"/>
  <c r="X58" i="2898"/>
  <c r="Y58" i="2898" s="1"/>
  <c r="N64" i="2898"/>
  <c r="N68" i="2898"/>
  <c r="N72" i="2898"/>
  <c r="N73" i="2898"/>
  <c r="N74" i="2898"/>
  <c r="X70" i="2884"/>
  <c r="Y70" i="2884" s="1"/>
  <c r="R78" i="2884"/>
  <c r="S78" i="2884" s="1"/>
  <c r="R58" i="2885"/>
  <c r="S58" i="2885" s="1"/>
  <c r="R81" i="2885"/>
  <c r="S81" i="2885" s="1"/>
  <c r="N70" i="2888"/>
  <c r="N20" i="2889"/>
  <c r="X24" i="2889"/>
  <c r="Y24" i="2889" s="1"/>
  <c r="N38" i="2889"/>
  <c r="N75" i="2889"/>
  <c r="X61" i="2890"/>
  <c r="Y61" i="2890" s="1"/>
  <c r="N75" i="2890"/>
  <c r="R78" i="2890"/>
  <c r="S78" i="2890" s="1"/>
  <c r="N19" i="2891"/>
  <c r="R36" i="2891"/>
  <c r="S36" i="2891" s="1"/>
  <c r="N51" i="2891"/>
  <c r="N62" i="2891"/>
  <c r="X75" i="2891"/>
  <c r="Y75" i="2891" s="1"/>
  <c r="W44" i="2893"/>
  <c r="W46" i="2893" s="1"/>
  <c r="X24" i="2893"/>
  <c r="Y24" i="2893" s="1"/>
  <c r="X25" i="2893"/>
  <c r="Y25" i="2893" s="1"/>
  <c r="X34" i="2893"/>
  <c r="Y34" i="2893" s="1"/>
  <c r="X41" i="2893"/>
  <c r="Y41" i="2893" s="1"/>
  <c r="W83" i="2893"/>
  <c r="W85" i="2893" s="1"/>
  <c r="N53" i="2893"/>
  <c r="X65" i="2893"/>
  <c r="Y65" i="2893" s="1"/>
  <c r="N66" i="2893"/>
  <c r="X66" i="2893"/>
  <c r="Y66" i="2893" s="1"/>
  <c r="N71" i="2893"/>
  <c r="N76" i="2893"/>
  <c r="N78" i="2894"/>
  <c r="X16" i="2895"/>
  <c r="Y16" i="2895" s="1"/>
  <c r="X19" i="2895"/>
  <c r="Y19" i="2895" s="1"/>
  <c r="X64" i="2895"/>
  <c r="Y64" i="2895" s="1"/>
  <c r="X73" i="2895"/>
  <c r="Y73" i="2895" s="1"/>
  <c r="N69" i="2896"/>
  <c r="X74" i="2896"/>
  <c r="Y74" i="2896" s="1"/>
  <c r="N77" i="2896"/>
  <c r="X82" i="2896"/>
  <c r="Y82" i="2896" s="1"/>
  <c r="X19" i="2897"/>
  <c r="Y19" i="2897" s="1"/>
  <c r="X23" i="2897"/>
  <c r="Y23" i="2897" s="1"/>
  <c r="X47" i="2897"/>
  <c r="Y47" i="2897" s="1"/>
  <c r="X54" i="2897"/>
  <c r="Y54" i="2897" s="1"/>
  <c r="R11" i="2898"/>
  <c r="S11" i="2898" s="1"/>
  <c r="X14" i="2898"/>
  <c r="Y14" i="2898" s="1"/>
  <c r="R23" i="2898"/>
  <c r="S23" i="2898" s="1"/>
  <c r="X30" i="2898"/>
  <c r="Y30" i="2898" s="1"/>
  <c r="R33" i="2898"/>
  <c r="S33" i="2898" s="1"/>
  <c r="N45" i="2898"/>
  <c r="N46" i="2898"/>
  <c r="X50" i="2898"/>
  <c r="Y50" i="2898" s="1"/>
  <c r="X58" i="2885"/>
  <c r="Y58" i="2885" s="1"/>
  <c r="R74" i="2885"/>
  <c r="S74" i="2885" s="1"/>
  <c r="R14" i="2889"/>
  <c r="S14" i="2889" s="1"/>
  <c r="R36" i="2889"/>
  <c r="S36" i="2889" s="1"/>
  <c r="N67" i="2889"/>
  <c r="X72" i="2889"/>
  <c r="Y72" i="2889" s="1"/>
  <c r="N70" i="2890"/>
  <c r="X77" i="2890"/>
  <c r="Y77" i="2890" s="1"/>
  <c r="R22" i="2891"/>
  <c r="S22" i="2891" s="1"/>
  <c r="R35" i="2891"/>
  <c r="S35" i="2891" s="1"/>
  <c r="X36" i="2891"/>
  <c r="Y36" i="2891" s="1"/>
  <c r="X29" i="2893"/>
  <c r="Y29" i="2893" s="1"/>
  <c r="R33" i="2893"/>
  <c r="S33" i="2893" s="1"/>
  <c r="X38" i="2893"/>
  <c r="Y38" i="2893" s="1"/>
  <c r="R27" i="2895"/>
  <c r="S27" i="2895" s="1"/>
  <c r="X34" i="2895"/>
  <c r="Y34" i="2895" s="1"/>
  <c r="R36" i="2895"/>
  <c r="S36" i="2895" s="1"/>
  <c r="X63" i="2895"/>
  <c r="Y63" i="2895" s="1"/>
  <c r="R34" i="2897"/>
  <c r="S34" i="2897" s="1"/>
  <c r="N47" i="2897"/>
  <c r="X50" i="2897"/>
  <c r="Y50" i="2897" s="1"/>
  <c r="X54" i="2884"/>
  <c r="Y54" i="2884" s="1"/>
  <c r="R62" i="2884"/>
  <c r="S62" i="2884" s="1"/>
  <c r="X74" i="2885"/>
  <c r="Y74" i="2885" s="1"/>
  <c r="R24" i="2887"/>
  <c r="S24" i="2887" s="1"/>
  <c r="N74" i="2887"/>
  <c r="X39" i="2894"/>
  <c r="Y39" i="2894" s="1"/>
  <c r="R26" i="2895"/>
  <c r="S26" i="2895" s="1"/>
  <c r="X27" i="2895"/>
  <c r="Y27" i="2895" s="1"/>
  <c r="X42" i="2895"/>
  <c r="Y42" i="2895" s="1"/>
  <c r="X69" i="2895"/>
  <c r="Y69" i="2895" s="1"/>
  <c r="X40" i="2896"/>
  <c r="Y40" i="2896" s="1"/>
  <c r="X42" i="2896"/>
  <c r="Y42" i="2896" s="1"/>
  <c r="R85" i="2896"/>
  <c r="S85" i="2896" s="1"/>
  <c r="X11" i="2897"/>
  <c r="Y11" i="2897" s="1"/>
  <c r="X20" i="2897"/>
  <c r="Y20" i="2897" s="1"/>
  <c r="R24" i="2897"/>
  <c r="S24" i="2897" s="1"/>
  <c r="X45" i="2897"/>
  <c r="Y45" i="2897" s="1"/>
  <c r="X10" i="2898"/>
  <c r="Y10" i="2898" s="1"/>
  <c r="R15" i="2898"/>
  <c r="S15" i="2898" s="1"/>
  <c r="X22" i="2898"/>
  <c r="Y22" i="2898" s="1"/>
  <c r="X23" i="2898"/>
  <c r="Y23" i="2898" s="1"/>
  <c r="X27" i="2898"/>
  <c r="Y27" i="2898" s="1"/>
  <c r="R31" i="2898"/>
  <c r="S31" i="2898" s="1"/>
  <c r="X32" i="2898"/>
  <c r="Y32" i="2898" s="1"/>
  <c r="X33" i="2898"/>
  <c r="Y33" i="2898" s="1"/>
  <c r="N53" i="2898"/>
  <c r="N54" i="2898"/>
  <c r="N60" i="2898"/>
  <c r="N61" i="2898"/>
  <c r="N65" i="2898"/>
  <c r="N69" i="2898"/>
  <c r="X72" i="2898"/>
  <c r="Y72" i="2898" s="1"/>
  <c r="X73" i="2898"/>
  <c r="Y73" i="2898" s="1"/>
  <c r="R52" i="2884"/>
  <c r="S52" i="2884" s="1"/>
  <c r="R66" i="2884"/>
  <c r="S66" i="2884" s="1"/>
  <c r="X53" i="2885"/>
  <c r="Y53" i="2885" s="1"/>
  <c r="R60" i="2885"/>
  <c r="S60" i="2885" s="1"/>
  <c r="X78" i="2885"/>
  <c r="Y78" i="2885" s="1"/>
  <c r="X35" i="2886"/>
  <c r="Y35" i="2886" s="1"/>
  <c r="X36" i="2887"/>
  <c r="Y36" i="2887" s="1"/>
  <c r="R38" i="2887"/>
  <c r="S38" i="2887" s="1"/>
  <c r="X34" i="2888"/>
  <c r="Y34" i="2888" s="1"/>
  <c r="N62" i="2888"/>
  <c r="X70" i="2888"/>
  <c r="Y70" i="2888" s="1"/>
  <c r="X72" i="2888"/>
  <c r="Y72" i="2888" s="1"/>
  <c r="X76" i="2888"/>
  <c r="Y76" i="2888" s="1"/>
  <c r="X80" i="2888"/>
  <c r="Y80" i="2888" s="1"/>
  <c r="X19" i="2889"/>
  <c r="Y19" i="2889" s="1"/>
  <c r="X25" i="2889"/>
  <c r="Y25" i="2889" s="1"/>
  <c r="X27" i="2889"/>
  <c r="Y27" i="2889" s="1"/>
  <c r="X37" i="2889"/>
  <c r="Y37" i="2889" s="1"/>
  <c r="X38" i="2889"/>
  <c r="Y38" i="2889" s="1"/>
  <c r="X13" i="2890"/>
  <c r="Y13" i="2890" s="1"/>
  <c r="X30" i="2890"/>
  <c r="Y30" i="2890" s="1"/>
  <c r="X38" i="2890"/>
  <c r="Y38" i="2890" s="1"/>
  <c r="X75" i="2890"/>
  <c r="Y75" i="2890" s="1"/>
  <c r="R64" i="2891"/>
  <c r="S64" i="2891" s="1"/>
  <c r="N64" i="2891"/>
  <c r="R65" i="2891"/>
  <c r="S65" i="2891" s="1"/>
  <c r="N65" i="2891"/>
  <c r="N46" i="2884"/>
  <c r="X51" i="2884"/>
  <c r="Y51" i="2884" s="1"/>
  <c r="N53" i="2884"/>
  <c r="X68" i="2884"/>
  <c r="Y68" i="2884" s="1"/>
  <c r="X14" i="2885"/>
  <c r="Y14" i="2885" s="1"/>
  <c r="X16" i="2885"/>
  <c r="Y16" i="2885" s="1"/>
  <c r="X18" i="2885"/>
  <c r="Y18" i="2885" s="1"/>
  <c r="X20" i="2885"/>
  <c r="Y20" i="2885" s="1"/>
  <c r="X22" i="2885"/>
  <c r="Y22" i="2885" s="1"/>
  <c r="X24" i="2885"/>
  <c r="Y24" i="2885" s="1"/>
  <c r="X26" i="2885"/>
  <c r="Y26" i="2885" s="1"/>
  <c r="X28" i="2885"/>
  <c r="Y28" i="2885" s="1"/>
  <c r="X30" i="2885"/>
  <c r="Y30" i="2885" s="1"/>
  <c r="X32" i="2885"/>
  <c r="Y32" i="2885" s="1"/>
  <c r="X34" i="2885"/>
  <c r="Y34" i="2885" s="1"/>
  <c r="X36" i="2885"/>
  <c r="Y36" i="2885" s="1"/>
  <c r="X38" i="2885"/>
  <c r="Y38" i="2885" s="1"/>
  <c r="X40" i="2885"/>
  <c r="Y40" i="2885" s="1"/>
  <c r="X42" i="2885"/>
  <c r="Y42" i="2885" s="1"/>
  <c r="X62" i="2885"/>
  <c r="Y62" i="2885" s="1"/>
  <c r="X66" i="2885"/>
  <c r="Y66" i="2885" s="1"/>
  <c r="R68" i="2885"/>
  <c r="S68" i="2885" s="1"/>
  <c r="X76" i="2885"/>
  <c r="Y76" i="2885" s="1"/>
  <c r="N72" i="2887"/>
  <c r="N79" i="2887"/>
  <c r="X33" i="2888"/>
  <c r="Y33" i="2888" s="1"/>
  <c r="R15" i="2891"/>
  <c r="S15" i="2891" s="1"/>
  <c r="N15" i="2891"/>
  <c r="X21" i="2891"/>
  <c r="Y21" i="2891" s="1"/>
  <c r="N27" i="2891"/>
  <c r="R27" i="2891"/>
  <c r="S27" i="2891" s="1"/>
  <c r="R49" i="2891"/>
  <c r="S49" i="2891" s="1"/>
  <c r="N49" i="2891"/>
  <c r="R57" i="2891"/>
  <c r="S57" i="2891" s="1"/>
  <c r="N57" i="2891"/>
  <c r="R71" i="2891"/>
  <c r="S71" i="2891" s="1"/>
  <c r="N71" i="2891"/>
  <c r="X72" i="2884"/>
  <c r="Y72" i="2884" s="1"/>
  <c r="X76" i="2884"/>
  <c r="Y76" i="2884" s="1"/>
  <c r="X59" i="2885"/>
  <c r="Y59" i="2885" s="1"/>
  <c r="X60" i="2885"/>
  <c r="Y60" i="2885" s="1"/>
  <c r="X70" i="2885"/>
  <c r="Y70" i="2885" s="1"/>
  <c r="X75" i="2885"/>
  <c r="Y75" i="2885" s="1"/>
  <c r="R87" i="2886"/>
  <c r="S87" i="2886" s="1"/>
  <c r="X14" i="2888"/>
  <c r="Y14" i="2888" s="1"/>
  <c r="X16" i="2888"/>
  <c r="Y16" i="2888" s="1"/>
  <c r="X18" i="2888"/>
  <c r="Y18" i="2888" s="1"/>
  <c r="X20" i="2888"/>
  <c r="Y20" i="2888" s="1"/>
  <c r="X22" i="2888"/>
  <c r="Y22" i="2888" s="1"/>
  <c r="X24" i="2888"/>
  <c r="Y24" i="2888" s="1"/>
  <c r="R26" i="2888"/>
  <c r="S26" i="2888" s="1"/>
  <c r="X75" i="2888"/>
  <c r="Y75" i="2888" s="1"/>
  <c r="X81" i="2888"/>
  <c r="Y81" i="2888" s="1"/>
  <c r="R13" i="2889"/>
  <c r="S13" i="2889" s="1"/>
  <c r="N54" i="2889"/>
  <c r="N61" i="2889"/>
  <c r="X63" i="2889"/>
  <c r="Y63" i="2889" s="1"/>
  <c r="N69" i="2889"/>
  <c r="X71" i="2889"/>
  <c r="Y71" i="2889" s="1"/>
  <c r="X21" i="2890"/>
  <c r="Y21" i="2890" s="1"/>
  <c r="R39" i="2890"/>
  <c r="S39" i="2890" s="1"/>
  <c r="R40" i="2890"/>
  <c r="S40" i="2890" s="1"/>
  <c r="N61" i="2890"/>
  <c r="N62" i="2890"/>
  <c r="X62" i="2890"/>
  <c r="Y62" i="2890" s="1"/>
  <c r="X49" i="2891"/>
  <c r="Y49" i="2891" s="1"/>
  <c r="R63" i="2891"/>
  <c r="S63" i="2891" s="1"/>
  <c r="N63" i="2891"/>
  <c r="X67" i="2891"/>
  <c r="Y67" i="2891" s="1"/>
  <c r="X31" i="2864"/>
  <c r="Y31" i="2864" s="1"/>
  <c r="X27" i="2864"/>
  <c r="Y27" i="2864" s="1"/>
  <c r="X23" i="2864"/>
  <c r="Y23" i="2864" s="1"/>
  <c r="X15" i="2864"/>
  <c r="Y15" i="2864" s="1"/>
  <c r="X11" i="2864"/>
  <c r="Y11" i="2864" s="1"/>
  <c r="X76" i="2864"/>
  <c r="Y76" i="2864" s="1"/>
  <c r="X68" i="2864"/>
  <c r="Y68" i="2864" s="1"/>
  <c r="X60" i="2864"/>
  <c r="Y60" i="2864" s="1"/>
  <c r="X56" i="2864"/>
  <c r="Y56" i="2864" s="1"/>
  <c r="X52" i="2864"/>
  <c r="Y52" i="2864" s="1"/>
  <c r="U90" i="2716"/>
  <c r="V90" i="2716" s="1"/>
  <c r="U86" i="2716"/>
  <c r="V86" i="2716" s="1"/>
  <c r="U70" i="2716"/>
  <c r="V70" i="2716" s="1"/>
  <c r="U48" i="2874"/>
  <c r="V48" i="2874" s="1"/>
  <c r="X29" i="2878"/>
  <c r="Y29" i="2878" s="1"/>
  <c r="X17" i="2878"/>
  <c r="Y17" i="2878" s="1"/>
  <c r="X38" i="2879"/>
  <c r="Y38" i="2879" s="1"/>
  <c r="X34" i="2879"/>
  <c r="Y34" i="2879" s="1"/>
  <c r="X30" i="2879"/>
  <c r="Y30" i="2879" s="1"/>
  <c r="X26" i="2879"/>
  <c r="Y26" i="2879" s="1"/>
  <c r="X22" i="2879"/>
  <c r="Y22" i="2879" s="1"/>
  <c r="X18" i="2879"/>
  <c r="Y18" i="2879" s="1"/>
  <c r="X14" i="2879"/>
  <c r="Y14" i="2879" s="1"/>
  <c r="X10" i="2879"/>
  <c r="Y10" i="2879" s="1"/>
  <c r="X21" i="2889"/>
  <c r="Y21" i="2889" s="1"/>
  <c r="R37" i="2889"/>
  <c r="S37" i="2889" s="1"/>
  <c r="N48" i="2889"/>
  <c r="N56" i="2889"/>
  <c r="N60" i="2889"/>
  <c r="N62" i="2889"/>
  <c r="X62" i="2889"/>
  <c r="Y62" i="2889" s="1"/>
  <c r="N68" i="2889"/>
  <c r="N70" i="2889"/>
  <c r="X70" i="2889"/>
  <c r="Y70" i="2889" s="1"/>
  <c r="X39" i="2890"/>
  <c r="Y39" i="2890" s="1"/>
  <c r="N67" i="2890"/>
  <c r="X67" i="2890"/>
  <c r="Y67" i="2890" s="1"/>
  <c r="X68" i="2890"/>
  <c r="Y68" i="2890" s="1"/>
  <c r="X69" i="2890"/>
  <c r="Y69" i="2890" s="1"/>
  <c r="X76" i="2890"/>
  <c r="Y76" i="2890" s="1"/>
  <c r="R16" i="2891"/>
  <c r="S16" i="2891" s="1"/>
  <c r="N16" i="2891"/>
  <c r="X27" i="2891"/>
  <c r="Y27" i="2891" s="1"/>
  <c r="X31" i="2891"/>
  <c r="Y31" i="2891" s="1"/>
  <c r="R53" i="2891"/>
  <c r="S53" i="2891" s="1"/>
  <c r="N53" i="2891"/>
  <c r="X59" i="2891"/>
  <c r="Y59" i="2891" s="1"/>
  <c r="R72" i="2891"/>
  <c r="S72" i="2891" s="1"/>
  <c r="N72" i="2891"/>
  <c r="R73" i="2891"/>
  <c r="S73" i="2891" s="1"/>
  <c r="N73" i="2891"/>
  <c r="X70" i="2893"/>
  <c r="Y70" i="2893" s="1"/>
  <c r="X71" i="2893"/>
  <c r="Y71" i="2893" s="1"/>
  <c r="X76" i="2893"/>
  <c r="Y76" i="2893" s="1"/>
  <c r="X79" i="2893"/>
  <c r="Y79" i="2893" s="1"/>
  <c r="X30" i="2894"/>
  <c r="Y30" i="2894" s="1"/>
  <c r="N21" i="2898"/>
  <c r="R21" i="2898"/>
  <c r="S21" i="2898" s="1"/>
  <c r="X37" i="2892"/>
  <c r="Y37" i="2892" s="1"/>
  <c r="X60" i="2892"/>
  <c r="Y60" i="2892" s="1"/>
  <c r="R68" i="2892"/>
  <c r="S68" i="2892" s="1"/>
  <c r="R28" i="2893"/>
  <c r="S28" i="2893" s="1"/>
  <c r="R32" i="2893"/>
  <c r="S32" i="2893" s="1"/>
  <c r="R36" i="2893"/>
  <c r="S36" i="2893" s="1"/>
  <c r="R40" i="2893"/>
  <c r="S40" i="2893" s="1"/>
  <c r="X67" i="2893"/>
  <c r="Y67" i="2893" s="1"/>
  <c r="R23" i="2895"/>
  <c r="S23" i="2895" s="1"/>
  <c r="X38" i="2895"/>
  <c r="Y38" i="2895" s="1"/>
  <c r="R40" i="2895"/>
  <c r="S40" i="2895" s="1"/>
  <c r="X44" i="2895"/>
  <c r="Y44" i="2895" s="1"/>
  <c r="X54" i="2895"/>
  <c r="Y54" i="2895" s="1"/>
  <c r="X62" i="2895"/>
  <c r="Y62" i="2895" s="1"/>
  <c r="X68" i="2895"/>
  <c r="Y68" i="2895" s="1"/>
  <c r="X72" i="2895"/>
  <c r="Y72" i="2895" s="1"/>
  <c r="N36" i="2896"/>
  <c r="R36" i="2896"/>
  <c r="S36" i="2896" s="1"/>
  <c r="R70" i="2896"/>
  <c r="S70" i="2896" s="1"/>
  <c r="N70" i="2896"/>
  <c r="R78" i="2896"/>
  <c r="S78" i="2896" s="1"/>
  <c r="N78" i="2896"/>
  <c r="N8" i="2898"/>
  <c r="R8" i="2898"/>
  <c r="S8" i="2898" s="1"/>
  <c r="N16" i="2898"/>
  <c r="R16" i="2898"/>
  <c r="S16" i="2898" s="1"/>
  <c r="X15" i="2891"/>
  <c r="Y15" i="2891" s="1"/>
  <c r="X23" i="2891"/>
  <c r="Y23" i="2891" s="1"/>
  <c r="X58" i="2891"/>
  <c r="Y58" i="2891" s="1"/>
  <c r="X66" i="2891"/>
  <c r="Y66" i="2891" s="1"/>
  <c r="X74" i="2891"/>
  <c r="Y74" i="2891" s="1"/>
  <c r="R28" i="2892"/>
  <c r="S28" i="2892" s="1"/>
  <c r="X68" i="2892"/>
  <c r="Y68" i="2892" s="1"/>
  <c r="X72" i="2892"/>
  <c r="Y72" i="2892" s="1"/>
  <c r="X76" i="2892"/>
  <c r="Y76" i="2892" s="1"/>
  <c r="R80" i="2892"/>
  <c r="S80" i="2892" s="1"/>
  <c r="X14" i="2893"/>
  <c r="Y14" i="2893" s="1"/>
  <c r="X15" i="2893"/>
  <c r="Y15" i="2893" s="1"/>
  <c r="X16" i="2893"/>
  <c r="Y16" i="2893" s="1"/>
  <c r="X17" i="2893"/>
  <c r="Y17" i="2893" s="1"/>
  <c r="X18" i="2893"/>
  <c r="Y18" i="2893" s="1"/>
  <c r="X19" i="2893"/>
  <c r="Y19" i="2893" s="1"/>
  <c r="X20" i="2893"/>
  <c r="Y20" i="2893" s="1"/>
  <c r="X21" i="2893"/>
  <c r="Y21" i="2893" s="1"/>
  <c r="R22" i="2893"/>
  <c r="S22" i="2893" s="1"/>
  <c r="R24" i="2893"/>
  <c r="S24" i="2893" s="1"/>
  <c r="X28" i="2893"/>
  <c r="Y28" i="2893" s="1"/>
  <c r="X32" i="2893"/>
  <c r="Y32" i="2893" s="1"/>
  <c r="X36" i="2893"/>
  <c r="Y36" i="2893" s="1"/>
  <c r="X40" i="2893"/>
  <c r="Y40" i="2893" s="1"/>
  <c r="N55" i="2893"/>
  <c r="N62" i="2893"/>
  <c r="X62" i="2893"/>
  <c r="Y62" i="2893" s="1"/>
  <c r="X63" i="2893"/>
  <c r="Y63" i="2893" s="1"/>
  <c r="N67" i="2893"/>
  <c r="N68" i="2893"/>
  <c r="X68" i="2893"/>
  <c r="Y68" i="2893" s="1"/>
  <c r="N73" i="2893"/>
  <c r="X73" i="2893"/>
  <c r="Y73" i="2893" s="1"/>
  <c r="N78" i="2893"/>
  <c r="X78" i="2893"/>
  <c r="Y78" i="2893" s="1"/>
  <c r="R79" i="2893"/>
  <c r="S79" i="2893" s="1"/>
  <c r="X80" i="2893"/>
  <c r="Y80" i="2893" s="1"/>
  <c r="X31" i="2894"/>
  <c r="Y31" i="2894" s="1"/>
  <c r="X33" i="2894"/>
  <c r="Y33" i="2894" s="1"/>
  <c r="R39" i="2894"/>
  <c r="S39" i="2894" s="1"/>
  <c r="R42" i="2894"/>
  <c r="S42" i="2894" s="1"/>
  <c r="N52" i="2894"/>
  <c r="N60" i="2894"/>
  <c r="N70" i="2894"/>
  <c r="R22" i="2895"/>
  <c r="S22" i="2895" s="1"/>
  <c r="X23" i="2895"/>
  <c r="Y23" i="2895" s="1"/>
  <c r="R28" i="2895"/>
  <c r="S28" i="2895" s="1"/>
  <c r="X33" i="2895"/>
  <c r="Y33" i="2895" s="1"/>
  <c r="R42" i="2895"/>
  <c r="S42" i="2895" s="1"/>
  <c r="X43" i="2895"/>
  <c r="Y43" i="2895" s="1"/>
  <c r="X60" i="2895"/>
  <c r="Y60" i="2895" s="1"/>
  <c r="X67" i="2895"/>
  <c r="Y67" i="2895" s="1"/>
  <c r="X71" i="2895"/>
  <c r="Y71" i="2895" s="1"/>
  <c r="X75" i="2895"/>
  <c r="Y75" i="2895" s="1"/>
  <c r="X32" i="2896"/>
  <c r="Y32" i="2896" s="1"/>
  <c r="N27" i="2898"/>
  <c r="R27" i="2898"/>
  <c r="S27" i="2898" s="1"/>
  <c r="X70" i="2890"/>
  <c r="Y70" i="2890" s="1"/>
  <c r="X79" i="2890"/>
  <c r="Y79" i="2890" s="1"/>
  <c r="X14" i="2891"/>
  <c r="Y14" i="2891" s="1"/>
  <c r="X29" i="2891"/>
  <c r="Y29" i="2891" s="1"/>
  <c r="X47" i="2891"/>
  <c r="Y47" i="2891" s="1"/>
  <c r="X65" i="2891"/>
  <c r="Y65" i="2891" s="1"/>
  <c r="X73" i="2891"/>
  <c r="Y73" i="2891" s="1"/>
  <c r="R40" i="2892"/>
  <c r="S40" i="2892" s="1"/>
  <c r="X13" i="2893"/>
  <c r="Y13" i="2893" s="1"/>
  <c r="N15" i="2893"/>
  <c r="N16" i="2893"/>
  <c r="N17" i="2893"/>
  <c r="N18" i="2893"/>
  <c r="N19" i="2893"/>
  <c r="N20" i="2893"/>
  <c r="N21" i="2893"/>
  <c r="R26" i="2893"/>
  <c r="S26" i="2893" s="1"/>
  <c r="X27" i="2893"/>
  <c r="Y27" i="2893" s="1"/>
  <c r="R30" i="2893"/>
  <c r="S30" i="2893" s="1"/>
  <c r="X31" i="2893"/>
  <c r="Y31" i="2893" s="1"/>
  <c r="R34" i="2893"/>
  <c r="S34" i="2893" s="1"/>
  <c r="X35" i="2893"/>
  <c r="Y35" i="2893" s="1"/>
  <c r="R38" i="2893"/>
  <c r="S38" i="2893" s="1"/>
  <c r="X39" i="2893"/>
  <c r="Y39" i="2893" s="1"/>
  <c r="N57" i="2893"/>
  <c r="N63" i="2893"/>
  <c r="N64" i="2893"/>
  <c r="X64" i="2893"/>
  <c r="Y64" i="2893" s="1"/>
  <c r="N69" i="2893"/>
  <c r="X69" i="2893"/>
  <c r="Y69" i="2893" s="1"/>
  <c r="N74" i="2893"/>
  <c r="X74" i="2893"/>
  <c r="Y74" i="2893" s="1"/>
  <c r="X75" i="2893"/>
  <c r="Y75" i="2893" s="1"/>
  <c r="X35" i="2894"/>
  <c r="Y35" i="2894" s="1"/>
  <c r="N54" i="2894"/>
  <c r="N71" i="2894"/>
  <c r="N72" i="2894"/>
  <c r="N73" i="2894"/>
  <c r="X73" i="2894"/>
  <c r="Y73" i="2894" s="1"/>
  <c r="X58" i="2895"/>
  <c r="Y58" i="2895" s="1"/>
  <c r="X59" i="2895"/>
  <c r="Y59" i="2895" s="1"/>
  <c r="X66" i="2895"/>
  <c r="Y66" i="2895" s="1"/>
  <c r="X70" i="2895"/>
  <c r="Y70" i="2895" s="1"/>
  <c r="X74" i="2895"/>
  <c r="Y74" i="2895" s="1"/>
  <c r="R72" i="2896"/>
  <c r="S72" i="2896" s="1"/>
  <c r="N72" i="2896"/>
  <c r="R80" i="2896"/>
  <c r="S80" i="2896" s="1"/>
  <c r="N80" i="2896"/>
  <c r="N12" i="2898"/>
  <c r="R12" i="2898"/>
  <c r="S12" i="2898" s="1"/>
  <c r="X78" i="2895"/>
  <c r="Y78" i="2895" s="1"/>
  <c r="X82" i="2895"/>
  <c r="Y82" i="2895" s="1"/>
  <c r="X39" i="2896"/>
  <c r="Y39" i="2896" s="1"/>
  <c r="X44" i="2896"/>
  <c r="Y44" i="2896" s="1"/>
  <c r="N71" i="2896"/>
  <c r="X73" i="2896"/>
  <c r="Y73" i="2896" s="1"/>
  <c r="N79" i="2896"/>
  <c r="X81" i="2896"/>
  <c r="Y81" i="2896" s="1"/>
  <c r="X6" i="2897"/>
  <c r="Y6" i="2897" s="1"/>
  <c r="X8" i="2897"/>
  <c r="Y8" i="2897" s="1"/>
  <c r="X13" i="2897"/>
  <c r="Y13" i="2897" s="1"/>
  <c r="X52" i="2897"/>
  <c r="Y52" i="2897" s="1"/>
  <c r="X6" i="2898"/>
  <c r="Y6" i="2898" s="1"/>
  <c r="X9" i="2898"/>
  <c r="Y9" i="2898" s="1"/>
  <c r="X13" i="2898"/>
  <c r="Y13" i="2898" s="1"/>
  <c r="X17" i="2898"/>
  <c r="Y17" i="2898" s="1"/>
  <c r="X18" i="2898"/>
  <c r="Y18" i="2898" s="1"/>
  <c r="X19" i="2898"/>
  <c r="Y19" i="2898" s="1"/>
  <c r="X28" i="2898"/>
  <c r="Y28" i="2898" s="1"/>
  <c r="X29" i="2898"/>
  <c r="Y29" i="2898" s="1"/>
  <c r="X34" i="2898"/>
  <c r="Y34" i="2898" s="1"/>
  <c r="X74" i="2898"/>
  <c r="Y74" i="2898" s="1"/>
  <c r="X77" i="2895"/>
  <c r="Y77" i="2895" s="1"/>
  <c r="X81" i="2895"/>
  <c r="Y81" i="2895" s="1"/>
  <c r="R32" i="2896"/>
  <c r="S32" i="2896" s="1"/>
  <c r="R35" i="2896"/>
  <c r="S35" i="2896" s="1"/>
  <c r="X36" i="2896"/>
  <c r="Y36" i="2896" s="1"/>
  <c r="R43" i="2896"/>
  <c r="S43" i="2896" s="1"/>
  <c r="X72" i="2896"/>
  <c r="Y72" i="2896" s="1"/>
  <c r="X80" i="2896"/>
  <c r="Y80" i="2896" s="1"/>
  <c r="X51" i="2897"/>
  <c r="Y51" i="2897" s="1"/>
  <c r="X8" i="2898"/>
  <c r="Y8" i="2898" s="1"/>
  <c r="X12" i="2898"/>
  <c r="Y12" i="2898" s="1"/>
  <c r="X16" i="2898"/>
  <c r="Y16" i="2898" s="1"/>
  <c r="W77" i="2898"/>
  <c r="W79" i="2898" s="1"/>
  <c r="X76" i="2895"/>
  <c r="Y76" i="2895" s="1"/>
  <c r="X80" i="2895"/>
  <c r="Y80" i="2895" s="1"/>
  <c r="X17" i="2896"/>
  <c r="Y17" i="2896" s="1"/>
  <c r="X19" i="2896"/>
  <c r="Y19" i="2896" s="1"/>
  <c r="X21" i="2896"/>
  <c r="Y21" i="2896" s="1"/>
  <c r="X23" i="2896"/>
  <c r="Y23" i="2896" s="1"/>
  <c r="X25" i="2896"/>
  <c r="Y25" i="2896" s="1"/>
  <c r="X27" i="2896"/>
  <c r="Y27" i="2896" s="1"/>
  <c r="X29" i="2896"/>
  <c r="Y29" i="2896" s="1"/>
  <c r="R40" i="2896"/>
  <c r="S40" i="2896" s="1"/>
  <c r="X45" i="2896"/>
  <c r="Y45" i="2896" s="1"/>
  <c r="X46" i="2896"/>
  <c r="Y46" i="2896" s="1"/>
  <c r="X7" i="2897"/>
  <c r="Y7" i="2897" s="1"/>
  <c r="X9" i="2897"/>
  <c r="Y9" i="2897" s="1"/>
  <c r="X24" i="2897"/>
  <c r="Y24" i="2897" s="1"/>
  <c r="R26" i="2897"/>
  <c r="S26" i="2897" s="1"/>
  <c r="X48" i="2897"/>
  <c r="Y48" i="2897" s="1"/>
  <c r="X7" i="2898"/>
  <c r="Y7" i="2898" s="1"/>
  <c r="R10" i="2898"/>
  <c r="S10" i="2898" s="1"/>
  <c r="X11" i="2898"/>
  <c r="Y11" i="2898" s="1"/>
  <c r="R14" i="2898"/>
  <c r="S14" i="2898" s="1"/>
  <c r="X15" i="2898"/>
  <c r="Y15" i="2898" s="1"/>
  <c r="X20" i="2898"/>
  <c r="Y20" i="2898" s="1"/>
  <c r="X21" i="2898"/>
  <c r="Y21" i="2898" s="1"/>
  <c r="X26" i="2898"/>
  <c r="Y26" i="2898" s="1"/>
  <c r="R29" i="2898"/>
  <c r="S29" i="2898" s="1"/>
  <c r="R35" i="2898"/>
  <c r="S35" i="2898" s="1"/>
  <c r="X45" i="2898"/>
  <c r="Y45" i="2898" s="1"/>
  <c r="X47" i="2898"/>
  <c r="Y47" i="2898" s="1"/>
  <c r="X48" i="2898"/>
  <c r="Y48" i="2898" s="1"/>
  <c r="X49" i="2898"/>
  <c r="Y49" i="2898" s="1"/>
  <c r="X51" i="2898"/>
  <c r="Y51" i="2898" s="1"/>
  <c r="X52" i="2898"/>
  <c r="Y52" i="2898" s="1"/>
  <c r="X53" i="2898"/>
  <c r="Y53" i="2898" s="1"/>
  <c r="X55" i="2898"/>
  <c r="Y55" i="2898" s="1"/>
  <c r="X56" i="2898"/>
  <c r="Y56" i="2898" s="1"/>
  <c r="X57" i="2898"/>
  <c r="Y57" i="2898" s="1"/>
  <c r="X59" i="2898"/>
  <c r="Y59" i="2898" s="1"/>
  <c r="X60" i="2898"/>
  <c r="Y60" i="2898" s="1"/>
  <c r="X61" i="2898"/>
  <c r="Y61" i="2898" s="1"/>
  <c r="X62" i="2898"/>
  <c r="Y62" i="2898" s="1"/>
  <c r="X63" i="2898"/>
  <c r="Y63" i="2898" s="1"/>
  <c r="X64" i="2898"/>
  <c r="Y64" i="2898" s="1"/>
  <c r="X65" i="2898"/>
  <c r="Y65" i="2898" s="1"/>
  <c r="X66" i="2898"/>
  <c r="Y66" i="2898" s="1"/>
  <c r="X67" i="2898"/>
  <c r="Y67" i="2898" s="1"/>
  <c r="X68" i="2898"/>
  <c r="Y68" i="2898" s="1"/>
  <c r="X69" i="2898"/>
  <c r="Y69" i="2898" s="1"/>
  <c r="X70" i="2898"/>
  <c r="Y70" i="2898" s="1"/>
  <c r="X71" i="2898"/>
  <c r="Y71" i="2898" s="1"/>
  <c r="W38" i="2898"/>
  <c r="W40" i="2898" s="1"/>
  <c r="AC40" i="2898"/>
  <c r="AB40" i="2898"/>
  <c r="R6" i="2898"/>
  <c r="R7" i="2898"/>
  <c r="S7" i="2898" s="1"/>
  <c r="N47" i="2898"/>
  <c r="N51" i="2898"/>
  <c r="N55" i="2898"/>
  <c r="N59" i="2898"/>
  <c r="R79" i="2898"/>
  <c r="S79" i="2898" s="1"/>
  <c r="R22" i="2898"/>
  <c r="S22" i="2898" s="1"/>
  <c r="R26" i="2898"/>
  <c r="S26" i="2898" s="1"/>
  <c r="R30" i="2898"/>
  <c r="S30" i="2898" s="1"/>
  <c r="R34" i="2898"/>
  <c r="S34" i="2898" s="1"/>
  <c r="AB79" i="2898"/>
  <c r="R20" i="2898"/>
  <c r="S20" i="2898" s="1"/>
  <c r="R24" i="2898"/>
  <c r="S24" i="2898" s="1"/>
  <c r="R28" i="2898"/>
  <c r="S28" i="2898" s="1"/>
  <c r="R32" i="2898"/>
  <c r="S32" i="2898" s="1"/>
  <c r="N48" i="2898"/>
  <c r="N52" i="2898"/>
  <c r="N56" i="2898"/>
  <c r="X10" i="2897"/>
  <c r="Y10" i="2897" s="1"/>
  <c r="X14" i="2897"/>
  <c r="Y14" i="2897" s="1"/>
  <c r="X18" i="2897"/>
  <c r="Y18" i="2897" s="1"/>
  <c r="R22" i="2897"/>
  <c r="S22" i="2897" s="1"/>
  <c r="R28" i="2897"/>
  <c r="S28" i="2897" s="1"/>
  <c r="X29" i="2897"/>
  <c r="Y29" i="2897" s="1"/>
  <c r="X30" i="2897"/>
  <c r="Y30" i="2897" s="1"/>
  <c r="X35" i="2897"/>
  <c r="Y35" i="2897" s="1"/>
  <c r="N48" i="2897"/>
  <c r="N49" i="2897"/>
  <c r="X49" i="2897"/>
  <c r="Y49" i="2897" s="1"/>
  <c r="N52" i="2897"/>
  <c r="N53" i="2897"/>
  <c r="X53" i="2897"/>
  <c r="Y53" i="2897" s="1"/>
  <c r="N55" i="2897"/>
  <c r="X55" i="2897"/>
  <c r="Y55" i="2897" s="1"/>
  <c r="X56" i="2897"/>
  <c r="Y56" i="2897" s="1"/>
  <c r="X57" i="2897"/>
  <c r="Y57" i="2897" s="1"/>
  <c r="X58" i="2897"/>
  <c r="Y58" i="2897" s="1"/>
  <c r="X59" i="2897"/>
  <c r="Y59" i="2897" s="1"/>
  <c r="X60" i="2897"/>
  <c r="Y60" i="2897" s="1"/>
  <c r="X61" i="2897"/>
  <c r="Y61" i="2897" s="1"/>
  <c r="X62" i="2897"/>
  <c r="Y62" i="2897" s="1"/>
  <c r="X63" i="2897"/>
  <c r="Y63" i="2897" s="1"/>
  <c r="X64" i="2897"/>
  <c r="Y64" i="2897" s="1"/>
  <c r="X65" i="2897"/>
  <c r="Y65" i="2897" s="1"/>
  <c r="X66" i="2897"/>
  <c r="Y66" i="2897" s="1"/>
  <c r="X67" i="2897"/>
  <c r="Y67" i="2897" s="1"/>
  <c r="X68" i="2897"/>
  <c r="Y68" i="2897" s="1"/>
  <c r="X69" i="2897"/>
  <c r="Y69" i="2897" s="1"/>
  <c r="X70" i="2897"/>
  <c r="Y70" i="2897" s="1"/>
  <c r="X71" i="2897"/>
  <c r="Y71" i="2897" s="1"/>
  <c r="X72" i="2897"/>
  <c r="Y72" i="2897" s="1"/>
  <c r="X73" i="2897"/>
  <c r="Y73" i="2897" s="1"/>
  <c r="X74" i="2897"/>
  <c r="Y74" i="2897" s="1"/>
  <c r="O40" i="2897"/>
  <c r="X17" i="2897"/>
  <c r="Y17" i="2897" s="1"/>
  <c r="X25" i="2897"/>
  <c r="Y25" i="2897" s="1"/>
  <c r="X26" i="2897"/>
  <c r="Y26" i="2897" s="1"/>
  <c r="X31" i="2897"/>
  <c r="Y31" i="2897" s="1"/>
  <c r="R79" i="2897"/>
  <c r="S79" i="2897" s="1"/>
  <c r="N56" i="2897"/>
  <c r="N57" i="2897"/>
  <c r="N58" i="2897"/>
  <c r="N59" i="2897"/>
  <c r="N60" i="2897"/>
  <c r="N61" i="2897"/>
  <c r="N62" i="2897"/>
  <c r="N63" i="2897"/>
  <c r="N64" i="2897"/>
  <c r="N65" i="2897"/>
  <c r="N66" i="2897"/>
  <c r="N67" i="2897"/>
  <c r="N68" i="2897"/>
  <c r="N69" i="2897"/>
  <c r="N70" i="2897"/>
  <c r="N71" i="2897"/>
  <c r="N72" i="2897"/>
  <c r="N73" i="2897"/>
  <c r="N74" i="2897"/>
  <c r="AA40" i="2897"/>
  <c r="AC40" i="2897" s="1"/>
  <c r="X12" i="2897"/>
  <c r="Y12" i="2897" s="1"/>
  <c r="X16" i="2897"/>
  <c r="Y16" i="2897" s="1"/>
  <c r="R20" i="2897"/>
  <c r="S20" i="2897" s="1"/>
  <c r="X21" i="2897"/>
  <c r="Y21" i="2897" s="1"/>
  <c r="X22" i="2897"/>
  <c r="Y22" i="2897" s="1"/>
  <c r="X27" i="2897"/>
  <c r="Y27" i="2897" s="1"/>
  <c r="R30" i="2897"/>
  <c r="S30" i="2897" s="1"/>
  <c r="W77" i="2897"/>
  <c r="W79" i="2897" s="1"/>
  <c r="X46" i="2897"/>
  <c r="Y46" i="2897" s="1"/>
  <c r="W38" i="2897"/>
  <c r="W40" i="2897" s="1"/>
  <c r="S6" i="2897"/>
  <c r="AB40" i="2897"/>
  <c r="N6" i="2897"/>
  <c r="N7" i="2897"/>
  <c r="N8" i="2897"/>
  <c r="N9" i="2897"/>
  <c r="N10" i="2897"/>
  <c r="N11" i="2897"/>
  <c r="N12" i="2897"/>
  <c r="N13" i="2897"/>
  <c r="N14" i="2897"/>
  <c r="N15" i="2897"/>
  <c r="N16" i="2897"/>
  <c r="N17" i="2897"/>
  <c r="N18" i="2897"/>
  <c r="N19" i="2897"/>
  <c r="N46" i="2897"/>
  <c r="N50" i="2897"/>
  <c r="N54" i="2897"/>
  <c r="R23" i="2897"/>
  <c r="S23" i="2897" s="1"/>
  <c r="R27" i="2897"/>
  <c r="S27" i="2897" s="1"/>
  <c r="R31" i="2897"/>
  <c r="S31" i="2897" s="1"/>
  <c r="R35" i="2897"/>
  <c r="S35" i="2897" s="1"/>
  <c r="AB79" i="2897"/>
  <c r="R21" i="2897"/>
  <c r="S21" i="2897" s="1"/>
  <c r="R25" i="2897"/>
  <c r="S25" i="2897" s="1"/>
  <c r="R29" i="2897"/>
  <c r="S29" i="2897" s="1"/>
  <c r="R33" i="2897"/>
  <c r="S33" i="2897" s="1"/>
  <c r="N51" i="2897"/>
  <c r="R31" i="2896"/>
  <c r="S31" i="2896" s="1"/>
  <c r="X35" i="2896"/>
  <c r="Y35" i="2896" s="1"/>
  <c r="X38" i="2896"/>
  <c r="Y38" i="2896" s="1"/>
  <c r="R44" i="2896"/>
  <c r="S44" i="2896" s="1"/>
  <c r="R45" i="2896"/>
  <c r="S45" i="2896" s="1"/>
  <c r="AA90" i="2896"/>
  <c r="AB90" i="2896" s="1"/>
  <c r="X67" i="2896"/>
  <c r="Y67" i="2896" s="1"/>
  <c r="N73" i="2896"/>
  <c r="N74" i="2896"/>
  <c r="N75" i="2896"/>
  <c r="X75" i="2896"/>
  <c r="Y75" i="2896" s="1"/>
  <c r="N81" i="2896"/>
  <c r="N82" i="2896"/>
  <c r="N83" i="2896"/>
  <c r="X83" i="2896"/>
  <c r="Y83" i="2896" s="1"/>
  <c r="W88" i="2896"/>
  <c r="W90" i="2896" s="1"/>
  <c r="O51" i="2896"/>
  <c r="X18" i="2896"/>
  <c r="Y18" i="2896" s="1"/>
  <c r="X20" i="2896"/>
  <c r="Y20" i="2896" s="1"/>
  <c r="X22" i="2896"/>
  <c r="Y22" i="2896" s="1"/>
  <c r="X24" i="2896"/>
  <c r="Y24" i="2896" s="1"/>
  <c r="X26" i="2896"/>
  <c r="Y26" i="2896" s="1"/>
  <c r="X28" i="2896"/>
  <c r="Y28" i="2896" s="1"/>
  <c r="X31" i="2896"/>
  <c r="Y31" i="2896" s="1"/>
  <c r="X34" i="2896"/>
  <c r="Y34" i="2896" s="1"/>
  <c r="N57" i="2896"/>
  <c r="X57" i="2896"/>
  <c r="Y57" i="2896" s="1"/>
  <c r="N59" i="2896"/>
  <c r="X59" i="2896"/>
  <c r="Y59" i="2896" s="1"/>
  <c r="N61" i="2896"/>
  <c r="X61" i="2896"/>
  <c r="Y61" i="2896" s="1"/>
  <c r="N63" i="2896"/>
  <c r="X63" i="2896"/>
  <c r="Y63" i="2896" s="1"/>
  <c r="N65" i="2896"/>
  <c r="X65" i="2896"/>
  <c r="Y65" i="2896" s="1"/>
  <c r="N67" i="2896"/>
  <c r="N68" i="2896"/>
  <c r="X68" i="2896"/>
  <c r="Y68" i="2896" s="1"/>
  <c r="X69" i="2896"/>
  <c r="Y69" i="2896" s="1"/>
  <c r="X70" i="2896"/>
  <c r="Y70" i="2896" s="1"/>
  <c r="N76" i="2896"/>
  <c r="X76" i="2896"/>
  <c r="Y76" i="2896" s="1"/>
  <c r="X77" i="2896"/>
  <c r="Y77" i="2896" s="1"/>
  <c r="X78" i="2896"/>
  <c r="Y78" i="2896" s="1"/>
  <c r="N84" i="2896"/>
  <c r="X84" i="2896"/>
  <c r="Y84" i="2896" s="1"/>
  <c r="AA51" i="2896"/>
  <c r="AC51" i="2896" s="1"/>
  <c r="X30" i="2896"/>
  <c r="Y30" i="2896" s="1"/>
  <c r="X43" i="2896"/>
  <c r="Y43" i="2896" s="1"/>
  <c r="X71" i="2896"/>
  <c r="Y71" i="2896" s="1"/>
  <c r="X79" i="2896"/>
  <c r="Y79" i="2896" s="1"/>
  <c r="W49" i="2896"/>
  <c r="W51" i="2896" s="1"/>
  <c r="S17" i="2896"/>
  <c r="N17" i="2896"/>
  <c r="N18" i="2896"/>
  <c r="N19" i="2896"/>
  <c r="N20" i="2896"/>
  <c r="N21" i="2896"/>
  <c r="N22" i="2896"/>
  <c r="N23" i="2896"/>
  <c r="N24" i="2896"/>
  <c r="N25" i="2896"/>
  <c r="N26" i="2896"/>
  <c r="N27" i="2896"/>
  <c r="N28" i="2896"/>
  <c r="N29" i="2896"/>
  <c r="N30" i="2896"/>
  <c r="R33" i="2896"/>
  <c r="S33" i="2896" s="1"/>
  <c r="X33" i="2896"/>
  <c r="Y33" i="2896" s="1"/>
  <c r="R37" i="2896"/>
  <c r="S37" i="2896" s="1"/>
  <c r="X37" i="2896"/>
  <c r="Y37" i="2896" s="1"/>
  <c r="R41" i="2896"/>
  <c r="S41" i="2896" s="1"/>
  <c r="X41" i="2896"/>
  <c r="Y41" i="2896" s="1"/>
  <c r="S56" i="2896"/>
  <c r="R34" i="2896"/>
  <c r="S34" i="2896" s="1"/>
  <c r="R38" i="2896"/>
  <c r="S38" i="2896" s="1"/>
  <c r="R42" i="2896"/>
  <c r="S42" i="2896" s="1"/>
  <c r="N56" i="2896"/>
  <c r="X56" i="2896"/>
  <c r="Y56" i="2896" s="1"/>
  <c r="N58" i="2896"/>
  <c r="X58" i="2896"/>
  <c r="Y58" i="2896" s="1"/>
  <c r="N60" i="2896"/>
  <c r="X60" i="2896"/>
  <c r="Y60" i="2896" s="1"/>
  <c r="N62" i="2896"/>
  <c r="X62" i="2896"/>
  <c r="Y62" i="2896" s="1"/>
  <c r="N64" i="2896"/>
  <c r="X64" i="2896"/>
  <c r="Y64" i="2896" s="1"/>
  <c r="N66" i="2896"/>
  <c r="X66" i="2896"/>
  <c r="Y66" i="2896" s="1"/>
  <c r="AC90" i="2896"/>
  <c r="AA49" i="2895"/>
  <c r="AC49" i="2895" s="1"/>
  <c r="X18" i="2895"/>
  <c r="Y18" i="2895" s="1"/>
  <c r="R21" i="2895"/>
  <c r="S21" i="2895" s="1"/>
  <c r="X22" i="2895"/>
  <c r="Y22" i="2895" s="1"/>
  <c r="R25" i="2895"/>
  <c r="S25" i="2895" s="1"/>
  <c r="X26" i="2895"/>
  <c r="Y26" i="2895" s="1"/>
  <c r="X29" i="2895"/>
  <c r="Y29" i="2895" s="1"/>
  <c r="R32" i="2895"/>
  <c r="S32" i="2895" s="1"/>
  <c r="R38" i="2895"/>
  <c r="S38" i="2895" s="1"/>
  <c r="X39" i="2895"/>
  <c r="Y39" i="2895" s="1"/>
  <c r="X40" i="2895"/>
  <c r="Y40" i="2895" s="1"/>
  <c r="N56" i="2895"/>
  <c r="N57" i="2895"/>
  <c r="X57" i="2895"/>
  <c r="Y57" i="2895" s="1"/>
  <c r="N60" i="2895"/>
  <c r="N61" i="2895"/>
  <c r="X61" i="2895"/>
  <c r="Y61" i="2895" s="1"/>
  <c r="N64" i="2895"/>
  <c r="N65" i="2895"/>
  <c r="X65" i="2895"/>
  <c r="Y65" i="2895" s="1"/>
  <c r="N67" i="2895"/>
  <c r="N68" i="2895"/>
  <c r="N69" i="2895"/>
  <c r="N70" i="2895"/>
  <c r="N71" i="2895"/>
  <c r="N72" i="2895"/>
  <c r="N73" i="2895"/>
  <c r="N74" i="2895"/>
  <c r="N75" i="2895"/>
  <c r="N76" i="2895"/>
  <c r="N77" i="2895"/>
  <c r="N78" i="2895"/>
  <c r="N79" i="2895"/>
  <c r="N80" i="2895"/>
  <c r="N81" i="2895"/>
  <c r="N82" i="2895"/>
  <c r="N83" i="2895"/>
  <c r="X83" i="2895"/>
  <c r="Y83" i="2895" s="1"/>
  <c r="X15" i="2895"/>
  <c r="Y15" i="2895" s="1"/>
  <c r="X17" i="2895"/>
  <c r="Y17" i="2895" s="1"/>
  <c r="R20" i="2895"/>
  <c r="S20" i="2895" s="1"/>
  <c r="X21" i="2895"/>
  <c r="Y21" i="2895" s="1"/>
  <c r="R24" i="2895"/>
  <c r="S24" i="2895" s="1"/>
  <c r="X25" i="2895"/>
  <c r="Y25" i="2895" s="1"/>
  <c r="R34" i="2895"/>
  <c r="S34" i="2895" s="1"/>
  <c r="X35" i="2895"/>
  <c r="Y35" i="2895" s="1"/>
  <c r="X36" i="2895"/>
  <c r="Y36" i="2895" s="1"/>
  <c r="X41" i="2895"/>
  <c r="Y41" i="2895" s="1"/>
  <c r="R44" i="2895"/>
  <c r="S44" i="2895" s="1"/>
  <c r="X20" i="2895"/>
  <c r="Y20" i="2895" s="1"/>
  <c r="X24" i="2895"/>
  <c r="Y24" i="2895" s="1"/>
  <c r="X28" i="2895"/>
  <c r="Y28" i="2895" s="1"/>
  <c r="X31" i="2895"/>
  <c r="Y31" i="2895" s="1"/>
  <c r="X32" i="2895"/>
  <c r="Y32" i="2895" s="1"/>
  <c r="X37" i="2895"/>
  <c r="Y37" i="2895" s="1"/>
  <c r="W86" i="2895"/>
  <c r="W88" i="2895" s="1"/>
  <c r="N49" i="2895"/>
  <c r="W47" i="2895"/>
  <c r="W49" i="2895" s="1"/>
  <c r="N54" i="2895"/>
  <c r="N58" i="2895"/>
  <c r="N62" i="2895"/>
  <c r="N66" i="2895"/>
  <c r="R88" i="2895"/>
  <c r="S88" i="2895" s="1"/>
  <c r="R29" i="2895"/>
  <c r="S29" i="2895" s="1"/>
  <c r="R33" i="2895"/>
  <c r="S33" i="2895" s="1"/>
  <c r="R37" i="2895"/>
  <c r="S37" i="2895" s="1"/>
  <c r="R41" i="2895"/>
  <c r="S41" i="2895" s="1"/>
  <c r="R15" i="2895"/>
  <c r="R16" i="2895"/>
  <c r="S16" i="2895" s="1"/>
  <c r="R17" i="2895"/>
  <c r="S17" i="2895" s="1"/>
  <c r="AB88" i="2895"/>
  <c r="R31" i="2895"/>
  <c r="S31" i="2895" s="1"/>
  <c r="R35" i="2895"/>
  <c r="S35" i="2895" s="1"/>
  <c r="R39" i="2895"/>
  <c r="S39" i="2895" s="1"/>
  <c r="R43" i="2895"/>
  <c r="S43" i="2895" s="1"/>
  <c r="N55" i="2895"/>
  <c r="N59" i="2895"/>
  <c r="N63" i="2895"/>
  <c r="W84" i="2894"/>
  <c r="W86" i="2894" s="1"/>
  <c r="O47" i="2894"/>
  <c r="W45" i="2894"/>
  <c r="W47" i="2894" s="1"/>
  <c r="X14" i="2894"/>
  <c r="Y14" i="2894" s="1"/>
  <c r="X16" i="2894"/>
  <c r="Y16" i="2894" s="1"/>
  <c r="X18" i="2894"/>
  <c r="Y18" i="2894" s="1"/>
  <c r="X20" i="2894"/>
  <c r="Y20" i="2894" s="1"/>
  <c r="X22" i="2894"/>
  <c r="Y22" i="2894" s="1"/>
  <c r="X24" i="2894"/>
  <c r="Y24" i="2894" s="1"/>
  <c r="X26" i="2894"/>
  <c r="Y26" i="2894" s="1"/>
  <c r="X29" i="2894"/>
  <c r="Y29" i="2894" s="1"/>
  <c r="R35" i="2894"/>
  <c r="S35" i="2894" s="1"/>
  <c r="R38" i="2894"/>
  <c r="S38" i="2894" s="1"/>
  <c r="X40" i="2894"/>
  <c r="Y40" i="2894" s="1"/>
  <c r="X42" i="2894"/>
  <c r="Y42" i="2894" s="1"/>
  <c r="N66" i="2894"/>
  <c r="X66" i="2894"/>
  <c r="Y66" i="2894" s="1"/>
  <c r="X67" i="2894"/>
  <c r="Y67" i="2894" s="1"/>
  <c r="X68" i="2894"/>
  <c r="Y68" i="2894" s="1"/>
  <c r="N74" i="2894"/>
  <c r="X74" i="2894"/>
  <c r="Y74" i="2894" s="1"/>
  <c r="X75" i="2894"/>
  <c r="Y75" i="2894" s="1"/>
  <c r="X76" i="2894"/>
  <c r="Y76" i="2894" s="1"/>
  <c r="AA47" i="2894"/>
  <c r="AC47" i="2894" s="1"/>
  <c r="R31" i="2894"/>
  <c r="S31" i="2894" s="1"/>
  <c r="R34" i="2894"/>
  <c r="S34" i="2894" s="1"/>
  <c r="X38" i="2894"/>
  <c r="Y38" i="2894" s="1"/>
  <c r="X41" i="2894"/>
  <c r="Y41" i="2894" s="1"/>
  <c r="N67" i="2894"/>
  <c r="N68" i="2894"/>
  <c r="N69" i="2894"/>
  <c r="X69" i="2894"/>
  <c r="Y69" i="2894" s="1"/>
  <c r="N75" i="2894"/>
  <c r="N76" i="2894"/>
  <c r="N77" i="2894"/>
  <c r="X77" i="2894"/>
  <c r="Y77" i="2894" s="1"/>
  <c r="X13" i="2894"/>
  <c r="Y13" i="2894" s="1"/>
  <c r="X15" i="2894"/>
  <c r="Y15" i="2894" s="1"/>
  <c r="X17" i="2894"/>
  <c r="Y17" i="2894" s="1"/>
  <c r="X19" i="2894"/>
  <c r="Y19" i="2894" s="1"/>
  <c r="X21" i="2894"/>
  <c r="Y21" i="2894" s="1"/>
  <c r="X23" i="2894"/>
  <c r="Y23" i="2894" s="1"/>
  <c r="X25" i="2894"/>
  <c r="Y25" i="2894" s="1"/>
  <c r="X34" i="2894"/>
  <c r="Y34" i="2894" s="1"/>
  <c r="X37" i="2894"/>
  <c r="Y37" i="2894" s="1"/>
  <c r="AB47" i="2894"/>
  <c r="AA86" i="2894"/>
  <c r="AC86" i="2894" s="1"/>
  <c r="X64" i="2894"/>
  <c r="Y64" i="2894" s="1"/>
  <c r="X70" i="2894"/>
  <c r="Y70" i="2894" s="1"/>
  <c r="X71" i="2894"/>
  <c r="Y71" i="2894" s="1"/>
  <c r="X72" i="2894"/>
  <c r="Y72" i="2894" s="1"/>
  <c r="X78" i="2894"/>
  <c r="Y78" i="2894" s="1"/>
  <c r="X79" i="2894"/>
  <c r="Y79" i="2894" s="1"/>
  <c r="X80" i="2894"/>
  <c r="Y80" i="2894" s="1"/>
  <c r="N47" i="2894"/>
  <c r="V47" i="2894" s="1"/>
  <c r="R13" i="2894"/>
  <c r="R14" i="2894"/>
  <c r="S14" i="2894" s="1"/>
  <c r="R15" i="2894"/>
  <c r="S15" i="2894" s="1"/>
  <c r="R16" i="2894"/>
  <c r="S16" i="2894" s="1"/>
  <c r="R17" i="2894"/>
  <c r="S17" i="2894" s="1"/>
  <c r="R18" i="2894"/>
  <c r="S18" i="2894" s="1"/>
  <c r="R19" i="2894"/>
  <c r="S19" i="2894" s="1"/>
  <c r="R20" i="2894"/>
  <c r="S20" i="2894" s="1"/>
  <c r="R21" i="2894"/>
  <c r="S21" i="2894" s="1"/>
  <c r="R22" i="2894"/>
  <c r="S22" i="2894" s="1"/>
  <c r="R23" i="2894"/>
  <c r="S23" i="2894" s="1"/>
  <c r="R24" i="2894"/>
  <c r="S24" i="2894" s="1"/>
  <c r="R25" i="2894"/>
  <c r="S25" i="2894" s="1"/>
  <c r="R26" i="2894"/>
  <c r="S26" i="2894" s="1"/>
  <c r="R28" i="2894"/>
  <c r="S28" i="2894" s="1"/>
  <c r="R32" i="2894"/>
  <c r="S32" i="2894" s="1"/>
  <c r="R36" i="2894"/>
  <c r="S36" i="2894" s="1"/>
  <c r="X36" i="2894"/>
  <c r="Y36" i="2894" s="1"/>
  <c r="R40" i="2894"/>
  <c r="S40" i="2894" s="1"/>
  <c r="R86" i="2894"/>
  <c r="S86" i="2894" s="1"/>
  <c r="N53" i="2894"/>
  <c r="X53" i="2894"/>
  <c r="Y53" i="2894" s="1"/>
  <c r="N55" i="2894"/>
  <c r="X55" i="2894"/>
  <c r="Y55" i="2894" s="1"/>
  <c r="N57" i="2894"/>
  <c r="X57" i="2894"/>
  <c r="Y57" i="2894" s="1"/>
  <c r="N59" i="2894"/>
  <c r="X59" i="2894"/>
  <c r="Y59" i="2894" s="1"/>
  <c r="N61" i="2894"/>
  <c r="X61" i="2894"/>
  <c r="Y61" i="2894" s="1"/>
  <c r="N63" i="2894"/>
  <c r="X63" i="2894"/>
  <c r="Y63" i="2894" s="1"/>
  <c r="R29" i="2894"/>
  <c r="S29" i="2894" s="1"/>
  <c r="R33" i="2894"/>
  <c r="S33" i="2894" s="1"/>
  <c r="R37" i="2894"/>
  <c r="S37" i="2894" s="1"/>
  <c r="R41" i="2894"/>
  <c r="S41" i="2894" s="1"/>
  <c r="S52" i="2894"/>
  <c r="AB86" i="2894"/>
  <c r="X52" i="2894"/>
  <c r="Y52" i="2894" s="1"/>
  <c r="X54" i="2894"/>
  <c r="Y54" i="2894" s="1"/>
  <c r="X56" i="2894"/>
  <c r="Y56" i="2894" s="1"/>
  <c r="X58" i="2894"/>
  <c r="Y58" i="2894" s="1"/>
  <c r="X60" i="2894"/>
  <c r="Y60" i="2894" s="1"/>
  <c r="X62" i="2894"/>
  <c r="Y62" i="2894" s="1"/>
  <c r="O46" i="2893"/>
  <c r="R27" i="2893"/>
  <c r="S27" i="2893" s="1"/>
  <c r="R31" i="2893"/>
  <c r="S31" i="2893" s="1"/>
  <c r="R35" i="2893"/>
  <c r="S35" i="2893" s="1"/>
  <c r="R39" i="2893"/>
  <c r="S39" i="2893" s="1"/>
  <c r="N52" i="2893"/>
  <c r="X52" i="2893"/>
  <c r="Y52" i="2893" s="1"/>
  <c r="N54" i="2893"/>
  <c r="X54" i="2893"/>
  <c r="Y54" i="2893" s="1"/>
  <c r="N56" i="2893"/>
  <c r="X56" i="2893"/>
  <c r="Y56" i="2893" s="1"/>
  <c r="N58" i="2893"/>
  <c r="X58" i="2893"/>
  <c r="Y58" i="2893" s="1"/>
  <c r="N60" i="2893"/>
  <c r="X60" i="2893"/>
  <c r="Y60" i="2893" s="1"/>
  <c r="AB46" i="2893"/>
  <c r="R12" i="2893"/>
  <c r="R13" i="2893"/>
  <c r="S13" i="2893" s="1"/>
  <c r="R14" i="2893"/>
  <c r="S14" i="2893" s="1"/>
  <c r="X51" i="2893"/>
  <c r="Y51" i="2893" s="1"/>
  <c r="X53" i="2893"/>
  <c r="Y53" i="2893" s="1"/>
  <c r="X55" i="2893"/>
  <c r="Y55" i="2893" s="1"/>
  <c r="X57" i="2893"/>
  <c r="Y57" i="2893" s="1"/>
  <c r="X59" i="2893"/>
  <c r="Y59" i="2893" s="1"/>
  <c r="X61" i="2893"/>
  <c r="Y61" i="2893" s="1"/>
  <c r="AC85" i="2893"/>
  <c r="O46" i="2892"/>
  <c r="X13" i="2892"/>
  <c r="Y13" i="2892" s="1"/>
  <c r="X15" i="2892"/>
  <c r="Y15" i="2892" s="1"/>
  <c r="X17" i="2892"/>
  <c r="Y17" i="2892" s="1"/>
  <c r="X19" i="2892"/>
  <c r="Y19" i="2892" s="1"/>
  <c r="X21" i="2892"/>
  <c r="Y21" i="2892" s="1"/>
  <c r="R60" i="2892"/>
  <c r="S60" i="2892" s="1"/>
  <c r="X63" i="2892"/>
  <c r="Y63" i="2892" s="1"/>
  <c r="R24" i="2892"/>
  <c r="S24" i="2892" s="1"/>
  <c r="X33" i="2892"/>
  <c r="Y33" i="2892" s="1"/>
  <c r="R37" i="2892"/>
  <c r="S37" i="2892" s="1"/>
  <c r="X23" i="2892"/>
  <c r="Y23" i="2892" s="1"/>
  <c r="X28" i="2892"/>
  <c r="Y28" i="2892" s="1"/>
  <c r="R32" i="2892"/>
  <c r="S32" i="2892" s="1"/>
  <c r="N52" i="2892"/>
  <c r="X52" i="2892"/>
  <c r="Y52" i="2892" s="1"/>
  <c r="X56" i="2892"/>
  <c r="Y56" i="2892" s="1"/>
  <c r="X58" i="2892"/>
  <c r="Y58" i="2892" s="1"/>
  <c r="X12" i="2892"/>
  <c r="Y12" i="2892" s="1"/>
  <c r="X14" i="2892"/>
  <c r="Y14" i="2892" s="1"/>
  <c r="X16" i="2892"/>
  <c r="Y16" i="2892" s="1"/>
  <c r="X18" i="2892"/>
  <c r="Y18" i="2892" s="1"/>
  <c r="X20" i="2892"/>
  <c r="Y20" i="2892" s="1"/>
  <c r="X25" i="2892"/>
  <c r="Y25" i="2892" s="1"/>
  <c r="N51" i="2892"/>
  <c r="X64" i="2892"/>
  <c r="Y64" i="2892" s="1"/>
  <c r="X71" i="2892"/>
  <c r="Y71" i="2892" s="1"/>
  <c r="X29" i="2892"/>
  <c r="Y29" i="2892" s="1"/>
  <c r="X31" i="2892"/>
  <c r="Y31" i="2892" s="1"/>
  <c r="X41" i="2892"/>
  <c r="Y41" i="2892" s="1"/>
  <c r="W44" i="2892"/>
  <c r="W46" i="2892" s="1"/>
  <c r="AA46" i="2892"/>
  <c r="AC46" i="2892" s="1"/>
  <c r="X24" i="2892"/>
  <c r="Y24" i="2892" s="1"/>
  <c r="X27" i="2892"/>
  <c r="Y27" i="2892" s="1"/>
  <c r="R33" i="2892"/>
  <c r="S33" i="2892" s="1"/>
  <c r="R36" i="2892"/>
  <c r="S36" i="2892" s="1"/>
  <c r="X40" i="2892"/>
  <c r="Y40" i="2892" s="1"/>
  <c r="O85" i="2892"/>
  <c r="N53" i="2892"/>
  <c r="X53" i="2892"/>
  <c r="Y53" i="2892" s="1"/>
  <c r="X54" i="2892"/>
  <c r="Y54" i="2892" s="1"/>
  <c r="R56" i="2892"/>
  <c r="S56" i="2892" s="1"/>
  <c r="X59" i="2892"/>
  <c r="Y59" i="2892" s="1"/>
  <c r="R29" i="2892"/>
  <c r="S29" i="2892" s="1"/>
  <c r="X36" i="2892"/>
  <c r="Y36" i="2892" s="1"/>
  <c r="X39" i="2892"/>
  <c r="Y39" i="2892" s="1"/>
  <c r="X55" i="2892"/>
  <c r="Y55" i="2892" s="1"/>
  <c r="R64" i="2892"/>
  <c r="S64" i="2892" s="1"/>
  <c r="X67" i="2892"/>
  <c r="Y67" i="2892" s="1"/>
  <c r="X74" i="2892"/>
  <c r="Y74" i="2892" s="1"/>
  <c r="R76" i="2892"/>
  <c r="S76" i="2892" s="1"/>
  <c r="X79" i="2892"/>
  <c r="Y79" i="2892" s="1"/>
  <c r="X22" i="2892"/>
  <c r="Y22" i="2892" s="1"/>
  <c r="R25" i="2892"/>
  <c r="S25" i="2892" s="1"/>
  <c r="X32" i="2892"/>
  <c r="Y32" i="2892" s="1"/>
  <c r="X35" i="2892"/>
  <c r="Y35" i="2892" s="1"/>
  <c r="R41" i="2892"/>
  <c r="S41" i="2892" s="1"/>
  <c r="X51" i="2892"/>
  <c r="Y51" i="2892" s="1"/>
  <c r="AA85" i="2892"/>
  <c r="AC85" i="2892" s="1"/>
  <c r="X70" i="2892"/>
  <c r="Y70" i="2892" s="1"/>
  <c r="R72" i="2892"/>
  <c r="S72" i="2892" s="1"/>
  <c r="X75" i="2892"/>
  <c r="Y75" i="2892" s="1"/>
  <c r="N46" i="2892"/>
  <c r="V46" i="2892" s="1"/>
  <c r="N57" i="2892"/>
  <c r="X57" i="2892"/>
  <c r="Y57" i="2892" s="1"/>
  <c r="R57" i="2892"/>
  <c r="S57" i="2892" s="1"/>
  <c r="R26" i="2892"/>
  <c r="S26" i="2892" s="1"/>
  <c r="X26" i="2892"/>
  <c r="Y26" i="2892" s="1"/>
  <c r="R30" i="2892"/>
  <c r="S30" i="2892" s="1"/>
  <c r="X30" i="2892"/>
  <c r="Y30" i="2892" s="1"/>
  <c r="R34" i="2892"/>
  <c r="S34" i="2892" s="1"/>
  <c r="X34" i="2892"/>
  <c r="Y34" i="2892" s="1"/>
  <c r="R38" i="2892"/>
  <c r="S38" i="2892" s="1"/>
  <c r="X38" i="2892"/>
  <c r="Y38" i="2892" s="1"/>
  <c r="N69" i="2892"/>
  <c r="X69" i="2892"/>
  <c r="Y69" i="2892" s="1"/>
  <c r="R69" i="2892"/>
  <c r="S69" i="2892" s="1"/>
  <c r="N73" i="2892"/>
  <c r="X73" i="2892"/>
  <c r="Y73" i="2892" s="1"/>
  <c r="R73" i="2892"/>
  <c r="S73" i="2892" s="1"/>
  <c r="R12" i="2892"/>
  <c r="R13" i="2892"/>
  <c r="S13" i="2892" s="1"/>
  <c r="R14" i="2892"/>
  <c r="S14" i="2892" s="1"/>
  <c r="R15" i="2892"/>
  <c r="S15" i="2892" s="1"/>
  <c r="R16" i="2892"/>
  <c r="S16" i="2892" s="1"/>
  <c r="R17" i="2892"/>
  <c r="S17" i="2892" s="1"/>
  <c r="R18" i="2892"/>
  <c r="S18" i="2892" s="1"/>
  <c r="R19" i="2892"/>
  <c r="S19" i="2892" s="1"/>
  <c r="R20" i="2892"/>
  <c r="S20" i="2892" s="1"/>
  <c r="R21" i="2892"/>
  <c r="S21" i="2892" s="1"/>
  <c r="R22" i="2892"/>
  <c r="S22" i="2892" s="1"/>
  <c r="R23" i="2892"/>
  <c r="S23" i="2892" s="1"/>
  <c r="R27" i="2892"/>
  <c r="S27" i="2892" s="1"/>
  <c r="R31" i="2892"/>
  <c r="S31" i="2892" s="1"/>
  <c r="R35" i="2892"/>
  <c r="S35" i="2892" s="1"/>
  <c r="R39" i="2892"/>
  <c r="S39" i="2892" s="1"/>
  <c r="S51" i="2892"/>
  <c r="W83" i="2892"/>
  <c r="W85" i="2892" s="1"/>
  <c r="N65" i="2892"/>
  <c r="X65" i="2892"/>
  <c r="Y65" i="2892" s="1"/>
  <c r="R65" i="2892"/>
  <c r="S65" i="2892" s="1"/>
  <c r="X66" i="2892"/>
  <c r="Y66" i="2892" s="1"/>
  <c r="X78" i="2892"/>
  <c r="Y78" i="2892" s="1"/>
  <c r="N61" i="2892"/>
  <c r="X61" i="2892"/>
  <c r="Y61" i="2892" s="1"/>
  <c r="R61" i="2892"/>
  <c r="S61" i="2892" s="1"/>
  <c r="X62" i="2892"/>
  <c r="Y62" i="2892" s="1"/>
  <c r="N77" i="2892"/>
  <c r="X77" i="2892"/>
  <c r="Y77" i="2892" s="1"/>
  <c r="R77" i="2892"/>
  <c r="S77" i="2892" s="1"/>
  <c r="R54" i="2892"/>
  <c r="S54" i="2892" s="1"/>
  <c r="R58" i="2892"/>
  <c r="S58" i="2892" s="1"/>
  <c r="R62" i="2892"/>
  <c r="S62" i="2892" s="1"/>
  <c r="R66" i="2892"/>
  <c r="S66" i="2892" s="1"/>
  <c r="R70" i="2892"/>
  <c r="S70" i="2892" s="1"/>
  <c r="R74" i="2892"/>
  <c r="S74" i="2892" s="1"/>
  <c r="R78" i="2892"/>
  <c r="S78" i="2892" s="1"/>
  <c r="R55" i="2892"/>
  <c r="S55" i="2892" s="1"/>
  <c r="R59" i="2892"/>
  <c r="S59" i="2892" s="1"/>
  <c r="R63" i="2892"/>
  <c r="S63" i="2892" s="1"/>
  <c r="R67" i="2892"/>
  <c r="S67" i="2892" s="1"/>
  <c r="R71" i="2892"/>
  <c r="S71" i="2892" s="1"/>
  <c r="R75" i="2892"/>
  <c r="S75" i="2892" s="1"/>
  <c r="R79" i="2892"/>
  <c r="S79" i="2892" s="1"/>
  <c r="X7" i="2891"/>
  <c r="Y7" i="2891" s="1"/>
  <c r="X9" i="2891"/>
  <c r="Y9" i="2891" s="1"/>
  <c r="X11" i="2891"/>
  <c r="Y11" i="2891" s="1"/>
  <c r="X13" i="2891"/>
  <c r="Y13" i="2891" s="1"/>
  <c r="X17" i="2891"/>
  <c r="Y17" i="2891" s="1"/>
  <c r="R18" i="2891"/>
  <c r="S18" i="2891" s="1"/>
  <c r="X19" i="2891"/>
  <c r="Y19" i="2891" s="1"/>
  <c r="R20" i="2891"/>
  <c r="S20" i="2891" s="1"/>
  <c r="X22" i="2891"/>
  <c r="Y22" i="2891" s="1"/>
  <c r="X25" i="2891"/>
  <c r="Y25" i="2891" s="1"/>
  <c r="R31" i="2891"/>
  <c r="S31" i="2891" s="1"/>
  <c r="R34" i="2891"/>
  <c r="S34" i="2891" s="1"/>
  <c r="N58" i="2891"/>
  <c r="N59" i="2891"/>
  <c r="N60" i="2891"/>
  <c r="X60" i="2891"/>
  <c r="Y60" i="2891" s="1"/>
  <c r="N66" i="2891"/>
  <c r="N67" i="2891"/>
  <c r="N68" i="2891"/>
  <c r="X68" i="2891"/>
  <c r="Y68" i="2891" s="1"/>
  <c r="N74" i="2891"/>
  <c r="N75" i="2891"/>
  <c r="AB41" i="2891"/>
  <c r="X34" i="2891"/>
  <c r="Y34" i="2891" s="1"/>
  <c r="W78" i="2891"/>
  <c r="W80" i="2891" s="1"/>
  <c r="N61" i="2891"/>
  <c r="X61" i="2891"/>
  <c r="Y61" i="2891" s="1"/>
  <c r="X62" i="2891"/>
  <c r="Y62" i="2891" s="1"/>
  <c r="X63" i="2891"/>
  <c r="Y63" i="2891" s="1"/>
  <c r="N69" i="2891"/>
  <c r="X69" i="2891"/>
  <c r="Y69" i="2891" s="1"/>
  <c r="X70" i="2891"/>
  <c r="Y70" i="2891" s="1"/>
  <c r="X71" i="2891"/>
  <c r="Y71" i="2891" s="1"/>
  <c r="O41" i="2891"/>
  <c r="W39" i="2891"/>
  <c r="W41" i="2891" s="1"/>
  <c r="X8" i="2891"/>
  <c r="Y8" i="2891" s="1"/>
  <c r="X10" i="2891"/>
  <c r="Y10" i="2891" s="1"/>
  <c r="X12" i="2891"/>
  <c r="Y12" i="2891" s="1"/>
  <c r="R14" i="2891"/>
  <c r="S14" i="2891" s="1"/>
  <c r="X18" i="2891"/>
  <c r="Y18" i="2891" s="1"/>
  <c r="X20" i="2891"/>
  <c r="Y20" i="2891" s="1"/>
  <c r="R23" i="2891"/>
  <c r="S23" i="2891" s="1"/>
  <c r="R26" i="2891"/>
  <c r="S26" i="2891" s="1"/>
  <c r="X30" i="2891"/>
  <c r="Y30" i="2891" s="1"/>
  <c r="X33" i="2891"/>
  <c r="Y33" i="2891" s="1"/>
  <c r="AA80" i="2891"/>
  <c r="AB80" i="2891" s="1"/>
  <c r="X64" i="2891"/>
  <c r="Y64" i="2891" s="1"/>
  <c r="X72" i="2891"/>
  <c r="Y72" i="2891" s="1"/>
  <c r="R7" i="2891"/>
  <c r="R8" i="2891"/>
  <c r="S8" i="2891" s="1"/>
  <c r="R9" i="2891"/>
  <c r="S9" i="2891" s="1"/>
  <c r="R10" i="2891"/>
  <c r="S10" i="2891" s="1"/>
  <c r="R11" i="2891"/>
  <c r="S11" i="2891" s="1"/>
  <c r="R12" i="2891"/>
  <c r="S12" i="2891" s="1"/>
  <c r="R13" i="2891"/>
  <c r="S13" i="2891" s="1"/>
  <c r="X51" i="2891"/>
  <c r="Y51" i="2891" s="1"/>
  <c r="X53" i="2891"/>
  <c r="Y53" i="2891" s="1"/>
  <c r="X55" i="2891"/>
  <c r="Y55" i="2891" s="1"/>
  <c r="X57" i="2891"/>
  <c r="Y57" i="2891" s="1"/>
  <c r="R24" i="2891"/>
  <c r="S24" i="2891" s="1"/>
  <c r="X24" i="2891"/>
  <c r="Y24" i="2891" s="1"/>
  <c r="R28" i="2891"/>
  <c r="S28" i="2891" s="1"/>
  <c r="X28" i="2891"/>
  <c r="Y28" i="2891" s="1"/>
  <c r="R32" i="2891"/>
  <c r="S32" i="2891" s="1"/>
  <c r="X32" i="2891"/>
  <c r="Y32" i="2891" s="1"/>
  <c r="S46" i="2891"/>
  <c r="R21" i="2891"/>
  <c r="S21" i="2891" s="1"/>
  <c r="R25" i="2891"/>
  <c r="S25" i="2891" s="1"/>
  <c r="R29" i="2891"/>
  <c r="S29" i="2891" s="1"/>
  <c r="R33" i="2891"/>
  <c r="S33" i="2891" s="1"/>
  <c r="N46" i="2891"/>
  <c r="X46" i="2891"/>
  <c r="Y46" i="2891" s="1"/>
  <c r="N48" i="2891"/>
  <c r="X48" i="2891"/>
  <c r="Y48" i="2891" s="1"/>
  <c r="N50" i="2891"/>
  <c r="X50" i="2891"/>
  <c r="Y50" i="2891" s="1"/>
  <c r="N52" i="2891"/>
  <c r="X52" i="2891"/>
  <c r="Y52" i="2891" s="1"/>
  <c r="N54" i="2891"/>
  <c r="X54" i="2891"/>
  <c r="Y54" i="2891" s="1"/>
  <c r="N56" i="2891"/>
  <c r="X56" i="2891"/>
  <c r="Y56" i="2891" s="1"/>
  <c r="AC80" i="2891"/>
  <c r="W82" i="2890"/>
  <c r="W84" i="2890" s="1"/>
  <c r="O45" i="2890"/>
  <c r="W43" i="2890"/>
  <c r="W45" i="2890" s="1"/>
  <c r="X12" i="2890"/>
  <c r="Y12" i="2890" s="1"/>
  <c r="X16" i="2890"/>
  <c r="Y16" i="2890" s="1"/>
  <c r="X20" i="2890"/>
  <c r="Y20" i="2890" s="1"/>
  <c r="R26" i="2890"/>
  <c r="S26" i="2890" s="1"/>
  <c r="X26" i="2890"/>
  <c r="Y26" i="2890" s="1"/>
  <c r="X29" i="2890"/>
  <c r="Y29" i="2890" s="1"/>
  <c r="R34" i="2890"/>
  <c r="S34" i="2890" s="1"/>
  <c r="X34" i="2890"/>
  <c r="Y34" i="2890" s="1"/>
  <c r="X37" i="2890"/>
  <c r="Y37" i="2890" s="1"/>
  <c r="X40" i="2890"/>
  <c r="Y40" i="2890" s="1"/>
  <c r="AA45" i="2890"/>
  <c r="AC45" i="2890" s="1"/>
  <c r="X15" i="2890"/>
  <c r="Y15" i="2890" s="1"/>
  <c r="X19" i="2890"/>
  <c r="Y19" i="2890" s="1"/>
  <c r="X23" i="2890"/>
  <c r="Y23" i="2890" s="1"/>
  <c r="X24" i="2890"/>
  <c r="Y24" i="2890" s="1"/>
  <c r="X32" i="2890"/>
  <c r="Y32" i="2890" s="1"/>
  <c r="AA84" i="2890"/>
  <c r="AB84" i="2890" s="1"/>
  <c r="N63" i="2890"/>
  <c r="X63" i="2890"/>
  <c r="Y63" i="2890" s="1"/>
  <c r="X64" i="2890"/>
  <c r="Y64" i="2890" s="1"/>
  <c r="X65" i="2890"/>
  <c r="Y65" i="2890" s="1"/>
  <c r="N71" i="2890"/>
  <c r="X71" i="2890"/>
  <c r="Y71" i="2890" s="1"/>
  <c r="X72" i="2890"/>
  <c r="Y72" i="2890" s="1"/>
  <c r="X73" i="2890"/>
  <c r="Y73" i="2890" s="1"/>
  <c r="X78" i="2890"/>
  <c r="Y78" i="2890" s="1"/>
  <c r="R79" i="2890"/>
  <c r="S79" i="2890" s="1"/>
  <c r="X11" i="2890"/>
  <c r="Y11" i="2890" s="1"/>
  <c r="X14" i="2890"/>
  <c r="Y14" i="2890" s="1"/>
  <c r="X18" i="2890"/>
  <c r="Y18" i="2890" s="1"/>
  <c r="X22" i="2890"/>
  <c r="Y22" i="2890" s="1"/>
  <c r="X25" i="2890"/>
  <c r="Y25" i="2890" s="1"/>
  <c r="R30" i="2890"/>
  <c r="S30" i="2890" s="1"/>
  <c r="X33" i="2890"/>
  <c r="Y33" i="2890" s="1"/>
  <c r="R38" i="2890"/>
  <c r="S38" i="2890" s="1"/>
  <c r="AB45" i="2890"/>
  <c r="N64" i="2890"/>
  <c r="N65" i="2890"/>
  <c r="N66" i="2890"/>
  <c r="X66" i="2890"/>
  <c r="Y66" i="2890" s="1"/>
  <c r="N72" i="2890"/>
  <c r="N73" i="2890"/>
  <c r="N74" i="2890"/>
  <c r="X74" i="2890"/>
  <c r="Y74" i="2890" s="1"/>
  <c r="S11" i="2890"/>
  <c r="N11" i="2890"/>
  <c r="N12" i="2890"/>
  <c r="N13" i="2890"/>
  <c r="N14" i="2890"/>
  <c r="N15" i="2890"/>
  <c r="N16" i="2890"/>
  <c r="N17" i="2890"/>
  <c r="N18" i="2890"/>
  <c r="N19" i="2890"/>
  <c r="N20" i="2890"/>
  <c r="N21" i="2890"/>
  <c r="N22" i="2890"/>
  <c r="N23" i="2890"/>
  <c r="N51" i="2890"/>
  <c r="X51" i="2890"/>
  <c r="Y51" i="2890" s="1"/>
  <c r="N53" i="2890"/>
  <c r="X53" i="2890"/>
  <c r="Y53" i="2890" s="1"/>
  <c r="N55" i="2890"/>
  <c r="X55" i="2890"/>
  <c r="Y55" i="2890" s="1"/>
  <c r="N57" i="2890"/>
  <c r="X57" i="2890"/>
  <c r="Y57" i="2890" s="1"/>
  <c r="N59" i="2890"/>
  <c r="X59" i="2890"/>
  <c r="Y59" i="2890" s="1"/>
  <c r="R27" i="2890"/>
  <c r="S27" i="2890" s="1"/>
  <c r="X27" i="2890"/>
  <c r="Y27" i="2890" s="1"/>
  <c r="R31" i="2890"/>
  <c r="S31" i="2890" s="1"/>
  <c r="X31" i="2890"/>
  <c r="Y31" i="2890" s="1"/>
  <c r="R35" i="2890"/>
  <c r="S35" i="2890" s="1"/>
  <c r="X35" i="2890"/>
  <c r="Y35" i="2890" s="1"/>
  <c r="S50" i="2890"/>
  <c r="R24" i="2890"/>
  <c r="S24" i="2890" s="1"/>
  <c r="R28" i="2890"/>
  <c r="S28" i="2890" s="1"/>
  <c r="R32" i="2890"/>
  <c r="S32" i="2890" s="1"/>
  <c r="R36" i="2890"/>
  <c r="S36" i="2890" s="1"/>
  <c r="N50" i="2890"/>
  <c r="X50" i="2890"/>
  <c r="Y50" i="2890" s="1"/>
  <c r="N52" i="2890"/>
  <c r="X52" i="2890"/>
  <c r="Y52" i="2890" s="1"/>
  <c r="N54" i="2890"/>
  <c r="X54" i="2890"/>
  <c r="Y54" i="2890" s="1"/>
  <c r="N56" i="2890"/>
  <c r="X56" i="2890"/>
  <c r="Y56" i="2890" s="1"/>
  <c r="N58" i="2890"/>
  <c r="X58" i="2890"/>
  <c r="Y58" i="2890" s="1"/>
  <c r="N60" i="2890"/>
  <c r="X60" i="2890"/>
  <c r="Y60" i="2890" s="1"/>
  <c r="R25" i="2890"/>
  <c r="S25" i="2890" s="1"/>
  <c r="R29" i="2890"/>
  <c r="S29" i="2890" s="1"/>
  <c r="R33" i="2890"/>
  <c r="S33" i="2890" s="1"/>
  <c r="R37" i="2890"/>
  <c r="S37" i="2890" s="1"/>
  <c r="W80" i="2889"/>
  <c r="W82" i="2889" s="1"/>
  <c r="O43" i="2889"/>
  <c r="W41" i="2889"/>
  <c r="W43" i="2889" s="1"/>
  <c r="X10" i="2889"/>
  <c r="Y10" i="2889" s="1"/>
  <c r="R12" i="2889"/>
  <c r="S12" i="2889" s="1"/>
  <c r="X13" i="2889"/>
  <c r="Y13" i="2889" s="1"/>
  <c r="X23" i="2889"/>
  <c r="Y23" i="2889" s="1"/>
  <c r="R29" i="2889"/>
  <c r="S29" i="2889" s="1"/>
  <c r="R32" i="2889"/>
  <c r="S32" i="2889" s="1"/>
  <c r="X36" i="2889"/>
  <c r="Y36" i="2889" s="1"/>
  <c r="N63" i="2889"/>
  <c r="N64" i="2889"/>
  <c r="N65" i="2889"/>
  <c r="X65" i="2889"/>
  <c r="Y65" i="2889" s="1"/>
  <c r="N71" i="2889"/>
  <c r="N72" i="2889"/>
  <c r="N73" i="2889"/>
  <c r="X73" i="2889"/>
  <c r="Y73" i="2889" s="1"/>
  <c r="AA43" i="2889"/>
  <c r="AC43" i="2889" s="1"/>
  <c r="X12" i="2889"/>
  <c r="Y12" i="2889" s="1"/>
  <c r="R15" i="2889"/>
  <c r="S15" i="2889" s="1"/>
  <c r="R16" i="2889"/>
  <c r="S16" i="2889" s="1"/>
  <c r="R17" i="2889"/>
  <c r="S17" i="2889" s="1"/>
  <c r="R18" i="2889"/>
  <c r="S18" i="2889" s="1"/>
  <c r="R19" i="2889"/>
  <c r="S19" i="2889" s="1"/>
  <c r="X20" i="2889"/>
  <c r="Y20" i="2889" s="1"/>
  <c r="R21" i="2889"/>
  <c r="S21" i="2889" s="1"/>
  <c r="R25" i="2889"/>
  <c r="S25" i="2889" s="1"/>
  <c r="R28" i="2889"/>
  <c r="S28" i="2889" s="1"/>
  <c r="X32" i="2889"/>
  <c r="Y32" i="2889" s="1"/>
  <c r="X35" i="2889"/>
  <c r="Y35" i="2889" s="1"/>
  <c r="X59" i="2889"/>
  <c r="Y59" i="2889" s="1"/>
  <c r="X60" i="2889"/>
  <c r="Y60" i="2889" s="1"/>
  <c r="N66" i="2889"/>
  <c r="X66" i="2889"/>
  <c r="Y66" i="2889" s="1"/>
  <c r="X67" i="2889"/>
  <c r="Y67" i="2889" s="1"/>
  <c r="X68" i="2889"/>
  <c r="Y68" i="2889" s="1"/>
  <c r="N74" i="2889"/>
  <c r="X74" i="2889"/>
  <c r="Y74" i="2889" s="1"/>
  <c r="X76" i="2889"/>
  <c r="Y76" i="2889" s="1"/>
  <c r="X9" i="2889"/>
  <c r="Y9" i="2889" s="1"/>
  <c r="X11" i="2889"/>
  <c r="Y11" i="2889" s="1"/>
  <c r="X15" i="2889"/>
  <c r="Y15" i="2889" s="1"/>
  <c r="X16" i="2889"/>
  <c r="Y16" i="2889" s="1"/>
  <c r="X17" i="2889"/>
  <c r="Y17" i="2889" s="1"/>
  <c r="X18" i="2889"/>
  <c r="Y18" i="2889" s="1"/>
  <c r="X28" i="2889"/>
  <c r="Y28" i="2889" s="1"/>
  <c r="X31" i="2889"/>
  <c r="Y31" i="2889" s="1"/>
  <c r="X48" i="2889"/>
  <c r="Y48" i="2889" s="1"/>
  <c r="AA82" i="2889"/>
  <c r="AB82" i="2889" s="1"/>
  <c r="X50" i="2889"/>
  <c r="Y50" i="2889" s="1"/>
  <c r="X52" i="2889"/>
  <c r="Y52" i="2889" s="1"/>
  <c r="X54" i="2889"/>
  <c r="Y54" i="2889" s="1"/>
  <c r="X56" i="2889"/>
  <c r="Y56" i="2889" s="1"/>
  <c r="X61" i="2889"/>
  <c r="Y61" i="2889" s="1"/>
  <c r="X69" i="2889"/>
  <c r="Y69" i="2889" s="1"/>
  <c r="R9" i="2889"/>
  <c r="R10" i="2889"/>
  <c r="S10" i="2889" s="1"/>
  <c r="R11" i="2889"/>
  <c r="S11" i="2889" s="1"/>
  <c r="N49" i="2889"/>
  <c r="X49" i="2889"/>
  <c r="Y49" i="2889" s="1"/>
  <c r="N51" i="2889"/>
  <c r="X51" i="2889"/>
  <c r="Y51" i="2889" s="1"/>
  <c r="N53" i="2889"/>
  <c r="X53" i="2889"/>
  <c r="Y53" i="2889" s="1"/>
  <c r="N55" i="2889"/>
  <c r="X55" i="2889"/>
  <c r="Y55" i="2889" s="1"/>
  <c r="N57" i="2889"/>
  <c r="X57" i="2889"/>
  <c r="Y57" i="2889" s="1"/>
  <c r="AB43" i="2889"/>
  <c r="R22" i="2889"/>
  <c r="S22" i="2889" s="1"/>
  <c r="X22" i="2889"/>
  <c r="Y22" i="2889" s="1"/>
  <c r="R26" i="2889"/>
  <c r="S26" i="2889" s="1"/>
  <c r="X26" i="2889"/>
  <c r="Y26" i="2889" s="1"/>
  <c r="R30" i="2889"/>
  <c r="S30" i="2889" s="1"/>
  <c r="X30" i="2889"/>
  <c r="Y30" i="2889" s="1"/>
  <c r="R34" i="2889"/>
  <c r="S34" i="2889" s="1"/>
  <c r="X34" i="2889"/>
  <c r="Y34" i="2889" s="1"/>
  <c r="N58" i="2889"/>
  <c r="X58" i="2889"/>
  <c r="Y58" i="2889" s="1"/>
  <c r="R23" i="2889"/>
  <c r="S23" i="2889" s="1"/>
  <c r="R27" i="2889"/>
  <c r="S27" i="2889" s="1"/>
  <c r="R31" i="2889"/>
  <c r="S31" i="2889" s="1"/>
  <c r="R35" i="2889"/>
  <c r="S35" i="2889" s="1"/>
  <c r="AC82" i="2889"/>
  <c r="AA47" i="2888"/>
  <c r="AC47" i="2888" s="1"/>
  <c r="X28" i="2888"/>
  <c r="Y28" i="2888" s="1"/>
  <c r="X31" i="2888"/>
  <c r="Y31" i="2888" s="1"/>
  <c r="R37" i="2888"/>
  <c r="S37" i="2888" s="1"/>
  <c r="X52" i="2888"/>
  <c r="Y52" i="2888" s="1"/>
  <c r="X56" i="2888"/>
  <c r="Y56" i="2888" s="1"/>
  <c r="X60" i="2888"/>
  <c r="Y60" i="2888" s="1"/>
  <c r="X63" i="2888"/>
  <c r="Y63" i="2888" s="1"/>
  <c r="X68" i="2888"/>
  <c r="Y68" i="2888" s="1"/>
  <c r="X78" i="2888"/>
  <c r="Y78" i="2888" s="1"/>
  <c r="X13" i="2888"/>
  <c r="Y13" i="2888" s="1"/>
  <c r="X15" i="2888"/>
  <c r="Y15" i="2888" s="1"/>
  <c r="X17" i="2888"/>
  <c r="Y17" i="2888" s="1"/>
  <c r="X19" i="2888"/>
  <c r="Y19" i="2888" s="1"/>
  <c r="X21" i="2888"/>
  <c r="Y21" i="2888" s="1"/>
  <c r="X23" i="2888"/>
  <c r="Y23" i="2888" s="1"/>
  <c r="X25" i="2888"/>
  <c r="Y25" i="2888" s="1"/>
  <c r="X26" i="2888"/>
  <c r="Y26" i="2888" s="1"/>
  <c r="X30" i="2888"/>
  <c r="Y30" i="2888" s="1"/>
  <c r="R34" i="2888"/>
  <c r="S34" i="2888" s="1"/>
  <c r="R41" i="2888"/>
  <c r="S41" i="2888" s="1"/>
  <c r="R42" i="2888"/>
  <c r="S42" i="2888" s="1"/>
  <c r="N52" i="2888"/>
  <c r="N56" i="2888"/>
  <c r="N60" i="2888"/>
  <c r="X71" i="2888"/>
  <c r="Y71" i="2888" s="1"/>
  <c r="N78" i="2888"/>
  <c r="R29" i="2888"/>
  <c r="S29" i="2888" s="1"/>
  <c r="X36" i="2888"/>
  <c r="Y36" i="2888" s="1"/>
  <c r="X39" i="2888"/>
  <c r="Y39" i="2888" s="1"/>
  <c r="O86" i="2888"/>
  <c r="W84" i="2888"/>
  <c r="W86" i="2888" s="1"/>
  <c r="X54" i="2888"/>
  <c r="Y54" i="2888" s="1"/>
  <c r="X58" i="2888"/>
  <c r="Y58" i="2888" s="1"/>
  <c r="X62" i="2888"/>
  <c r="Y62" i="2888" s="1"/>
  <c r="X64" i="2888"/>
  <c r="Y64" i="2888" s="1"/>
  <c r="X67" i="2888"/>
  <c r="Y67" i="2888" s="1"/>
  <c r="R30" i="2888"/>
  <c r="S30" i="2888" s="1"/>
  <c r="R33" i="2888"/>
  <c r="S33" i="2888" s="1"/>
  <c r="X35" i="2888"/>
  <c r="Y35" i="2888" s="1"/>
  <c r="X37" i="2888"/>
  <c r="Y37" i="2888" s="1"/>
  <c r="R40" i="2888"/>
  <c r="S40" i="2888" s="1"/>
  <c r="X41" i="2888"/>
  <c r="Y41" i="2888" s="1"/>
  <c r="X42" i="2888"/>
  <c r="Y42" i="2888" s="1"/>
  <c r="N63" i="2888"/>
  <c r="N64" i="2888"/>
  <c r="N65" i="2888"/>
  <c r="X65" i="2888"/>
  <c r="Y65" i="2888" s="1"/>
  <c r="N71" i="2888"/>
  <c r="N72" i="2888"/>
  <c r="N73" i="2888"/>
  <c r="X73" i="2888"/>
  <c r="Y73" i="2888" s="1"/>
  <c r="O47" i="2888"/>
  <c r="X40" i="2888"/>
  <c r="Y40" i="2888" s="1"/>
  <c r="N66" i="2888"/>
  <c r="X66" i="2888"/>
  <c r="Y66" i="2888" s="1"/>
  <c r="N74" i="2888"/>
  <c r="X74" i="2888"/>
  <c r="Y74" i="2888" s="1"/>
  <c r="R81" i="2888"/>
  <c r="S81" i="2888" s="1"/>
  <c r="X27" i="2888"/>
  <c r="Y27" i="2888" s="1"/>
  <c r="X29" i="2888"/>
  <c r="Y29" i="2888" s="1"/>
  <c r="X32" i="2888"/>
  <c r="Y32" i="2888" s="1"/>
  <c r="R38" i="2888"/>
  <c r="S38" i="2888" s="1"/>
  <c r="N67" i="2888"/>
  <c r="N68" i="2888"/>
  <c r="N69" i="2888"/>
  <c r="X69" i="2888"/>
  <c r="Y69" i="2888" s="1"/>
  <c r="N75" i="2888"/>
  <c r="N76" i="2888"/>
  <c r="N77" i="2888"/>
  <c r="X77" i="2888"/>
  <c r="Y77" i="2888" s="1"/>
  <c r="W45" i="2888"/>
  <c r="W47" i="2888" s="1"/>
  <c r="S13" i="2888"/>
  <c r="N13" i="2888"/>
  <c r="N14" i="2888"/>
  <c r="N15" i="2888"/>
  <c r="N16" i="2888"/>
  <c r="N17" i="2888"/>
  <c r="N18" i="2888"/>
  <c r="N19" i="2888"/>
  <c r="N20" i="2888"/>
  <c r="N21" i="2888"/>
  <c r="N22" i="2888"/>
  <c r="N23" i="2888"/>
  <c r="N24" i="2888"/>
  <c r="N25" i="2888"/>
  <c r="R28" i="2888"/>
  <c r="S28" i="2888" s="1"/>
  <c r="R32" i="2888"/>
  <c r="S32" i="2888" s="1"/>
  <c r="R36" i="2888"/>
  <c r="S36" i="2888" s="1"/>
  <c r="N53" i="2888"/>
  <c r="X53" i="2888"/>
  <c r="Y53" i="2888" s="1"/>
  <c r="N55" i="2888"/>
  <c r="X55" i="2888"/>
  <c r="Y55" i="2888" s="1"/>
  <c r="N57" i="2888"/>
  <c r="X57" i="2888"/>
  <c r="Y57" i="2888" s="1"/>
  <c r="N59" i="2888"/>
  <c r="X59" i="2888"/>
  <c r="Y59" i="2888" s="1"/>
  <c r="N61" i="2888"/>
  <c r="X61" i="2888"/>
  <c r="Y61" i="2888" s="1"/>
  <c r="AB47" i="2888"/>
  <c r="R27" i="2888"/>
  <c r="S27" i="2888" s="1"/>
  <c r="R31" i="2888"/>
  <c r="S31" i="2888" s="1"/>
  <c r="R35" i="2888"/>
  <c r="S35" i="2888" s="1"/>
  <c r="R39" i="2888"/>
  <c r="S39" i="2888" s="1"/>
  <c r="AC86" i="2888"/>
  <c r="X23" i="2887"/>
  <c r="Y23" i="2887" s="1"/>
  <c r="R34" i="2887"/>
  <c r="S34" i="2887" s="1"/>
  <c r="R40" i="2887"/>
  <c r="S40" i="2887" s="1"/>
  <c r="N67" i="2887"/>
  <c r="R20" i="2887"/>
  <c r="S20" i="2887" s="1"/>
  <c r="X34" i="2887"/>
  <c r="Y34" i="2887" s="1"/>
  <c r="R36" i="2887"/>
  <c r="S36" i="2887" s="1"/>
  <c r="X37" i="2887"/>
  <c r="Y37" i="2887" s="1"/>
  <c r="X40" i="2887"/>
  <c r="Y40" i="2887" s="1"/>
  <c r="R44" i="2887"/>
  <c r="S44" i="2887" s="1"/>
  <c r="O88" i="2887"/>
  <c r="N73" i="2887"/>
  <c r="X74" i="2887"/>
  <c r="Y74" i="2887" s="1"/>
  <c r="R22" i="2887"/>
  <c r="S22" i="2887" s="1"/>
  <c r="R28" i="2887"/>
  <c r="S28" i="2887" s="1"/>
  <c r="N68" i="2887"/>
  <c r="N69" i="2887"/>
  <c r="X69" i="2887"/>
  <c r="Y69" i="2887" s="1"/>
  <c r="N83" i="2887"/>
  <c r="X15" i="2887"/>
  <c r="Y15" i="2887" s="1"/>
  <c r="X17" i="2887"/>
  <c r="Y17" i="2887" s="1"/>
  <c r="X19" i="2887"/>
  <c r="Y19" i="2887" s="1"/>
  <c r="X27" i="2887"/>
  <c r="Y27" i="2887" s="1"/>
  <c r="X28" i="2887"/>
  <c r="Y28" i="2887" s="1"/>
  <c r="X43" i="2887"/>
  <c r="Y43" i="2887" s="1"/>
  <c r="N78" i="2887"/>
  <c r="X80" i="2887"/>
  <c r="Y80" i="2887" s="1"/>
  <c r="W86" i="2887"/>
  <c r="W88" i="2887" s="1"/>
  <c r="R26" i="2887"/>
  <c r="S26" i="2887" s="1"/>
  <c r="X32" i="2887"/>
  <c r="Y32" i="2887" s="1"/>
  <c r="X79" i="2887"/>
  <c r="Y79" i="2887" s="1"/>
  <c r="R21" i="2887"/>
  <c r="S21" i="2887" s="1"/>
  <c r="X22" i="2887"/>
  <c r="Y22" i="2887" s="1"/>
  <c r="R25" i="2887"/>
  <c r="S25" i="2887" s="1"/>
  <c r="X26" i="2887"/>
  <c r="Y26" i="2887" s="1"/>
  <c r="R32" i="2887"/>
  <c r="S32" i="2887" s="1"/>
  <c r="X33" i="2887"/>
  <c r="Y33" i="2887" s="1"/>
  <c r="X39" i="2887"/>
  <c r="Y39" i="2887" s="1"/>
  <c r="R42" i="2887"/>
  <c r="S42" i="2887" s="1"/>
  <c r="N70" i="2887"/>
  <c r="X70" i="2887"/>
  <c r="Y70" i="2887" s="1"/>
  <c r="N75" i="2887"/>
  <c r="X75" i="2887"/>
  <c r="Y75" i="2887" s="1"/>
  <c r="X76" i="2887"/>
  <c r="Y76" i="2887" s="1"/>
  <c r="N80" i="2887"/>
  <c r="N81" i="2887"/>
  <c r="X81" i="2887"/>
  <c r="Y81" i="2887" s="1"/>
  <c r="O49" i="2887"/>
  <c r="W47" i="2887"/>
  <c r="W49" i="2887" s="1"/>
  <c r="X16" i="2887"/>
  <c r="Y16" i="2887" s="1"/>
  <c r="X18" i="2887"/>
  <c r="Y18" i="2887" s="1"/>
  <c r="X21" i="2887"/>
  <c r="Y21" i="2887" s="1"/>
  <c r="X25" i="2887"/>
  <c r="Y25" i="2887" s="1"/>
  <c r="X29" i="2887"/>
  <c r="Y29" i="2887" s="1"/>
  <c r="X30" i="2887"/>
  <c r="Y30" i="2887" s="1"/>
  <c r="X35" i="2887"/>
  <c r="Y35" i="2887" s="1"/>
  <c r="X42" i="2887"/>
  <c r="Y42" i="2887" s="1"/>
  <c r="N54" i="2887"/>
  <c r="X54" i="2887"/>
  <c r="Y54" i="2887" s="1"/>
  <c r="AA88" i="2887"/>
  <c r="N56" i="2887"/>
  <c r="X56" i="2887"/>
  <c r="Y56" i="2887" s="1"/>
  <c r="N58" i="2887"/>
  <c r="X58" i="2887"/>
  <c r="Y58" i="2887" s="1"/>
  <c r="N60" i="2887"/>
  <c r="X60" i="2887"/>
  <c r="Y60" i="2887" s="1"/>
  <c r="N62" i="2887"/>
  <c r="X62" i="2887"/>
  <c r="Y62" i="2887" s="1"/>
  <c r="N64" i="2887"/>
  <c r="X64" i="2887"/>
  <c r="Y64" i="2887" s="1"/>
  <c r="N66" i="2887"/>
  <c r="X66" i="2887"/>
  <c r="Y66" i="2887" s="1"/>
  <c r="N71" i="2887"/>
  <c r="X71" i="2887"/>
  <c r="Y71" i="2887" s="1"/>
  <c r="X72" i="2887"/>
  <c r="Y72" i="2887" s="1"/>
  <c r="N76" i="2887"/>
  <c r="N77" i="2887"/>
  <c r="X77" i="2887"/>
  <c r="Y77" i="2887" s="1"/>
  <c r="N82" i="2887"/>
  <c r="X82" i="2887"/>
  <c r="Y82" i="2887" s="1"/>
  <c r="N49" i="2887"/>
  <c r="V49" i="2887" s="1"/>
  <c r="X20" i="2887"/>
  <c r="Y20" i="2887" s="1"/>
  <c r="R23" i="2887"/>
  <c r="S23" i="2887" s="1"/>
  <c r="X24" i="2887"/>
  <c r="Y24" i="2887" s="1"/>
  <c r="R27" i="2887"/>
  <c r="S27" i="2887" s="1"/>
  <c r="X31" i="2887"/>
  <c r="Y31" i="2887" s="1"/>
  <c r="X38" i="2887"/>
  <c r="Y38" i="2887" s="1"/>
  <c r="X41" i="2887"/>
  <c r="Y41" i="2887" s="1"/>
  <c r="X44" i="2887"/>
  <c r="Y44" i="2887" s="1"/>
  <c r="X67" i="2887"/>
  <c r="Y67" i="2887" s="1"/>
  <c r="X68" i="2887"/>
  <c r="Y68" i="2887" s="1"/>
  <c r="X73" i="2887"/>
  <c r="Y73" i="2887" s="1"/>
  <c r="X78" i="2887"/>
  <c r="Y78" i="2887" s="1"/>
  <c r="X83" i="2887"/>
  <c r="Y83" i="2887" s="1"/>
  <c r="R29" i="2887"/>
  <c r="S29" i="2887" s="1"/>
  <c r="R33" i="2887"/>
  <c r="S33" i="2887" s="1"/>
  <c r="R37" i="2887"/>
  <c r="S37" i="2887" s="1"/>
  <c r="R41" i="2887"/>
  <c r="S41" i="2887" s="1"/>
  <c r="R15" i="2887"/>
  <c r="AA49" i="2887"/>
  <c r="R16" i="2887"/>
  <c r="S16" i="2887" s="1"/>
  <c r="R17" i="2887"/>
  <c r="S17" i="2887" s="1"/>
  <c r="R18" i="2887"/>
  <c r="S18" i="2887" s="1"/>
  <c r="R19" i="2887"/>
  <c r="S19" i="2887" s="1"/>
  <c r="R88" i="2887"/>
  <c r="S88" i="2887" s="1"/>
  <c r="N55" i="2887"/>
  <c r="X55" i="2887"/>
  <c r="Y55" i="2887" s="1"/>
  <c r="N57" i="2887"/>
  <c r="X57" i="2887"/>
  <c r="Y57" i="2887" s="1"/>
  <c r="N59" i="2887"/>
  <c r="X59" i="2887"/>
  <c r="Y59" i="2887" s="1"/>
  <c r="N61" i="2887"/>
  <c r="X61" i="2887"/>
  <c r="Y61" i="2887" s="1"/>
  <c r="N63" i="2887"/>
  <c r="X63" i="2887"/>
  <c r="Y63" i="2887" s="1"/>
  <c r="N65" i="2887"/>
  <c r="X65" i="2887"/>
  <c r="Y65" i="2887" s="1"/>
  <c r="R31" i="2887"/>
  <c r="S31" i="2887" s="1"/>
  <c r="R35" i="2887"/>
  <c r="S35" i="2887" s="1"/>
  <c r="R39" i="2887"/>
  <c r="S39" i="2887" s="1"/>
  <c r="R43" i="2887"/>
  <c r="S43" i="2887" s="1"/>
  <c r="X19" i="2886"/>
  <c r="Y19" i="2886" s="1"/>
  <c r="X21" i="2886"/>
  <c r="Y21" i="2886" s="1"/>
  <c r="X23" i="2886"/>
  <c r="Y23" i="2886" s="1"/>
  <c r="X25" i="2886"/>
  <c r="Y25" i="2886" s="1"/>
  <c r="X27" i="2886"/>
  <c r="Y27" i="2886" s="1"/>
  <c r="X29" i="2886"/>
  <c r="Y29" i="2886" s="1"/>
  <c r="R35" i="2886"/>
  <c r="S35" i="2886" s="1"/>
  <c r="R38" i="2886"/>
  <c r="S38" i="2886" s="1"/>
  <c r="R86" i="2886"/>
  <c r="S86" i="2886" s="1"/>
  <c r="N59" i="2886"/>
  <c r="N60" i="2886"/>
  <c r="X74" i="2886"/>
  <c r="Y74" i="2886" s="1"/>
  <c r="X43" i="2886"/>
  <c r="Y43" i="2886" s="1"/>
  <c r="X45" i="2886"/>
  <c r="Y45" i="2886" s="1"/>
  <c r="X69" i="2886"/>
  <c r="Y69" i="2886" s="1"/>
  <c r="X73" i="2886"/>
  <c r="Y73" i="2886" s="1"/>
  <c r="R42" i="2886"/>
  <c r="S42" i="2886" s="1"/>
  <c r="W90" i="2886"/>
  <c r="W92" i="2886" s="1"/>
  <c r="X61" i="2886"/>
  <c r="Y61" i="2886" s="1"/>
  <c r="R69" i="2886"/>
  <c r="S69" i="2886" s="1"/>
  <c r="R72" i="2886"/>
  <c r="S72" i="2886" s="1"/>
  <c r="X77" i="2886"/>
  <c r="Y77" i="2886" s="1"/>
  <c r="X79" i="2886"/>
  <c r="Y79" i="2886" s="1"/>
  <c r="R85" i="2886"/>
  <c r="S85" i="2886" s="1"/>
  <c r="X86" i="2886"/>
  <c r="Y86" i="2886" s="1"/>
  <c r="X87" i="2886"/>
  <c r="Y87" i="2886" s="1"/>
  <c r="X40" i="2886"/>
  <c r="Y40" i="2886" s="1"/>
  <c r="X42" i="2886"/>
  <c r="Y42" i="2886" s="1"/>
  <c r="R76" i="2886"/>
  <c r="S76" i="2886" s="1"/>
  <c r="X39" i="2886"/>
  <c r="Y39" i="2886" s="1"/>
  <c r="X59" i="2886"/>
  <c r="Y59" i="2886" s="1"/>
  <c r="X60" i="2886"/>
  <c r="Y60" i="2886" s="1"/>
  <c r="X76" i="2886"/>
  <c r="Y76" i="2886" s="1"/>
  <c r="R31" i="2886"/>
  <c r="S31" i="2886" s="1"/>
  <c r="X31" i="2886"/>
  <c r="Y31" i="2886" s="1"/>
  <c r="R34" i="2886"/>
  <c r="S34" i="2886" s="1"/>
  <c r="X36" i="2886"/>
  <c r="Y36" i="2886" s="1"/>
  <c r="X38" i="2886"/>
  <c r="Y38" i="2886" s="1"/>
  <c r="X41" i="2886"/>
  <c r="Y41" i="2886" s="1"/>
  <c r="R47" i="2886"/>
  <c r="S47" i="2886" s="1"/>
  <c r="X47" i="2886"/>
  <c r="Y47" i="2886" s="1"/>
  <c r="R65" i="2886"/>
  <c r="S65" i="2886" s="1"/>
  <c r="X65" i="2886"/>
  <c r="Y65" i="2886" s="1"/>
  <c r="R68" i="2886"/>
  <c r="S68" i="2886" s="1"/>
  <c r="X70" i="2886"/>
  <c r="Y70" i="2886" s="1"/>
  <c r="X72" i="2886"/>
  <c r="Y72" i="2886" s="1"/>
  <c r="X75" i="2886"/>
  <c r="Y75" i="2886" s="1"/>
  <c r="R81" i="2886"/>
  <c r="S81" i="2886" s="1"/>
  <c r="X81" i="2886"/>
  <c r="Y81" i="2886" s="1"/>
  <c r="R84" i="2886"/>
  <c r="S84" i="2886" s="1"/>
  <c r="X85" i="2886"/>
  <c r="Y85" i="2886" s="1"/>
  <c r="O53" i="2886"/>
  <c r="W51" i="2886"/>
  <c r="W53" i="2886" s="1"/>
  <c r="X20" i="2886"/>
  <c r="Y20" i="2886" s="1"/>
  <c r="X22" i="2886"/>
  <c r="Y22" i="2886" s="1"/>
  <c r="X24" i="2886"/>
  <c r="Y24" i="2886" s="1"/>
  <c r="X26" i="2886"/>
  <c r="Y26" i="2886" s="1"/>
  <c r="X28" i="2886"/>
  <c r="Y28" i="2886" s="1"/>
  <c r="R30" i="2886"/>
  <c r="S30" i="2886" s="1"/>
  <c r="X32" i="2886"/>
  <c r="Y32" i="2886" s="1"/>
  <c r="X34" i="2886"/>
  <c r="Y34" i="2886" s="1"/>
  <c r="X37" i="2886"/>
  <c r="Y37" i="2886" s="1"/>
  <c r="R43" i="2886"/>
  <c r="S43" i="2886" s="1"/>
  <c r="R46" i="2886"/>
  <c r="S46" i="2886" s="1"/>
  <c r="X48" i="2886"/>
  <c r="Y48" i="2886" s="1"/>
  <c r="R61" i="2886"/>
  <c r="S61" i="2886" s="1"/>
  <c r="R64" i="2886"/>
  <c r="S64" i="2886" s="1"/>
  <c r="X66" i="2886"/>
  <c r="Y66" i="2886" s="1"/>
  <c r="X68" i="2886"/>
  <c r="Y68" i="2886" s="1"/>
  <c r="X71" i="2886"/>
  <c r="Y71" i="2886" s="1"/>
  <c r="R77" i="2886"/>
  <c r="S77" i="2886" s="1"/>
  <c r="R80" i="2886"/>
  <c r="S80" i="2886" s="1"/>
  <c r="X82" i="2886"/>
  <c r="Y82" i="2886" s="1"/>
  <c r="X84" i="2886"/>
  <c r="Y84" i="2886" s="1"/>
  <c r="AA53" i="2886"/>
  <c r="AC53" i="2886" s="1"/>
  <c r="X30" i="2886"/>
  <c r="Y30" i="2886" s="1"/>
  <c r="X33" i="2886"/>
  <c r="Y33" i="2886" s="1"/>
  <c r="R39" i="2886"/>
  <c r="S39" i="2886" s="1"/>
  <c r="X44" i="2886"/>
  <c r="Y44" i="2886" s="1"/>
  <c r="X46" i="2886"/>
  <c r="Y46" i="2886" s="1"/>
  <c r="X58" i="2886"/>
  <c r="Y58" i="2886" s="1"/>
  <c r="X62" i="2886"/>
  <c r="Y62" i="2886" s="1"/>
  <c r="X64" i="2886"/>
  <c r="Y64" i="2886" s="1"/>
  <c r="X67" i="2886"/>
  <c r="Y67" i="2886" s="1"/>
  <c r="R73" i="2886"/>
  <c r="S73" i="2886" s="1"/>
  <c r="X78" i="2886"/>
  <c r="Y78" i="2886" s="1"/>
  <c r="X80" i="2886"/>
  <c r="Y80" i="2886" s="1"/>
  <c r="X83" i="2886"/>
  <c r="Y83" i="2886" s="1"/>
  <c r="S19" i="2886"/>
  <c r="N19" i="2886"/>
  <c r="N20" i="2886"/>
  <c r="N21" i="2886"/>
  <c r="N22" i="2886"/>
  <c r="N23" i="2886"/>
  <c r="N24" i="2886"/>
  <c r="N25" i="2886"/>
  <c r="N26" i="2886"/>
  <c r="N27" i="2886"/>
  <c r="N28" i="2886"/>
  <c r="N29" i="2886"/>
  <c r="R33" i="2886"/>
  <c r="S33" i="2886" s="1"/>
  <c r="R37" i="2886"/>
  <c r="S37" i="2886" s="1"/>
  <c r="R41" i="2886"/>
  <c r="S41" i="2886" s="1"/>
  <c r="R45" i="2886"/>
  <c r="S45" i="2886" s="1"/>
  <c r="O92" i="2886"/>
  <c r="N62" i="2886"/>
  <c r="R62" i="2886"/>
  <c r="S62" i="2886" s="1"/>
  <c r="N66" i="2886"/>
  <c r="R66" i="2886"/>
  <c r="S66" i="2886" s="1"/>
  <c r="R32" i="2886"/>
  <c r="S32" i="2886" s="1"/>
  <c r="R36" i="2886"/>
  <c r="S36" i="2886" s="1"/>
  <c r="R40" i="2886"/>
  <c r="S40" i="2886" s="1"/>
  <c r="R44" i="2886"/>
  <c r="S44" i="2886" s="1"/>
  <c r="R48" i="2886"/>
  <c r="S48" i="2886" s="1"/>
  <c r="N58" i="2886"/>
  <c r="X63" i="2886"/>
  <c r="Y63" i="2886" s="1"/>
  <c r="AA92" i="2886"/>
  <c r="AC92" i="2886" s="1"/>
  <c r="R63" i="2886"/>
  <c r="S63" i="2886" s="1"/>
  <c r="R67" i="2886"/>
  <c r="S67" i="2886" s="1"/>
  <c r="R71" i="2886"/>
  <c r="S71" i="2886" s="1"/>
  <c r="R75" i="2886"/>
  <c r="S75" i="2886" s="1"/>
  <c r="R79" i="2886"/>
  <c r="S79" i="2886" s="1"/>
  <c r="R83" i="2886"/>
  <c r="S83" i="2886" s="1"/>
  <c r="R70" i="2886"/>
  <c r="S70" i="2886" s="1"/>
  <c r="R74" i="2886"/>
  <c r="S74" i="2886" s="1"/>
  <c r="R78" i="2886"/>
  <c r="S78" i="2886" s="1"/>
  <c r="R82" i="2886"/>
  <c r="S82" i="2886" s="1"/>
  <c r="X52" i="2885"/>
  <c r="Y52" i="2885" s="1"/>
  <c r="X55" i="2885"/>
  <c r="Y55" i="2885" s="1"/>
  <c r="X56" i="2885"/>
  <c r="Y56" i="2885" s="1"/>
  <c r="X61" i="2885"/>
  <c r="Y61" i="2885" s="1"/>
  <c r="R64" i="2885"/>
  <c r="S64" i="2885" s="1"/>
  <c r="R70" i="2885"/>
  <c r="S70" i="2885" s="1"/>
  <c r="X71" i="2885"/>
  <c r="Y71" i="2885" s="1"/>
  <c r="X72" i="2885"/>
  <c r="Y72" i="2885" s="1"/>
  <c r="X77" i="2885"/>
  <c r="Y77" i="2885" s="1"/>
  <c r="R80" i="2885"/>
  <c r="S80" i="2885" s="1"/>
  <c r="X81" i="2885"/>
  <c r="Y81" i="2885" s="1"/>
  <c r="R54" i="2885"/>
  <c r="S54" i="2885" s="1"/>
  <c r="X57" i="2885"/>
  <c r="Y57" i="2885" s="1"/>
  <c r="R66" i="2885"/>
  <c r="S66" i="2885" s="1"/>
  <c r="X68" i="2885"/>
  <c r="Y68" i="2885" s="1"/>
  <c r="X73" i="2885"/>
  <c r="Y73" i="2885" s="1"/>
  <c r="R76" i="2885"/>
  <c r="S76" i="2885" s="1"/>
  <c r="X80" i="2885"/>
  <c r="Y80" i="2885" s="1"/>
  <c r="O86" i="2885"/>
  <c r="R53" i="2885"/>
  <c r="S53" i="2885" s="1"/>
  <c r="X54" i="2885"/>
  <c r="Y54" i="2885" s="1"/>
  <c r="R56" i="2885"/>
  <c r="S56" i="2885" s="1"/>
  <c r="R62" i="2885"/>
  <c r="S62" i="2885" s="1"/>
  <c r="X63" i="2885"/>
  <c r="Y63" i="2885" s="1"/>
  <c r="X64" i="2885"/>
  <c r="Y64" i="2885" s="1"/>
  <c r="X69" i="2885"/>
  <c r="Y69" i="2885" s="1"/>
  <c r="R72" i="2885"/>
  <c r="S72" i="2885" s="1"/>
  <c r="R78" i="2885"/>
  <c r="S78" i="2885" s="1"/>
  <c r="X79" i="2885"/>
  <c r="Y79" i="2885" s="1"/>
  <c r="W45" i="2885"/>
  <c r="W47" i="2885" s="1"/>
  <c r="V47" i="2885" s="1"/>
  <c r="S52" i="2885"/>
  <c r="AC47" i="2885"/>
  <c r="AB47" i="2885"/>
  <c r="W84" i="2885"/>
  <c r="W86" i="2885" s="1"/>
  <c r="N52" i="2885"/>
  <c r="N86" i="2885" s="1"/>
  <c r="R57" i="2885"/>
  <c r="S57" i="2885" s="1"/>
  <c r="R61" i="2885"/>
  <c r="S61" i="2885" s="1"/>
  <c r="R65" i="2885"/>
  <c r="S65" i="2885" s="1"/>
  <c r="R69" i="2885"/>
  <c r="S69" i="2885" s="1"/>
  <c r="R73" i="2885"/>
  <c r="S73" i="2885" s="1"/>
  <c r="R77" i="2885"/>
  <c r="S77" i="2885" s="1"/>
  <c r="R13" i="2885"/>
  <c r="R14" i="2885"/>
  <c r="S14" i="2885" s="1"/>
  <c r="R15" i="2885"/>
  <c r="S15" i="2885" s="1"/>
  <c r="R16" i="2885"/>
  <c r="S16" i="2885" s="1"/>
  <c r="R17" i="2885"/>
  <c r="S17" i="2885" s="1"/>
  <c r="R18" i="2885"/>
  <c r="S18" i="2885" s="1"/>
  <c r="R19" i="2885"/>
  <c r="S19" i="2885" s="1"/>
  <c r="R20" i="2885"/>
  <c r="S20" i="2885" s="1"/>
  <c r="R21" i="2885"/>
  <c r="S21" i="2885" s="1"/>
  <c r="R22" i="2885"/>
  <c r="S22" i="2885" s="1"/>
  <c r="R23" i="2885"/>
  <c r="S23" i="2885" s="1"/>
  <c r="R24" i="2885"/>
  <c r="S24" i="2885" s="1"/>
  <c r="R25" i="2885"/>
  <c r="S25" i="2885" s="1"/>
  <c r="R26" i="2885"/>
  <c r="S26" i="2885" s="1"/>
  <c r="R27" i="2885"/>
  <c r="S27" i="2885" s="1"/>
  <c r="R28" i="2885"/>
  <c r="S28" i="2885" s="1"/>
  <c r="R29" i="2885"/>
  <c r="S29" i="2885" s="1"/>
  <c r="R30" i="2885"/>
  <c r="S30" i="2885" s="1"/>
  <c r="R31" i="2885"/>
  <c r="S31" i="2885" s="1"/>
  <c r="R32" i="2885"/>
  <c r="S32" i="2885" s="1"/>
  <c r="R33" i="2885"/>
  <c r="S33" i="2885" s="1"/>
  <c r="R34" i="2885"/>
  <c r="S34" i="2885" s="1"/>
  <c r="R35" i="2885"/>
  <c r="S35" i="2885" s="1"/>
  <c r="R36" i="2885"/>
  <c r="S36" i="2885" s="1"/>
  <c r="R37" i="2885"/>
  <c r="S37" i="2885" s="1"/>
  <c r="R38" i="2885"/>
  <c r="S38" i="2885" s="1"/>
  <c r="R39" i="2885"/>
  <c r="S39" i="2885" s="1"/>
  <c r="R40" i="2885"/>
  <c r="S40" i="2885" s="1"/>
  <c r="R41" i="2885"/>
  <c r="S41" i="2885" s="1"/>
  <c r="R42" i="2885"/>
  <c r="S42" i="2885" s="1"/>
  <c r="R55" i="2885"/>
  <c r="S55" i="2885" s="1"/>
  <c r="R59" i="2885"/>
  <c r="S59" i="2885" s="1"/>
  <c r="R63" i="2885"/>
  <c r="S63" i="2885" s="1"/>
  <c r="R67" i="2885"/>
  <c r="S67" i="2885" s="1"/>
  <c r="R71" i="2885"/>
  <c r="S71" i="2885" s="1"/>
  <c r="R75" i="2885"/>
  <c r="S75" i="2885" s="1"/>
  <c r="R79" i="2885"/>
  <c r="S79" i="2885" s="1"/>
  <c r="AB86" i="2885"/>
  <c r="N51" i="2884"/>
  <c r="X59" i="2884"/>
  <c r="Y59" i="2884" s="1"/>
  <c r="X64" i="2884"/>
  <c r="Y64" i="2884" s="1"/>
  <c r="R68" i="2884"/>
  <c r="S68" i="2884" s="1"/>
  <c r="X69" i="2884"/>
  <c r="Y69" i="2884" s="1"/>
  <c r="O46" i="2884"/>
  <c r="X75" i="2884"/>
  <c r="Y75" i="2884" s="1"/>
  <c r="AC46" i="2884"/>
  <c r="X53" i="2884"/>
  <c r="Y53" i="2884" s="1"/>
  <c r="X56" i="2884"/>
  <c r="Y56" i="2884" s="1"/>
  <c r="X60" i="2884"/>
  <c r="Y60" i="2884" s="1"/>
  <c r="X12" i="2884"/>
  <c r="Y12" i="2884" s="1"/>
  <c r="X14" i="2884"/>
  <c r="Y14" i="2884" s="1"/>
  <c r="X16" i="2884"/>
  <c r="Y16" i="2884" s="1"/>
  <c r="X18" i="2884"/>
  <c r="Y18" i="2884" s="1"/>
  <c r="X20" i="2884"/>
  <c r="Y20" i="2884" s="1"/>
  <c r="X22" i="2884"/>
  <c r="Y22" i="2884" s="1"/>
  <c r="X24" i="2884"/>
  <c r="Y24" i="2884" s="1"/>
  <c r="X26" i="2884"/>
  <c r="Y26" i="2884" s="1"/>
  <c r="X28" i="2884"/>
  <c r="Y28" i="2884" s="1"/>
  <c r="X30" i="2884"/>
  <c r="Y30" i="2884" s="1"/>
  <c r="X32" i="2884"/>
  <c r="Y32" i="2884" s="1"/>
  <c r="X34" i="2884"/>
  <c r="Y34" i="2884" s="1"/>
  <c r="X36" i="2884"/>
  <c r="Y36" i="2884" s="1"/>
  <c r="X38" i="2884"/>
  <c r="Y38" i="2884" s="1"/>
  <c r="X40" i="2884"/>
  <c r="Y40" i="2884" s="1"/>
  <c r="X55" i="2884"/>
  <c r="Y55" i="2884" s="1"/>
  <c r="R58" i="2884"/>
  <c r="S58" i="2884" s="1"/>
  <c r="R64" i="2884"/>
  <c r="S64" i="2884" s="1"/>
  <c r="X65" i="2884"/>
  <c r="Y65" i="2884" s="1"/>
  <c r="X66" i="2884"/>
  <c r="Y66" i="2884" s="1"/>
  <c r="X71" i="2884"/>
  <c r="Y71" i="2884" s="1"/>
  <c r="R74" i="2884"/>
  <c r="S74" i="2884" s="1"/>
  <c r="X78" i="2884"/>
  <c r="Y78" i="2884" s="1"/>
  <c r="X80" i="2884"/>
  <c r="Y80" i="2884" s="1"/>
  <c r="X52" i="2884"/>
  <c r="Y52" i="2884" s="1"/>
  <c r="R60" i="2884"/>
  <c r="S60" i="2884" s="1"/>
  <c r="X61" i="2884"/>
  <c r="Y61" i="2884" s="1"/>
  <c r="X62" i="2884"/>
  <c r="Y62" i="2884" s="1"/>
  <c r="X67" i="2884"/>
  <c r="Y67" i="2884" s="1"/>
  <c r="R70" i="2884"/>
  <c r="S70" i="2884" s="1"/>
  <c r="R76" i="2884"/>
  <c r="S76" i="2884" s="1"/>
  <c r="X77" i="2884"/>
  <c r="Y77" i="2884" s="1"/>
  <c r="W44" i="2884"/>
  <c r="W46" i="2884" s="1"/>
  <c r="X13" i="2884"/>
  <c r="Y13" i="2884" s="1"/>
  <c r="X15" i="2884"/>
  <c r="Y15" i="2884" s="1"/>
  <c r="X17" i="2884"/>
  <c r="Y17" i="2884" s="1"/>
  <c r="X19" i="2884"/>
  <c r="Y19" i="2884" s="1"/>
  <c r="X21" i="2884"/>
  <c r="Y21" i="2884" s="1"/>
  <c r="X23" i="2884"/>
  <c r="Y23" i="2884" s="1"/>
  <c r="X25" i="2884"/>
  <c r="Y25" i="2884" s="1"/>
  <c r="X27" i="2884"/>
  <c r="Y27" i="2884" s="1"/>
  <c r="X29" i="2884"/>
  <c r="Y29" i="2884" s="1"/>
  <c r="X31" i="2884"/>
  <c r="Y31" i="2884" s="1"/>
  <c r="X33" i="2884"/>
  <c r="Y33" i="2884" s="1"/>
  <c r="X35" i="2884"/>
  <c r="Y35" i="2884" s="1"/>
  <c r="X37" i="2884"/>
  <c r="Y37" i="2884" s="1"/>
  <c r="X39" i="2884"/>
  <c r="Y39" i="2884" s="1"/>
  <c r="X41" i="2884"/>
  <c r="Y41" i="2884" s="1"/>
  <c r="W83" i="2884"/>
  <c r="W85" i="2884" s="1"/>
  <c r="X57" i="2884"/>
  <c r="Y57" i="2884" s="1"/>
  <c r="X58" i="2884"/>
  <c r="Y58" i="2884" s="1"/>
  <c r="X63" i="2884"/>
  <c r="Y63" i="2884" s="1"/>
  <c r="X73" i="2884"/>
  <c r="Y73" i="2884" s="1"/>
  <c r="X74" i="2884"/>
  <c r="Y74" i="2884" s="1"/>
  <c r="X79" i="2884"/>
  <c r="Y79" i="2884" s="1"/>
  <c r="AB46" i="2884"/>
  <c r="O85" i="2884"/>
  <c r="R57" i="2884"/>
  <c r="S57" i="2884" s="1"/>
  <c r="R61" i="2884"/>
  <c r="S61" i="2884" s="1"/>
  <c r="R65" i="2884"/>
  <c r="S65" i="2884" s="1"/>
  <c r="R69" i="2884"/>
  <c r="S69" i="2884" s="1"/>
  <c r="R73" i="2884"/>
  <c r="S73" i="2884" s="1"/>
  <c r="R77" i="2884"/>
  <c r="S77" i="2884" s="1"/>
  <c r="R12" i="2884"/>
  <c r="R13" i="2884"/>
  <c r="S13" i="2884" s="1"/>
  <c r="R14" i="2884"/>
  <c r="S14" i="2884" s="1"/>
  <c r="R15" i="2884"/>
  <c r="S15" i="2884" s="1"/>
  <c r="R16" i="2884"/>
  <c r="S16" i="2884" s="1"/>
  <c r="R17" i="2884"/>
  <c r="S17" i="2884" s="1"/>
  <c r="R18" i="2884"/>
  <c r="S18" i="2884" s="1"/>
  <c r="R19" i="2884"/>
  <c r="S19" i="2884" s="1"/>
  <c r="R20" i="2884"/>
  <c r="S20" i="2884" s="1"/>
  <c r="R21" i="2884"/>
  <c r="S21" i="2884" s="1"/>
  <c r="R22" i="2884"/>
  <c r="S22" i="2884" s="1"/>
  <c r="R23" i="2884"/>
  <c r="S23" i="2884" s="1"/>
  <c r="R24" i="2884"/>
  <c r="S24" i="2884" s="1"/>
  <c r="R25" i="2884"/>
  <c r="S25" i="2884" s="1"/>
  <c r="R26" i="2884"/>
  <c r="S26" i="2884" s="1"/>
  <c r="R27" i="2884"/>
  <c r="S27" i="2884" s="1"/>
  <c r="R28" i="2884"/>
  <c r="S28" i="2884" s="1"/>
  <c r="R29" i="2884"/>
  <c r="S29" i="2884" s="1"/>
  <c r="R30" i="2884"/>
  <c r="S30" i="2884" s="1"/>
  <c r="R31" i="2884"/>
  <c r="S31" i="2884" s="1"/>
  <c r="R32" i="2884"/>
  <c r="S32" i="2884" s="1"/>
  <c r="R33" i="2884"/>
  <c r="S33" i="2884" s="1"/>
  <c r="R34" i="2884"/>
  <c r="S34" i="2884" s="1"/>
  <c r="R35" i="2884"/>
  <c r="S35" i="2884" s="1"/>
  <c r="R36" i="2884"/>
  <c r="S36" i="2884" s="1"/>
  <c r="R37" i="2884"/>
  <c r="S37" i="2884" s="1"/>
  <c r="R38" i="2884"/>
  <c r="S38" i="2884" s="1"/>
  <c r="R39" i="2884"/>
  <c r="S39" i="2884" s="1"/>
  <c r="R40" i="2884"/>
  <c r="S40" i="2884" s="1"/>
  <c r="R41" i="2884"/>
  <c r="S41" i="2884" s="1"/>
  <c r="R54" i="2884"/>
  <c r="S54" i="2884" s="1"/>
  <c r="N79" i="2884"/>
  <c r="R79" i="2884"/>
  <c r="S79" i="2884" s="1"/>
  <c r="N80" i="2884"/>
  <c r="R80" i="2884"/>
  <c r="S80" i="2884" s="1"/>
  <c r="AA85" i="2884"/>
  <c r="AC85" i="2884" s="1"/>
  <c r="R55" i="2884"/>
  <c r="S55" i="2884" s="1"/>
  <c r="R59" i="2884"/>
  <c r="S59" i="2884" s="1"/>
  <c r="R63" i="2884"/>
  <c r="S63" i="2884" s="1"/>
  <c r="R67" i="2884"/>
  <c r="S67" i="2884" s="1"/>
  <c r="R71" i="2884"/>
  <c r="S71" i="2884" s="1"/>
  <c r="R75" i="2884"/>
  <c r="S75" i="2884" s="1"/>
  <c r="R62" i="2878"/>
  <c r="S62" i="2878" s="1"/>
  <c r="J89" i="2845"/>
  <c r="U46" i="2874"/>
  <c r="V46" i="2874" s="1"/>
  <c r="R9" i="2858"/>
  <c r="S9" i="2858" s="1"/>
  <c r="X13" i="2858"/>
  <c r="Y13" i="2858" s="1"/>
  <c r="X17" i="2858"/>
  <c r="Y17" i="2858" s="1"/>
  <c r="N21" i="2858"/>
  <c r="N25" i="2858"/>
  <c r="N29" i="2858"/>
  <c r="R37" i="2858"/>
  <c r="S37" i="2858" s="1"/>
  <c r="R49" i="2858"/>
  <c r="S49" i="2858" s="1"/>
  <c r="R53" i="2858"/>
  <c r="S53" i="2858" s="1"/>
  <c r="R61" i="2858"/>
  <c r="S61" i="2858" s="1"/>
  <c r="R65" i="2858"/>
  <c r="S65" i="2858" s="1"/>
  <c r="R69" i="2858"/>
  <c r="S69" i="2858" s="1"/>
  <c r="X16" i="2858"/>
  <c r="Y16" i="2858" s="1"/>
  <c r="X11" i="2858"/>
  <c r="Y11" i="2858" s="1"/>
  <c r="X57" i="2858"/>
  <c r="Y57" i="2858" s="1"/>
  <c r="X73" i="2878"/>
  <c r="Y73" i="2878" s="1"/>
  <c r="R82" i="2878"/>
  <c r="S82" i="2878" s="1"/>
  <c r="N52" i="2864"/>
  <c r="J89" i="2851"/>
  <c r="T51" i="2716"/>
  <c r="R33" i="2858"/>
  <c r="S33" i="2858" s="1"/>
  <c r="N76" i="2864"/>
  <c r="U74" i="2716"/>
  <c r="V74" i="2716" s="1"/>
  <c r="R74" i="2878"/>
  <c r="S74" i="2878" s="1"/>
  <c r="N68" i="2864"/>
  <c r="T19" i="2716"/>
  <c r="R31" i="2878"/>
  <c r="S31" i="2878" s="1"/>
  <c r="R66" i="2878"/>
  <c r="S66" i="2878" s="1"/>
  <c r="N73" i="2858"/>
  <c r="R30" i="2879"/>
  <c r="S30" i="2879" s="1"/>
  <c r="X62" i="2864"/>
  <c r="Y62" i="2864" s="1"/>
  <c r="X58" i="2864"/>
  <c r="Y58" i="2864" s="1"/>
  <c r="X54" i="2864"/>
  <c r="Y54" i="2864" s="1"/>
  <c r="X50" i="2864"/>
  <c r="Y50" i="2864" s="1"/>
  <c r="U5" i="2876"/>
  <c r="V5" i="2876" s="1"/>
  <c r="X35" i="2878"/>
  <c r="Y35" i="2878" s="1"/>
  <c r="X68" i="2878"/>
  <c r="Y68" i="2878" s="1"/>
  <c r="X64" i="2878"/>
  <c r="Y64" i="2878" s="1"/>
  <c r="X56" i="2878"/>
  <c r="Y56" i="2878" s="1"/>
  <c r="N11" i="2858"/>
  <c r="N35" i="2858"/>
  <c r="N58" i="2864"/>
  <c r="N70" i="2864"/>
  <c r="X34" i="2858"/>
  <c r="Y34" i="2858" s="1"/>
  <c r="X14" i="2858"/>
  <c r="Y14" i="2858" s="1"/>
  <c r="X70" i="2878"/>
  <c r="Y70" i="2878" s="1"/>
  <c r="N38" i="2879"/>
  <c r="R62" i="2864"/>
  <c r="S62" i="2864" s="1"/>
  <c r="U52" i="2876"/>
  <c r="V52" i="2876" s="1"/>
  <c r="U8" i="2876"/>
  <c r="V8" i="2876" s="1"/>
  <c r="U80" i="2876"/>
  <c r="V80" i="2876" s="1"/>
  <c r="N71" i="2858"/>
  <c r="R70" i="2864"/>
  <c r="S70" i="2864" s="1"/>
  <c r="X71" i="2864"/>
  <c r="Y71" i="2864" s="1"/>
  <c r="X63" i="2858"/>
  <c r="Y63" i="2858" s="1"/>
  <c r="X55" i="2858"/>
  <c r="Y55" i="2858" s="1"/>
  <c r="X76" i="2858"/>
  <c r="Y76" i="2858" s="1"/>
  <c r="X60" i="2858"/>
  <c r="Y60" i="2858" s="1"/>
  <c r="X69" i="2858"/>
  <c r="Y69" i="2858" s="1"/>
  <c r="U5" i="2875"/>
  <c r="V5" i="2875" s="1"/>
  <c r="U31" i="2875"/>
  <c r="V31" i="2875" s="1"/>
  <c r="X67" i="2864"/>
  <c r="Y67" i="2864" s="1"/>
  <c r="X59" i="2864"/>
  <c r="Y59" i="2864" s="1"/>
  <c r="U51" i="2716"/>
  <c r="V51" i="2716" s="1"/>
  <c r="U97" i="2876"/>
  <c r="V97" i="2876" s="1"/>
  <c r="R27" i="2878"/>
  <c r="S27" i="2878" s="1"/>
  <c r="N67" i="2878"/>
  <c r="N71" i="2878"/>
  <c r="X79" i="2878"/>
  <c r="Y79" i="2878" s="1"/>
  <c r="X75" i="2878"/>
  <c r="Y75" i="2878" s="1"/>
  <c r="R29" i="2864"/>
  <c r="S29" i="2864" s="1"/>
  <c r="X55" i="2864"/>
  <c r="Y55" i="2864" s="1"/>
  <c r="U57" i="2716"/>
  <c r="V57" i="2716" s="1"/>
  <c r="R56" i="2858"/>
  <c r="S56" i="2858" s="1"/>
  <c r="R33" i="2878"/>
  <c r="S33" i="2878" s="1"/>
  <c r="R15" i="2878"/>
  <c r="S15" i="2878" s="1"/>
  <c r="N59" i="2878"/>
  <c r="R44" i="2878"/>
  <c r="S44" i="2878" s="1"/>
  <c r="X63" i="2878"/>
  <c r="Y63" i="2878" s="1"/>
  <c r="R13" i="2864"/>
  <c r="S13" i="2864" s="1"/>
  <c r="U46" i="2876"/>
  <c r="V46" i="2876" s="1"/>
  <c r="U38" i="2876"/>
  <c r="V38" i="2876" s="1"/>
  <c r="U14" i="2876"/>
  <c r="V14" i="2876" s="1"/>
  <c r="U6" i="2876"/>
  <c r="V6" i="2876" s="1"/>
  <c r="X32" i="2878"/>
  <c r="Y32" i="2878" s="1"/>
  <c r="X24" i="2878"/>
  <c r="Y24" i="2878" s="1"/>
  <c r="X63" i="2879"/>
  <c r="Y63" i="2879" s="1"/>
  <c r="N48" i="2858"/>
  <c r="R21" i="2878"/>
  <c r="S21" i="2878" s="1"/>
  <c r="N83" i="2878"/>
  <c r="R38" i="2878"/>
  <c r="S38" i="2878" s="1"/>
  <c r="X83" i="2878"/>
  <c r="Y83" i="2878" s="1"/>
  <c r="R21" i="2864"/>
  <c r="S21" i="2864" s="1"/>
  <c r="R25" i="2864"/>
  <c r="S25" i="2864" s="1"/>
  <c r="U72" i="2876"/>
  <c r="V72" i="2876" s="1"/>
  <c r="X67" i="2878"/>
  <c r="Y67" i="2878" s="1"/>
  <c r="R71" i="2879"/>
  <c r="S71" i="2879" s="1"/>
  <c r="N36" i="2858"/>
  <c r="N20" i="2858"/>
  <c r="N76" i="2858"/>
  <c r="R76" i="2858"/>
  <c r="S76" i="2858" s="1"/>
  <c r="R60" i="2858"/>
  <c r="S60" i="2858" s="1"/>
  <c r="X12" i="2858"/>
  <c r="Y12" i="2858" s="1"/>
  <c r="X20" i="2858"/>
  <c r="Y20" i="2858" s="1"/>
  <c r="X28" i="2858"/>
  <c r="Y28" i="2858" s="1"/>
  <c r="X36" i="2858"/>
  <c r="Y36" i="2858" s="1"/>
  <c r="X64" i="2858"/>
  <c r="Y64" i="2858" s="1"/>
  <c r="X48" i="2858"/>
  <c r="Y48" i="2858" s="1"/>
  <c r="X72" i="2858"/>
  <c r="Y72" i="2858" s="1"/>
  <c r="R48" i="2864"/>
  <c r="S48" i="2864" s="1"/>
  <c r="J86" i="2826"/>
  <c r="T50" i="2716"/>
  <c r="U58" i="2875"/>
  <c r="V58" i="2875" s="1"/>
  <c r="N73" i="2878"/>
  <c r="R81" i="2878"/>
  <c r="S81" i="2878" s="1"/>
  <c r="R23" i="2878"/>
  <c r="S23" i="2878" s="1"/>
  <c r="R16" i="2858"/>
  <c r="S16" i="2858" s="1"/>
  <c r="R63" i="2864"/>
  <c r="S63" i="2864" s="1"/>
  <c r="N71" i="2864"/>
  <c r="X23" i="2858"/>
  <c r="Y23" i="2858" s="1"/>
  <c r="X19" i="2858"/>
  <c r="Y19" i="2858" s="1"/>
  <c r="X15" i="2858"/>
  <c r="Y15" i="2858" s="1"/>
  <c r="R59" i="2879"/>
  <c r="S59" i="2879" s="1"/>
  <c r="R28" i="2879"/>
  <c r="S28" i="2879" s="1"/>
  <c r="N32" i="2858"/>
  <c r="N16" i="2858"/>
  <c r="R72" i="2858"/>
  <c r="S72" i="2858" s="1"/>
  <c r="X68" i="2858"/>
  <c r="Y68" i="2858" s="1"/>
  <c r="X48" i="2864"/>
  <c r="Y48" i="2864" s="1"/>
  <c r="U106" i="2875"/>
  <c r="V106" i="2875" s="1"/>
  <c r="U36" i="2876"/>
  <c r="V36" i="2876" s="1"/>
  <c r="U40" i="2876"/>
  <c r="V40" i="2876" s="1"/>
  <c r="R57" i="2878"/>
  <c r="S57" i="2878" s="1"/>
  <c r="R35" i="2878"/>
  <c r="S35" i="2878" s="1"/>
  <c r="R41" i="2878"/>
  <c r="S41" i="2878" s="1"/>
  <c r="R77" i="2878"/>
  <c r="S77" i="2878" s="1"/>
  <c r="X41" i="2878"/>
  <c r="Y41" i="2878" s="1"/>
  <c r="R42" i="2878"/>
  <c r="S42" i="2878" s="1"/>
  <c r="X22" i="2864"/>
  <c r="Y22" i="2864" s="1"/>
  <c r="X36" i="2864"/>
  <c r="Y36" i="2864" s="1"/>
  <c r="X28" i="2864"/>
  <c r="Y28" i="2864" s="1"/>
  <c r="X12" i="2864"/>
  <c r="Y12" i="2864" s="1"/>
  <c r="R63" i="2879"/>
  <c r="S63" i="2879" s="1"/>
  <c r="R36" i="2864"/>
  <c r="S36" i="2864" s="1"/>
  <c r="N28" i="2858"/>
  <c r="N12" i="2858"/>
  <c r="N60" i="2858"/>
  <c r="N64" i="2858"/>
  <c r="X52" i="2858"/>
  <c r="Y52" i="2858" s="1"/>
  <c r="X24" i="2858"/>
  <c r="Y24" i="2858" s="1"/>
  <c r="X32" i="2858"/>
  <c r="Y32" i="2858" s="1"/>
  <c r="T35" i="2716"/>
  <c r="U76" i="2716"/>
  <c r="V76" i="2716" s="1"/>
  <c r="U56" i="2876"/>
  <c r="V56" i="2876" s="1"/>
  <c r="N59" i="2864"/>
  <c r="X33" i="2864"/>
  <c r="Y33" i="2864" s="1"/>
  <c r="X61" i="2864"/>
  <c r="Y61" i="2864" s="1"/>
  <c r="N30" i="2858"/>
  <c r="R26" i="2864"/>
  <c r="S26" i="2864" s="1"/>
  <c r="X37" i="2858"/>
  <c r="Y37" i="2858" s="1"/>
  <c r="X29" i="2858"/>
  <c r="Y29" i="2858" s="1"/>
  <c r="X21" i="2858"/>
  <c r="Y21" i="2858" s="1"/>
  <c r="X75" i="2858"/>
  <c r="Y75" i="2858" s="1"/>
  <c r="U87" i="2876"/>
  <c r="V87" i="2876" s="1"/>
  <c r="R18" i="2858"/>
  <c r="S18" i="2858" s="1"/>
  <c r="X14" i="2864"/>
  <c r="Y14" i="2864" s="1"/>
  <c r="R34" i="2864"/>
  <c r="S34" i="2864" s="1"/>
  <c r="X77" i="2858"/>
  <c r="Y77" i="2858" s="1"/>
  <c r="U81" i="2874"/>
  <c r="V81" i="2874" s="1"/>
  <c r="U16" i="2875"/>
  <c r="V16" i="2875" s="1"/>
  <c r="U88" i="2875"/>
  <c r="V88" i="2875" s="1"/>
  <c r="U76" i="2876"/>
  <c r="V76" i="2876" s="1"/>
  <c r="U31" i="2876"/>
  <c r="V31" i="2876" s="1"/>
  <c r="X69" i="2864"/>
  <c r="Y69" i="2864" s="1"/>
  <c r="R57" i="2864"/>
  <c r="S57" i="2864" s="1"/>
  <c r="R49" i="2864"/>
  <c r="S49" i="2864" s="1"/>
  <c r="N10" i="2858"/>
  <c r="N55" i="2858"/>
  <c r="X71" i="2858"/>
  <c r="Y71" i="2858" s="1"/>
  <c r="R9" i="2864"/>
  <c r="S9" i="2864" s="1"/>
  <c r="X13" i="2864"/>
  <c r="Y13" i="2864" s="1"/>
  <c r="X17" i="2864"/>
  <c r="Y17" i="2864" s="1"/>
  <c r="M87" i="2876"/>
  <c r="Q87" i="2876" s="1"/>
  <c r="X65" i="2864"/>
  <c r="Y65" i="2864" s="1"/>
  <c r="X57" i="2864"/>
  <c r="Y57" i="2864" s="1"/>
  <c r="X53" i="2864"/>
  <c r="Y53" i="2864" s="1"/>
  <c r="U27" i="2716"/>
  <c r="V27" i="2716" s="1"/>
  <c r="U21" i="2716"/>
  <c r="V21" i="2716" s="1"/>
  <c r="N14" i="2858"/>
  <c r="X18" i="2858"/>
  <c r="Y18" i="2858" s="1"/>
  <c r="R58" i="2858"/>
  <c r="S58" i="2858" s="1"/>
  <c r="R77" i="2858"/>
  <c r="S77" i="2858" s="1"/>
  <c r="N10" i="2864"/>
  <c r="R18" i="2864"/>
  <c r="S18" i="2864" s="1"/>
  <c r="R37" i="2864"/>
  <c r="S37" i="2864" s="1"/>
  <c r="X67" i="2858"/>
  <c r="Y67" i="2858" s="1"/>
  <c r="U34" i="2874"/>
  <c r="V34" i="2874" s="1"/>
  <c r="U35" i="2874"/>
  <c r="V35" i="2874" s="1"/>
  <c r="U84" i="2875"/>
  <c r="V84" i="2875" s="1"/>
  <c r="U97" i="2875"/>
  <c r="V97" i="2875" s="1"/>
  <c r="U55" i="2875"/>
  <c r="V55" i="2875" s="1"/>
  <c r="U35" i="2875"/>
  <c r="V35" i="2875" s="1"/>
  <c r="U27" i="2875"/>
  <c r="V27" i="2875" s="1"/>
  <c r="U107" i="2875"/>
  <c r="V107" i="2875" s="1"/>
  <c r="R22" i="2864"/>
  <c r="S22" i="2864" s="1"/>
  <c r="N27" i="2864"/>
  <c r="N53" i="2864"/>
  <c r="U71" i="2716"/>
  <c r="V71" i="2716" s="1"/>
  <c r="U79" i="2716"/>
  <c r="V79" i="2716" s="1"/>
  <c r="X74" i="2858"/>
  <c r="Y74" i="2858" s="1"/>
  <c r="X70" i="2858"/>
  <c r="Y70" i="2858" s="1"/>
  <c r="X66" i="2858"/>
  <c r="Y66" i="2858" s="1"/>
  <c r="X58" i="2858"/>
  <c r="Y58" i="2858" s="1"/>
  <c r="X50" i="2858"/>
  <c r="Y50" i="2858" s="1"/>
  <c r="X35" i="2858"/>
  <c r="Y35" i="2858" s="1"/>
  <c r="X31" i="2858"/>
  <c r="Y31" i="2858" s="1"/>
  <c r="X27" i="2858"/>
  <c r="Y27" i="2858" s="1"/>
  <c r="U32" i="2876"/>
  <c r="V32" i="2876" s="1"/>
  <c r="U46" i="2716"/>
  <c r="V46" i="2716" s="1"/>
  <c r="U18" i="2716"/>
  <c r="V18" i="2716" s="1"/>
  <c r="R34" i="2858"/>
  <c r="S34" i="2858" s="1"/>
  <c r="N77" i="2858"/>
  <c r="X10" i="2864"/>
  <c r="Y10" i="2864" s="1"/>
  <c r="R14" i="2864"/>
  <c r="S14" i="2864" s="1"/>
  <c r="N30" i="2864"/>
  <c r="U80" i="2875"/>
  <c r="V80" i="2875" s="1"/>
  <c r="X20" i="2878"/>
  <c r="Y20" i="2878" s="1"/>
  <c r="X51" i="2879"/>
  <c r="Y51" i="2879" s="1"/>
  <c r="W41" i="2858"/>
  <c r="W43" i="2858" s="1"/>
  <c r="R19" i="2858"/>
  <c r="S19" i="2858" s="1"/>
  <c r="R26" i="2858"/>
  <c r="S26" i="2858" s="1"/>
  <c r="R61" i="2864"/>
  <c r="S61" i="2864" s="1"/>
  <c r="N75" i="2864"/>
  <c r="X72" i="2864"/>
  <c r="Y72" i="2864" s="1"/>
  <c r="X38" i="2858"/>
  <c r="Y38" i="2858" s="1"/>
  <c r="X26" i="2858"/>
  <c r="Y26" i="2858" s="1"/>
  <c r="X22" i="2858"/>
  <c r="Y22" i="2858" s="1"/>
  <c r="X73" i="2858"/>
  <c r="Y73" i="2858" s="1"/>
  <c r="X65" i="2858"/>
  <c r="Y65" i="2858" s="1"/>
  <c r="X61" i="2858"/>
  <c r="Y61" i="2858" s="1"/>
  <c r="X53" i="2858"/>
  <c r="Y53" i="2858" s="1"/>
  <c r="X49" i="2858"/>
  <c r="Y49" i="2858" s="1"/>
  <c r="U43" i="2716"/>
  <c r="V43" i="2716" s="1"/>
  <c r="U20" i="2876"/>
  <c r="V20" i="2876" s="1"/>
  <c r="U28" i="2876"/>
  <c r="V28" i="2876" s="1"/>
  <c r="U12" i="2876"/>
  <c r="V12" i="2876" s="1"/>
  <c r="U41" i="2876"/>
  <c r="V41" i="2876" s="1"/>
  <c r="U25" i="2876"/>
  <c r="V25" i="2876" s="1"/>
  <c r="U13" i="2876"/>
  <c r="V13" i="2876" s="1"/>
  <c r="U85" i="2876"/>
  <c r="V85" i="2876" s="1"/>
  <c r="U81" i="2876"/>
  <c r="V81" i="2876" s="1"/>
  <c r="U77" i="2876"/>
  <c r="V77" i="2876" s="1"/>
  <c r="U73" i="2876"/>
  <c r="V73" i="2876" s="1"/>
  <c r="X71" i="2878"/>
  <c r="Y71" i="2878" s="1"/>
  <c r="X37" i="2879"/>
  <c r="Y37" i="2879" s="1"/>
  <c r="X33" i="2879"/>
  <c r="Y33" i="2879" s="1"/>
  <c r="X17" i="2879"/>
  <c r="Y17" i="2879" s="1"/>
  <c r="X13" i="2879"/>
  <c r="Y13" i="2879" s="1"/>
  <c r="X70" i="2879"/>
  <c r="Y70" i="2879" s="1"/>
  <c r="R15" i="2858"/>
  <c r="S15" i="2858" s="1"/>
  <c r="R23" i="2858"/>
  <c r="S23" i="2858" s="1"/>
  <c r="N52" i="2858"/>
  <c r="N65" i="2864"/>
  <c r="R69" i="2864"/>
  <c r="S69" i="2864" s="1"/>
  <c r="X37" i="2864"/>
  <c r="Y37" i="2864" s="1"/>
  <c r="X29" i="2864"/>
  <c r="Y29" i="2864" s="1"/>
  <c r="X21" i="2864"/>
  <c r="Y21" i="2864" s="1"/>
  <c r="X75" i="2864"/>
  <c r="Y75" i="2864" s="1"/>
  <c r="U10" i="2716"/>
  <c r="V10" i="2716" s="1"/>
  <c r="U34" i="2875"/>
  <c r="V34" i="2875" s="1"/>
  <c r="U79" i="2876"/>
  <c r="V79" i="2876" s="1"/>
  <c r="X59" i="2878"/>
  <c r="Y59" i="2878" s="1"/>
  <c r="X37" i="2878"/>
  <c r="Y37" i="2878" s="1"/>
  <c r="X33" i="2878"/>
  <c r="Y33" i="2878" s="1"/>
  <c r="X25" i="2878"/>
  <c r="Y25" i="2878" s="1"/>
  <c r="X21" i="2878"/>
  <c r="Y21" i="2878" s="1"/>
  <c r="X81" i="2878"/>
  <c r="Y81" i="2878" s="1"/>
  <c r="X77" i="2878"/>
  <c r="Y77" i="2878" s="1"/>
  <c r="X69" i="2878"/>
  <c r="Y69" i="2878" s="1"/>
  <c r="X65" i="2878"/>
  <c r="Y65" i="2878" s="1"/>
  <c r="X61" i="2878"/>
  <c r="Y61" i="2878" s="1"/>
  <c r="N19" i="2858"/>
  <c r="N68" i="2858"/>
  <c r="N72" i="2864"/>
  <c r="U44" i="2876"/>
  <c r="V44" i="2876" s="1"/>
  <c r="U10" i="2876"/>
  <c r="V10" i="2876" s="1"/>
  <c r="X44" i="2878"/>
  <c r="Y44" i="2878" s="1"/>
  <c r="R55" i="2879"/>
  <c r="S55" i="2879" s="1"/>
  <c r="N55" i="2879"/>
  <c r="R51" i="2879"/>
  <c r="S51" i="2879" s="1"/>
  <c r="N51" i="2879"/>
  <c r="X16" i="2879"/>
  <c r="Y16" i="2879" s="1"/>
  <c r="X55" i="2879"/>
  <c r="Y55" i="2879" s="1"/>
  <c r="X59" i="2879"/>
  <c r="Y59" i="2879" s="1"/>
  <c r="X71" i="2879"/>
  <c r="Y71" i="2879" s="1"/>
  <c r="R67" i="2879"/>
  <c r="S67" i="2879" s="1"/>
  <c r="J89" i="2839"/>
  <c r="U26" i="2716"/>
  <c r="V26" i="2716" s="1"/>
  <c r="U58" i="2716"/>
  <c r="V58" i="2716" s="1"/>
  <c r="U28" i="2716"/>
  <c r="V28" i="2716" s="1"/>
  <c r="R28" i="2864"/>
  <c r="S28" i="2864" s="1"/>
  <c r="R20" i="2864"/>
  <c r="S20" i="2864" s="1"/>
  <c r="X24" i="2864"/>
  <c r="Y24" i="2864" s="1"/>
  <c r="V43" i="2858"/>
  <c r="J90" i="2831"/>
  <c r="U69" i="2716"/>
  <c r="V69" i="2716" s="1"/>
  <c r="U96" i="2716"/>
  <c r="V96" i="2716" s="1"/>
  <c r="R38" i="2858"/>
  <c r="S38" i="2858" s="1"/>
  <c r="R56" i="2864"/>
  <c r="S56" i="2864" s="1"/>
  <c r="N56" i="2864"/>
  <c r="X10" i="2858"/>
  <c r="Y10" i="2858" s="1"/>
  <c r="X30" i="2858"/>
  <c r="Y30" i="2858" s="1"/>
  <c r="J88" i="2834"/>
  <c r="U17" i="2716"/>
  <c r="V17" i="2716" s="1"/>
  <c r="X32" i="2864"/>
  <c r="Y32" i="2864" s="1"/>
  <c r="X20" i="2864"/>
  <c r="Y20" i="2864" s="1"/>
  <c r="W80" i="2858"/>
  <c r="W82" i="2858" s="1"/>
  <c r="N51" i="2858"/>
  <c r="J87" i="2850"/>
  <c r="N34" i="2858"/>
  <c r="U25" i="2716"/>
  <c r="V25" i="2716" s="1"/>
  <c r="R73" i="2864"/>
  <c r="S73" i="2864" s="1"/>
  <c r="X73" i="2864"/>
  <c r="Y73" i="2864" s="1"/>
  <c r="X34" i="2864"/>
  <c r="Y34" i="2864" s="1"/>
  <c r="X30" i="2864"/>
  <c r="Y30" i="2864" s="1"/>
  <c r="X26" i="2864"/>
  <c r="Y26" i="2864" s="1"/>
  <c r="X18" i="2864"/>
  <c r="Y18" i="2864" s="1"/>
  <c r="X63" i="2864"/>
  <c r="Y63" i="2864" s="1"/>
  <c r="X51" i="2864"/>
  <c r="Y51" i="2864" s="1"/>
  <c r="X51" i="2858"/>
  <c r="Y51" i="2858" s="1"/>
  <c r="U49" i="2875"/>
  <c r="V49" i="2875" s="1"/>
  <c r="M49" i="2875"/>
  <c r="M94" i="2876"/>
  <c r="Q94" i="2876" s="1"/>
  <c r="U94" i="2876"/>
  <c r="V94" i="2876" s="1"/>
  <c r="X60" i="2878"/>
  <c r="Y60" i="2878" s="1"/>
  <c r="X67" i="2879"/>
  <c r="Y67" i="2879" s="1"/>
  <c r="X75" i="2879"/>
  <c r="Y75" i="2879" s="1"/>
  <c r="X49" i="2879"/>
  <c r="Y49" i="2879" s="1"/>
  <c r="R75" i="2879"/>
  <c r="S75" i="2879" s="1"/>
  <c r="R58" i="2878"/>
  <c r="S58" i="2878" s="1"/>
  <c r="R32" i="2864"/>
  <c r="S32" i="2864" s="1"/>
  <c r="R24" i="2864"/>
  <c r="S24" i="2864" s="1"/>
  <c r="R16" i="2864"/>
  <c r="S16" i="2864" s="1"/>
  <c r="X16" i="2864"/>
  <c r="Y16" i="2864" s="1"/>
  <c r="J88" i="2845"/>
  <c r="U59" i="2716"/>
  <c r="V59" i="2716" s="1"/>
  <c r="N67" i="2864"/>
  <c r="R33" i="2864"/>
  <c r="S33" i="2864" s="1"/>
  <c r="N33" i="2864"/>
  <c r="R66" i="2864"/>
  <c r="S66" i="2864" s="1"/>
  <c r="X66" i="2864"/>
  <c r="Y66" i="2864" s="1"/>
  <c r="X62" i="2858"/>
  <c r="Y62" i="2858" s="1"/>
  <c r="M80" i="2874"/>
  <c r="Q80" i="2874" s="1"/>
  <c r="U80" i="2874"/>
  <c r="V80" i="2874" s="1"/>
  <c r="U24" i="2874"/>
  <c r="V24" i="2874" s="1"/>
  <c r="U28" i="2874"/>
  <c r="V28" i="2874" s="1"/>
  <c r="U33" i="2875"/>
  <c r="V33" i="2875" s="1"/>
  <c r="U54" i="2876"/>
  <c r="V54" i="2876" s="1"/>
  <c r="U58" i="2876"/>
  <c r="V58" i="2876" s="1"/>
  <c r="X54" i="2878"/>
  <c r="Y54" i="2878" s="1"/>
  <c r="U75" i="2716"/>
  <c r="V75" i="2716" s="1"/>
  <c r="U72" i="2874"/>
  <c r="V72" i="2874" s="1"/>
  <c r="U91" i="2874"/>
  <c r="V91" i="2874" s="1"/>
  <c r="U44" i="2874"/>
  <c r="V44" i="2874" s="1"/>
  <c r="U52" i="2875"/>
  <c r="V52" i="2875" s="1"/>
  <c r="U86" i="2875"/>
  <c r="V86" i="2875" s="1"/>
  <c r="U35" i="2876"/>
  <c r="V35" i="2876" s="1"/>
  <c r="X57" i="2878"/>
  <c r="Y57" i="2878" s="1"/>
  <c r="R54" i="2879"/>
  <c r="S54" i="2879" s="1"/>
  <c r="U95" i="2716"/>
  <c r="V95" i="2716" s="1"/>
  <c r="X56" i="2858"/>
  <c r="Y56" i="2858" s="1"/>
  <c r="U53" i="2874"/>
  <c r="V53" i="2874" s="1"/>
  <c r="U76" i="2874"/>
  <c r="V76" i="2874" s="1"/>
  <c r="U30" i="2875"/>
  <c r="V30" i="2875" s="1"/>
  <c r="U44" i="2875"/>
  <c r="V44" i="2875" s="1"/>
  <c r="U38" i="2875"/>
  <c r="V38" i="2875" s="1"/>
  <c r="U33" i="2876"/>
  <c r="V33" i="2876" s="1"/>
  <c r="U48" i="2876"/>
  <c r="V48" i="2876" s="1"/>
  <c r="X38" i="2878"/>
  <c r="Y38" i="2878" s="1"/>
  <c r="X34" i="2878"/>
  <c r="Y34" i="2878" s="1"/>
  <c r="X22" i="2878"/>
  <c r="Y22" i="2878" s="1"/>
  <c r="X18" i="2878"/>
  <c r="Y18" i="2878" s="1"/>
  <c r="X56" i="2879"/>
  <c r="Y56" i="2879" s="1"/>
  <c r="X52" i="2879"/>
  <c r="Y52" i="2879" s="1"/>
  <c r="S51" i="2864"/>
  <c r="S20" i="2858"/>
  <c r="X9" i="2864"/>
  <c r="Y9" i="2864" s="1"/>
  <c r="N17" i="2864"/>
  <c r="X25" i="2864"/>
  <c r="Y25" i="2864" s="1"/>
  <c r="N38" i="2864"/>
  <c r="X38" i="2864"/>
  <c r="Y38" i="2864" s="1"/>
  <c r="N51" i="2864"/>
  <c r="N55" i="2864"/>
  <c r="U50" i="2876"/>
  <c r="V50" i="2876" s="1"/>
  <c r="U74" i="2876"/>
  <c r="V74" i="2876" s="1"/>
  <c r="M90" i="2876"/>
  <c r="Q90" i="2876" s="1"/>
  <c r="U90" i="2876"/>
  <c r="V90" i="2876" s="1"/>
  <c r="U48" i="2716"/>
  <c r="V48" i="2716" s="1"/>
  <c r="X54" i="2858"/>
  <c r="Y54" i="2858" s="1"/>
  <c r="X59" i="2858"/>
  <c r="Y59" i="2858" s="1"/>
  <c r="U18" i="2875"/>
  <c r="V18" i="2875" s="1"/>
  <c r="U11" i="2716"/>
  <c r="V11" i="2716" s="1"/>
  <c r="U6" i="2716"/>
  <c r="V6" i="2716" s="1"/>
  <c r="U25" i="2874"/>
  <c r="V25" i="2874" s="1"/>
  <c r="U41" i="2874"/>
  <c r="V41" i="2874" s="1"/>
  <c r="U49" i="2874"/>
  <c r="V49" i="2874" s="1"/>
  <c r="U17" i="2874"/>
  <c r="V17" i="2874" s="1"/>
  <c r="U13" i="2874"/>
  <c r="V13" i="2874" s="1"/>
  <c r="U54" i="2875"/>
  <c r="V54" i="2875" s="1"/>
  <c r="U82" i="2876"/>
  <c r="V82" i="2876" s="1"/>
  <c r="N23" i="2879"/>
  <c r="R50" i="2879"/>
  <c r="S50" i="2879" s="1"/>
  <c r="N54" i="2879"/>
  <c r="R58" i="2879"/>
  <c r="S58" i="2879" s="1"/>
  <c r="N62" i="2879"/>
  <c r="X62" i="2879"/>
  <c r="Y62" i="2879" s="1"/>
  <c r="X39" i="2878"/>
  <c r="Y39" i="2878" s="1"/>
  <c r="X31" i="2878"/>
  <c r="Y31" i="2878" s="1"/>
  <c r="X27" i="2878"/>
  <c r="Y27" i="2878" s="1"/>
  <c r="X23" i="2878"/>
  <c r="Y23" i="2878" s="1"/>
  <c r="X19" i="2878"/>
  <c r="Y19" i="2878" s="1"/>
  <c r="X15" i="2878"/>
  <c r="Y15" i="2878" s="1"/>
  <c r="U7" i="2716"/>
  <c r="V7" i="2716" s="1"/>
  <c r="U29" i="2874"/>
  <c r="V29" i="2874" s="1"/>
  <c r="U37" i="2874"/>
  <c r="V37" i="2874" s="1"/>
  <c r="U45" i="2874"/>
  <c r="V45" i="2874" s="1"/>
  <c r="U57" i="2874"/>
  <c r="V57" i="2874" s="1"/>
  <c r="U43" i="2875"/>
  <c r="V43" i="2875" s="1"/>
  <c r="U26" i="2876"/>
  <c r="V26" i="2876" s="1"/>
  <c r="U30" i="2876"/>
  <c r="V30" i="2876" s="1"/>
  <c r="U42" i="2876"/>
  <c r="V42" i="2876" s="1"/>
  <c r="U86" i="2876"/>
  <c r="V86" i="2876" s="1"/>
  <c r="X40" i="2878"/>
  <c r="Y40" i="2878" s="1"/>
  <c r="X28" i="2878"/>
  <c r="Y28" i="2878" s="1"/>
  <c r="X80" i="2878"/>
  <c r="Y80" i="2878" s="1"/>
  <c r="X76" i="2878"/>
  <c r="Y76" i="2878" s="1"/>
  <c r="X72" i="2878"/>
  <c r="Y72" i="2878" s="1"/>
  <c r="N11" i="2879"/>
  <c r="N15" i="2879"/>
  <c r="N19" i="2879"/>
  <c r="X50" i="2879"/>
  <c r="Y50" i="2879" s="1"/>
  <c r="X58" i="2879"/>
  <c r="Y58" i="2879" s="1"/>
  <c r="R70" i="2879"/>
  <c r="S70" i="2879" s="1"/>
  <c r="X60" i="2879"/>
  <c r="Y60" i="2879" s="1"/>
  <c r="U15" i="2716"/>
  <c r="V15" i="2716" s="1"/>
  <c r="U88" i="2874"/>
  <c r="V88" i="2874" s="1"/>
  <c r="U5" i="2874"/>
  <c r="V5" i="2874" s="1"/>
  <c r="U50" i="2874"/>
  <c r="V50" i="2874" s="1"/>
  <c r="U30" i="2874"/>
  <c r="V30" i="2874" s="1"/>
  <c r="U6" i="2874"/>
  <c r="V6" i="2874" s="1"/>
  <c r="U74" i="2874"/>
  <c r="V74" i="2874" s="1"/>
  <c r="U50" i="2875"/>
  <c r="V50" i="2875" s="1"/>
  <c r="U103" i="2875"/>
  <c r="V103" i="2875" s="1"/>
  <c r="U70" i="2876"/>
  <c r="V70" i="2876" s="1"/>
  <c r="U78" i="2876"/>
  <c r="V78" i="2876" s="1"/>
  <c r="X26" i="2878"/>
  <c r="Y26" i="2878" s="1"/>
  <c r="X39" i="2879"/>
  <c r="Y39" i="2879" s="1"/>
  <c r="X78" i="2878"/>
  <c r="Y78" i="2878" s="1"/>
  <c r="X62" i="2878"/>
  <c r="Y62" i="2878" s="1"/>
  <c r="T102" i="2876"/>
  <c r="T104" i="2876" s="1"/>
  <c r="S104" i="2876" s="1"/>
  <c r="M31" i="2876"/>
  <c r="G64" i="2876"/>
  <c r="X64" i="2876"/>
  <c r="Z64" i="2876" s="1"/>
  <c r="U24" i="2876"/>
  <c r="V24" i="2876" s="1"/>
  <c r="U45" i="2876"/>
  <c r="V45" i="2876" s="1"/>
  <c r="U59" i="2876"/>
  <c r="V59" i="2876" s="1"/>
  <c r="G104" i="2876"/>
  <c r="N104" i="2876"/>
  <c r="U88" i="2876"/>
  <c r="V88" i="2876" s="1"/>
  <c r="U89" i="2876"/>
  <c r="V89" i="2876" s="1"/>
  <c r="U96" i="2876"/>
  <c r="V96" i="2876" s="1"/>
  <c r="U51" i="2876"/>
  <c r="V51" i="2876" s="1"/>
  <c r="U47" i="2876"/>
  <c r="V47" i="2876" s="1"/>
  <c r="U43" i="2876"/>
  <c r="V43" i="2876" s="1"/>
  <c r="U39" i="2876"/>
  <c r="V39" i="2876" s="1"/>
  <c r="U27" i="2876"/>
  <c r="V27" i="2876" s="1"/>
  <c r="U23" i="2876"/>
  <c r="V23" i="2876" s="1"/>
  <c r="U19" i="2876"/>
  <c r="V19" i="2876" s="1"/>
  <c r="U15" i="2876"/>
  <c r="V15" i="2876" s="1"/>
  <c r="U11" i="2876"/>
  <c r="V11" i="2876" s="1"/>
  <c r="U99" i="2876"/>
  <c r="V99" i="2876" s="1"/>
  <c r="U95" i="2876"/>
  <c r="V95" i="2876" s="1"/>
  <c r="U91" i="2876"/>
  <c r="V91" i="2876" s="1"/>
  <c r="U83" i="2876"/>
  <c r="V83" i="2876" s="1"/>
  <c r="U75" i="2876"/>
  <c r="V75" i="2876" s="1"/>
  <c r="U71" i="2876"/>
  <c r="V71" i="2876" s="1"/>
  <c r="N64" i="2876"/>
  <c r="U37" i="2876"/>
  <c r="V37" i="2876" s="1"/>
  <c r="X104" i="2876"/>
  <c r="U53" i="2876"/>
  <c r="V53" i="2876" s="1"/>
  <c r="U21" i="2876"/>
  <c r="V21" i="2876" s="1"/>
  <c r="U57" i="2876"/>
  <c r="V57" i="2876" s="1"/>
  <c r="U66" i="2875"/>
  <c r="V66" i="2875" s="1"/>
  <c r="U67" i="2875"/>
  <c r="V67" i="2875" s="1"/>
  <c r="U87" i="2875"/>
  <c r="V87" i="2875" s="1"/>
  <c r="U22" i="2875"/>
  <c r="V22" i="2875" s="1"/>
  <c r="U98" i="2875"/>
  <c r="V98" i="2875" s="1"/>
  <c r="U94" i="2875"/>
  <c r="V94" i="2875" s="1"/>
  <c r="U46" i="2875"/>
  <c r="V46" i="2875" s="1"/>
  <c r="U47" i="2875"/>
  <c r="V47" i="2875" s="1"/>
  <c r="U59" i="2875"/>
  <c r="V59" i="2875" s="1"/>
  <c r="U4" i="2875"/>
  <c r="V4" i="2875" s="1"/>
  <c r="U65" i="2875"/>
  <c r="V65" i="2875" s="1"/>
  <c r="U61" i="2875"/>
  <c r="V61" i="2875" s="1"/>
  <c r="U53" i="2875"/>
  <c r="V53" i="2875" s="1"/>
  <c r="U41" i="2875"/>
  <c r="V41" i="2875" s="1"/>
  <c r="U37" i="2875"/>
  <c r="V37" i="2875" s="1"/>
  <c r="U29" i="2875"/>
  <c r="V29" i="2875" s="1"/>
  <c r="U78" i="2875"/>
  <c r="V78" i="2875" s="1"/>
  <c r="U62" i="2875"/>
  <c r="V62" i="2875" s="1"/>
  <c r="G113" i="2875"/>
  <c r="U99" i="2875"/>
  <c r="V99" i="2875" s="1"/>
  <c r="U39" i="2875"/>
  <c r="V39" i="2875" s="1"/>
  <c r="U14" i="2875"/>
  <c r="V14" i="2875" s="1"/>
  <c r="U105" i="2875"/>
  <c r="V105" i="2875" s="1"/>
  <c r="U101" i="2875"/>
  <c r="V101" i="2875" s="1"/>
  <c r="U95" i="2875"/>
  <c r="V95" i="2875" s="1"/>
  <c r="U68" i="2875"/>
  <c r="V68" i="2875" s="1"/>
  <c r="N73" i="2875"/>
  <c r="U42" i="2875"/>
  <c r="V42" i="2875" s="1"/>
  <c r="U90" i="2875"/>
  <c r="V90" i="2875" s="1"/>
  <c r="U91" i="2875"/>
  <c r="V91" i="2875" s="1"/>
  <c r="U79" i="2875"/>
  <c r="V79" i="2875" s="1"/>
  <c r="U19" i="2875"/>
  <c r="V19" i="2875" s="1"/>
  <c r="U93" i="2875"/>
  <c r="V93" i="2875" s="1"/>
  <c r="U89" i="2875"/>
  <c r="V89" i="2875" s="1"/>
  <c r="U32" i="2875"/>
  <c r="V32" i="2875" s="1"/>
  <c r="N113" i="2875"/>
  <c r="U26" i="2875"/>
  <c r="V26" i="2875" s="1"/>
  <c r="X113" i="2875"/>
  <c r="Y113" i="2875" s="1"/>
  <c r="U82" i="2875"/>
  <c r="V82" i="2875" s="1"/>
  <c r="U83" i="2875"/>
  <c r="V83" i="2875" s="1"/>
  <c r="M39" i="2875"/>
  <c r="U56" i="2874"/>
  <c r="V56" i="2874" s="1"/>
  <c r="U22" i="2874"/>
  <c r="V22" i="2874" s="1"/>
  <c r="U26" i="2874"/>
  <c r="V26" i="2874" s="1"/>
  <c r="U38" i="2874"/>
  <c r="V38" i="2874" s="1"/>
  <c r="G104" i="2874"/>
  <c r="U40" i="2874"/>
  <c r="V40" i="2874" s="1"/>
  <c r="U21" i="2874"/>
  <c r="V21" i="2874" s="1"/>
  <c r="U82" i="2874"/>
  <c r="V82" i="2874" s="1"/>
  <c r="U94" i="2874"/>
  <c r="V94" i="2874" s="1"/>
  <c r="U89" i="2874"/>
  <c r="V89" i="2874" s="1"/>
  <c r="U69" i="2874"/>
  <c r="V69" i="2874" s="1"/>
  <c r="U42" i="2874"/>
  <c r="V42" i="2874" s="1"/>
  <c r="U86" i="2874"/>
  <c r="V86" i="2874" s="1"/>
  <c r="U18" i="2874"/>
  <c r="V18" i="2874" s="1"/>
  <c r="U14" i="2874"/>
  <c r="V14" i="2874" s="1"/>
  <c r="U4" i="2874"/>
  <c r="V4" i="2874" s="1"/>
  <c r="U51" i="2874"/>
  <c r="V51" i="2874" s="1"/>
  <c r="U47" i="2874"/>
  <c r="V47" i="2874" s="1"/>
  <c r="U39" i="2874"/>
  <c r="V39" i="2874" s="1"/>
  <c r="U23" i="2874"/>
  <c r="V23" i="2874" s="1"/>
  <c r="U11" i="2874"/>
  <c r="V11" i="2874" s="1"/>
  <c r="U87" i="2874"/>
  <c r="V87" i="2874" s="1"/>
  <c r="U83" i="2874"/>
  <c r="V83" i="2874" s="1"/>
  <c r="U79" i="2874"/>
  <c r="V79" i="2874" s="1"/>
  <c r="U75" i="2874"/>
  <c r="V75" i="2874" s="1"/>
  <c r="U71" i="2874"/>
  <c r="V71" i="2874" s="1"/>
  <c r="U54" i="2874"/>
  <c r="V54" i="2874" s="1"/>
  <c r="U58" i="2874"/>
  <c r="V58" i="2874" s="1"/>
  <c r="U95" i="2874"/>
  <c r="V95" i="2874" s="1"/>
  <c r="U99" i="2874"/>
  <c r="V99" i="2874" s="1"/>
  <c r="U59" i="2874"/>
  <c r="V59" i="2874" s="1"/>
  <c r="M44" i="2874"/>
  <c r="U15" i="2874"/>
  <c r="V15" i="2874" s="1"/>
  <c r="U52" i="2874"/>
  <c r="V52" i="2874" s="1"/>
  <c r="U36" i="2874"/>
  <c r="V36" i="2874" s="1"/>
  <c r="U32" i="2874"/>
  <c r="V32" i="2874" s="1"/>
  <c r="U20" i="2874"/>
  <c r="V20" i="2874" s="1"/>
  <c r="U12" i="2874"/>
  <c r="V12" i="2874" s="1"/>
  <c r="U8" i="2874"/>
  <c r="V8" i="2874" s="1"/>
  <c r="U96" i="2874"/>
  <c r="V96" i="2874" s="1"/>
  <c r="U92" i="2874"/>
  <c r="V92" i="2874" s="1"/>
  <c r="U84" i="2874"/>
  <c r="V84" i="2874" s="1"/>
  <c r="X64" i="2874"/>
  <c r="U27" i="2874"/>
  <c r="V27" i="2874" s="1"/>
  <c r="M59" i="2874"/>
  <c r="N104" i="2874"/>
  <c r="X104" i="2874"/>
  <c r="N64" i="2874"/>
  <c r="U97" i="2874"/>
  <c r="V97" i="2874" s="1"/>
  <c r="U70" i="2874"/>
  <c r="V70" i="2874" s="1"/>
  <c r="Z64" i="2716"/>
  <c r="Y64" i="2716"/>
  <c r="E117" i="2836"/>
  <c r="E116" i="2839"/>
  <c r="E110" i="2842"/>
  <c r="E118" i="2851"/>
  <c r="E112" i="2826"/>
  <c r="E119" i="2850"/>
  <c r="E117" i="2846"/>
  <c r="U31" i="2716"/>
  <c r="V31" i="2716" s="1"/>
  <c r="U99" i="2716"/>
  <c r="V99" i="2716" s="1"/>
  <c r="U39" i="2716"/>
  <c r="V39" i="2716" s="1"/>
  <c r="E115" i="2832"/>
  <c r="E120" i="2837"/>
  <c r="E112" i="2830"/>
  <c r="E119" i="2845"/>
  <c r="E112" i="2829"/>
  <c r="E112" i="2841"/>
  <c r="U22" i="2716"/>
  <c r="V22" i="2716" s="1"/>
  <c r="U14" i="2716"/>
  <c r="V14" i="2716" s="1"/>
  <c r="U88" i="2716"/>
  <c r="V88" i="2716" s="1"/>
  <c r="U35" i="2716"/>
  <c r="V35" i="2716" s="1"/>
  <c r="U19" i="2716"/>
  <c r="V19" i="2716" s="1"/>
  <c r="T41" i="2716"/>
  <c r="U24" i="2716"/>
  <c r="V24" i="2716" s="1"/>
  <c r="E115" i="2828"/>
  <c r="E116" i="2831"/>
  <c r="E114" i="2835"/>
  <c r="E113" i="2847"/>
  <c r="E118" i="2827"/>
  <c r="E115" i="2840"/>
  <c r="E112" i="2848"/>
  <c r="U40" i="2716"/>
  <c r="V40" i="2716" s="1"/>
  <c r="U53" i="2716"/>
  <c r="V53" i="2716" s="1"/>
  <c r="U45" i="2716"/>
  <c r="V45" i="2716" s="1"/>
  <c r="U78" i="2716"/>
  <c r="V78" i="2716" s="1"/>
  <c r="U80" i="2716"/>
  <c r="V80" i="2716" s="1"/>
  <c r="U49" i="2716"/>
  <c r="V49" i="2716" s="1"/>
  <c r="U33" i="2716"/>
  <c r="V33" i="2716" s="1"/>
  <c r="G64" i="2716"/>
  <c r="C48" i="325" s="1"/>
  <c r="C52" i="325" s="1"/>
  <c r="N104" i="2716"/>
  <c r="U54" i="2716"/>
  <c r="V54" i="2716" s="1"/>
  <c r="U56" i="2716"/>
  <c r="V56" i="2716" s="1"/>
  <c r="U55" i="2716"/>
  <c r="V55" i="2716" s="1"/>
  <c r="I90" i="2839"/>
  <c r="U72" i="2716"/>
  <c r="V72" i="2716" s="1"/>
  <c r="U12" i="2716"/>
  <c r="V12" i="2716" s="1"/>
  <c r="U38" i="2716"/>
  <c r="V38" i="2716" s="1"/>
  <c r="I88" i="2846"/>
  <c r="U84" i="2716"/>
  <c r="V84" i="2716" s="1"/>
  <c r="U92" i="2716"/>
  <c r="V92" i="2716" s="1"/>
  <c r="U94" i="2716"/>
  <c r="V94" i="2716" s="1"/>
  <c r="U41" i="2716"/>
  <c r="V41" i="2716" s="1"/>
  <c r="U23" i="2716"/>
  <c r="V23" i="2716" s="1"/>
  <c r="U36" i="2716"/>
  <c r="V36" i="2716" s="1"/>
  <c r="U8" i="2716"/>
  <c r="V8" i="2716" s="1"/>
  <c r="U52" i="2716"/>
  <c r="V52" i="2716" s="1"/>
  <c r="U42" i="2716"/>
  <c r="V42" i="2716" s="1"/>
  <c r="U20" i="2716"/>
  <c r="V20" i="2716" s="1"/>
  <c r="U13" i="2716"/>
  <c r="V13" i="2716" s="1"/>
  <c r="U9" i="2716"/>
  <c r="V9" i="2716" s="1"/>
  <c r="U97" i="2716"/>
  <c r="V97" i="2716" s="1"/>
  <c r="U93" i="2716"/>
  <c r="V93" i="2716" s="1"/>
  <c r="U89" i="2716"/>
  <c r="V89" i="2716" s="1"/>
  <c r="U85" i="2716"/>
  <c r="V85" i="2716" s="1"/>
  <c r="U81" i="2716"/>
  <c r="V81" i="2716" s="1"/>
  <c r="U73" i="2716"/>
  <c r="V73" i="2716" s="1"/>
  <c r="T102" i="2716"/>
  <c r="T104" i="2716" s="1"/>
  <c r="S104" i="2716" s="1"/>
  <c r="U7" i="2876"/>
  <c r="V7" i="2876" s="1"/>
  <c r="T62" i="2876"/>
  <c r="T64" i="2876" s="1"/>
  <c r="S64" i="2876" s="1"/>
  <c r="Y104" i="2876"/>
  <c r="Z104" i="2876"/>
  <c r="Q70" i="2876"/>
  <c r="U69" i="2876"/>
  <c r="V69" i="2876" s="1"/>
  <c r="U34" i="2876"/>
  <c r="V34" i="2876" s="1"/>
  <c r="M53" i="2876"/>
  <c r="U84" i="2876"/>
  <c r="V84" i="2876" s="1"/>
  <c r="U92" i="2876"/>
  <c r="V92" i="2876" s="1"/>
  <c r="U98" i="2876"/>
  <c r="V98" i="2876" s="1"/>
  <c r="U4" i="2876"/>
  <c r="V4" i="2876" s="1"/>
  <c r="U17" i="2876"/>
  <c r="V17" i="2876" s="1"/>
  <c r="Z113" i="2875"/>
  <c r="U63" i="2875"/>
  <c r="V63" i="2875" s="1"/>
  <c r="M108" i="2875"/>
  <c r="Q108" i="2875" s="1"/>
  <c r="U108" i="2875"/>
  <c r="V108" i="2875" s="1"/>
  <c r="U57" i="2875"/>
  <c r="V57" i="2875" s="1"/>
  <c r="U45" i="2875"/>
  <c r="V45" i="2875" s="1"/>
  <c r="U36" i="2875"/>
  <c r="V36" i="2875" s="1"/>
  <c r="G73" i="2875"/>
  <c r="M51" i="2875"/>
  <c r="U51" i="2875"/>
  <c r="V51" i="2875" s="1"/>
  <c r="U64" i="2875"/>
  <c r="V64" i="2875" s="1"/>
  <c r="U60" i="2875"/>
  <c r="V60" i="2875" s="1"/>
  <c r="U56" i="2875"/>
  <c r="V56" i="2875" s="1"/>
  <c r="U48" i="2875"/>
  <c r="V48" i="2875" s="1"/>
  <c r="U28" i="2875"/>
  <c r="V28" i="2875" s="1"/>
  <c r="U104" i="2875"/>
  <c r="V104" i="2875" s="1"/>
  <c r="U100" i="2875"/>
  <c r="V100" i="2875" s="1"/>
  <c r="U81" i="2875"/>
  <c r="V81" i="2875" s="1"/>
  <c r="M113" i="2875"/>
  <c r="Q113" i="2875" s="1"/>
  <c r="T71" i="2875"/>
  <c r="T73" i="2875" s="1"/>
  <c r="S73" i="2875" s="1"/>
  <c r="X73" i="2875"/>
  <c r="U92" i="2875"/>
  <c r="V92" i="2875" s="1"/>
  <c r="U96" i="2875"/>
  <c r="V96" i="2875" s="1"/>
  <c r="T111" i="2875"/>
  <c r="T113" i="2875" s="1"/>
  <c r="S113" i="2875" s="1"/>
  <c r="Z64" i="2874"/>
  <c r="Y64" i="2874"/>
  <c r="Y104" i="2874"/>
  <c r="Z104" i="2874"/>
  <c r="T102" i="2874"/>
  <c r="T104" i="2874" s="1"/>
  <c r="S104" i="2874" s="1"/>
  <c r="T62" i="2874"/>
  <c r="T64" i="2874" s="1"/>
  <c r="S64" i="2874" s="1"/>
  <c r="U90" i="2874"/>
  <c r="V90" i="2874" s="1"/>
  <c r="U78" i="2874"/>
  <c r="V78" i="2874" s="1"/>
  <c r="U98" i="2874"/>
  <c r="V98" i="2874" s="1"/>
  <c r="U93" i="2874"/>
  <c r="V93" i="2874" s="1"/>
  <c r="U19" i="2874"/>
  <c r="V19" i="2874" s="1"/>
  <c r="N64" i="2716"/>
  <c r="E48" i="325" s="1"/>
  <c r="E52" i="325" s="1"/>
  <c r="M83" i="2716"/>
  <c r="U83" i="2716"/>
  <c r="V83" i="2716" s="1"/>
  <c r="U5" i="2716"/>
  <c r="V5" i="2716" s="1"/>
  <c r="U77" i="2716"/>
  <c r="V77" i="2716" s="1"/>
  <c r="U32" i="2716"/>
  <c r="V32" i="2716" s="1"/>
  <c r="Z104" i="2716"/>
  <c r="U34" i="2716"/>
  <c r="V34" i="2716" s="1"/>
  <c r="U47" i="2716"/>
  <c r="V47" i="2716" s="1"/>
  <c r="U50" i="2716"/>
  <c r="V50" i="2716" s="1"/>
  <c r="U37" i="2716"/>
  <c r="V37" i="2716" s="1"/>
  <c r="T57" i="2716"/>
  <c r="M91" i="2716"/>
  <c r="Q91" i="2716" s="1"/>
  <c r="U91" i="2716"/>
  <c r="V91" i="2716" s="1"/>
  <c r="U44" i="2716"/>
  <c r="V44" i="2716" s="1"/>
  <c r="M30" i="2716"/>
  <c r="M64" i="2716" s="1"/>
  <c r="U30" i="2716"/>
  <c r="V30" i="2716" s="1"/>
  <c r="W41" i="2864"/>
  <c r="W43" i="2864" s="1"/>
  <c r="W80" i="2864"/>
  <c r="W82" i="2864" s="1"/>
  <c r="X74" i="2878"/>
  <c r="Y74" i="2878" s="1"/>
  <c r="X82" i="2878"/>
  <c r="Y82" i="2878" s="1"/>
  <c r="X66" i="2878"/>
  <c r="Y66" i="2878" s="1"/>
  <c r="X58" i="2878"/>
  <c r="Y58" i="2878" s="1"/>
  <c r="W42" i="2879"/>
  <c r="W44" i="2879" s="1"/>
  <c r="X12" i="2879"/>
  <c r="Y12" i="2879" s="1"/>
  <c r="W81" i="2879"/>
  <c r="W83" i="2879" s="1"/>
  <c r="X77" i="2879"/>
  <c r="Y77" i="2879" s="1"/>
  <c r="X73" i="2879"/>
  <c r="Y73" i="2879" s="1"/>
  <c r="X53" i="2879"/>
  <c r="Y53" i="2879" s="1"/>
  <c r="X32" i="2879"/>
  <c r="Y32" i="2879" s="1"/>
  <c r="N57" i="2879"/>
  <c r="X72" i="2879"/>
  <c r="Y72" i="2879" s="1"/>
  <c r="N52" i="2879"/>
  <c r="R76" i="2879"/>
  <c r="S76" i="2879" s="1"/>
  <c r="R72" i="2879"/>
  <c r="S72" i="2879" s="1"/>
  <c r="N56" i="2879"/>
  <c r="X69" i="2879"/>
  <c r="Y69" i="2879" s="1"/>
  <c r="X61" i="2879"/>
  <c r="Y61" i="2879" s="1"/>
  <c r="X76" i="2879"/>
  <c r="Y76" i="2879" s="1"/>
  <c r="X65" i="2879"/>
  <c r="Y65" i="2879" s="1"/>
  <c r="R73" i="2879"/>
  <c r="S73" i="2879" s="1"/>
  <c r="N53" i="2879"/>
  <c r="X57" i="2879"/>
  <c r="Y57" i="2879" s="1"/>
  <c r="R69" i="2879"/>
  <c r="S69" i="2879" s="1"/>
  <c r="R49" i="2879"/>
  <c r="R24" i="2879"/>
  <c r="S24" i="2879" s="1"/>
  <c r="R20" i="2879"/>
  <c r="S20" i="2879" s="1"/>
  <c r="R16" i="2879"/>
  <c r="S16" i="2879" s="1"/>
  <c r="R12" i="2879"/>
  <c r="X20" i="2879"/>
  <c r="Y20" i="2879" s="1"/>
  <c r="X28" i="2879"/>
  <c r="Y28" i="2879" s="1"/>
  <c r="R32" i="2879"/>
  <c r="S32" i="2879" s="1"/>
  <c r="N36" i="2879"/>
  <c r="X36" i="2879"/>
  <c r="Y36" i="2879" s="1"/>
  <c r="R39" i="2879"/>
  <c r="S39" i="2879" s="1"/>
  <c r="X24" i="2879"/>
  <c r="Y24" i="2879" s="1"/>
  <c r="N32" i="2879"/>
  <c r="S55" i="2878"/>
  <c r="AC49" i="2878"/>
  <c r="AB49" i="2878"/>
  <c r="W47" i="2878"/>
  <c r="W49" i="2878" s="1"/>
  <c r="W86" i="2878"/>
  <c r="W88" i="2878" s="1"/>
  <c r="X43" i="2878"/>
  <c r="Y43" i="2878" s="1"/>
  <c r="X42" i="2878"/>
  <c r="Y42" i="2878" s="1"/>
  <c r="X30" i="2878"/>
  <c r="Y30" i="2878" s="1"/>
  <c r="N55" i="2878"/>
  <c r="X55" i="2878"/>
  <c r="Y55" i="2878" s="1"/>
  <c r="R34" i="2878"/>
  <c r="S34" i="2878" s="1"/>
  <c r="X16" i="2878"/>
  <c r="Y16" i="2878" s="1"/>
  <c r="X36" i="2878"/>
  <c r="Y36" i="2878" s="1"/>
  <c r="N16" i="2878"/>
  <c r="N18" i="2878"/>
  <c r="N20" i="2878"/>
  <c r="N22" i="2878"/>
  <c r="N24" i="2878"/>
  <c r="N26" i="2878"/>
  <c r="N28" i="2878"/>
  <c r="N30" i="2878"/>
  <c r="N32" i="2878"/>
  <c r="N36" i="2878"/>
  <c r="N40" i="2878"/>
  <c r="N78" i="2878"/>
  <c r="R65" i="2878"/>
  <c r="S65" i="2878" s="1"/>
  <c r="R26" i="2878"/>
  <c r="S26" i="2878" s="1"/>
  <c r="R20" i="2878"/>
  <c r="S20" i="2878" s="1"/>
  <c r="D118" i="2835" l="1"/>
  <c r="F121" i="2833"/>
  <c r="F120" i="2831"/>
  <c r="F118" i="2835"/>
  <c r="F120" i="2838"/>
  <c r="F116" i="2830"/>
  <c r="F119" i="2832"/>
  <c r="F116" i="2841"/>
  <c r="F120" i="2839"/>
  <c r="F118" i="2843"/>
  <c r="F122" i="2827"/>
  <c r="F122" i="2851"/>
  <c r="F116" i="2848"/>
  <c r="F123" i="2834"/>
  <c r="D116" i="2829"/>
  <c r="F114" i="2842"/>
  <c r="F119" i="2828"/>
  <c r="F123" i="2845"/>
  <c r="F124" i="2837"/>
  <c r="F117" i="2847"/>
  <c r="F123" i="2850"/>
  <c r="D120" i="2839"/>
  <c r="F116" i="2826"/>
  <c r="F121" i="2846"/>
  <c r="F121" i="2844"/>
  <c r="H121" i="2844" s="1"/>
  <c r="F119" i="2840"/>
  <c r="F116" i="2829"/>
  <c r="D123" i="2834"/>
  <c r="D121" i="2836"/>
  <c r="H121" i="2836" s="1"/>
  <c r="D116" i="2841"/>
  <c r="D123" i="2845"/>
  <c r="D118" i="2843"/>
  <c r="D120" i="2831"/>
  <c r="D116" i="2830"/>
  <c r="H116" i="2830" s="1"/>
  <c r="D114" i="2842"/>
  <c r="D121" i="2846"/>
  <c r="H121" i="2846" s="1"/>
  <c r="D117" i="2847"/>
  <c r="D116" i="2826"/>
  <c r="D116" i="2848"/>
  <c r="H116" i="2848" s="1"/>
  <c r="D119" i="2828"/>
  <c r="D120" i="2838"/>
  <c r="D122" i="2827"/>
  <c r="D122" i="2851"/>
  <c r="D123" i="2850"/>
  <c r="D119" i="2832"/>
  <c r="D117" i="2849"/>
  <c r="H117" i="2849" s="1"/>
  <c r="D119" i="2840"/>
  <c r="D121" i="2833"/>
  <c r="D124" i="2837"/>
  <c r="N41" i="2891"/>
  <c r="R86" i="2888"/>
  <c r="S86" i="2888" s="1"/>
  <c r="T62" i="2716"/>
  <c r="T64" i="2716" s="1"/>
  <c r="S64" i="2716" s="1"/>
  <c r="N43" i="2889"/>
  <c r="V43" i="2889" s="1"/>
  <c r="N46" i="2893"/>
  <c r="V46" i="2893" s="1"/>
  <c r="R80" i="2891"/>
  <c r="S80" i="2891" s="1"/>
  <c r="R82" i="2889"/>
  <c r="S82" i="2889" s="1"/>
  <c r="R90" i="2896"/>
  <c r="S90" i="2896" s="1"/>
  <c r="N44" i="2879"/>
  <c r="V44" i="2879" s="1"/>
  <c r="V46" i="2884"/>
  <c r="R85" i="2893"/>
  <c r="S85" i="2893" s="1"/>
  <c r="M64" i="2874"/>
  <c r="Q64" i="2874" s="1"/>
  <c r="V41" i="2891"/>
  <c r="N40" i="2898"/>
  <c r="V40" i="2898" s="1"/>
  <c r="N85" i="2893"/>
  <c r="V85" i="2893" s="1"/>
  <c r="N86" i="2894"/>
  <c r="V86" i="2894" s="1"/>
  <c r="N85" i="2884"/>
  <c r="V85" i="2884" s="1"/>
  <c r="N79" i="2898"/>
  <c r="V79" i="2898" s="1"/>
  <c r="S6" i="2898"/>
  <c r="R40" i="2898"/>
  <c r="S40" i="2898" s="1"/>
  <c r="N79" i="2897"/>
  <c r="V79" i="2897" s="1"/>
  <c r="R40" i="2897"/>
  <c r="S40" i="2897" s="1"/>
  <c r="N40" i="2897"/>
  <c r="V40" i="2897" s="1"/>
  <c r="AB51" i="2896"/>
  <c r="N51" i="2896"/>
  <c r="V51" i="2896" s="1"/>
  <c r="R51" i="2896"/>
  <c r="S51" i="2896" s="1"/>
  <c r="N90" i="2896"/>
  <c r="V90" i="2896" s="1"/>
  <c r="AB49" i="2895"/>
  <c r="S15" i="2895"/>
  <c r="R49" i="2895"/>
  <c r="S49" i="2895" s="1"/>
  <c r="N88" i="2895"/>
  <c r="V88" i="2895" s="1"/>
  <c r="V49" i="2895"/>
  <c r="R47" i="2894"/>
  <c r="S47" i="2894" s="1"/>
  <c r="S13" i="2894"/>
  <c r="S12" i="2893"/>
  <c r="R46" i="2893"/>
  <c r="S46" i="2893" s="1"/>
  <c r="AB46" i="2892"/>
  <c r="N85" i="2892"/>
  <c r="V85" i="2892" s="1"/>
  <c r="AB85" i="2892"/>
  <c r="S12" i="2892"/>
  <c r="R46" i="2892"/>
  <c r="S46" i="2892" s="1"/>
  <c r="R85" i="2892"/>
  <c r="S85" i="2892" s="1"/>
  <c r="N80" i="2891"/>
  <c r="V80" i="2891" s="1"/>
  <c r="R41" i="2891"/>
  <c r="S41" i="2891" s="1"/>
  <c r="S7" i="2891"/>
  <c r="AC84" i="2890"/>
  <c r="R84" i="2890"/>
  <c r="S84" i="2890" s="1"/>
  <c r="N45" i="2890"/>
  <c r="V45" i="2890" s="1"/>
  <c r="N84" i="2890"/>
  <c r="V84" i="2890" s="1"/>
  <c r="R45" i="2890"/>
  <c r="S45" i="2890" s="1"/>
  <c r="N82" i="2889"/>
  <c r="V82" i="2889" s="1"/>
  <c r="R43" i="2889"/>
  <c r="S43" i="2889" s="1"/>
  <c r="S9" i="2889"/>
  <c r="N86" i="2888"/>
  <c r="V86" i="2888" s="1"/>
  <c r="N47" i="2888"/>
  <c r="V47" i="2888" s="1"/>
  <c r="R47" i="2888"/>
  <c r="S47" i="2888" s="1"/>
  <c r="N88" i="2887"/>
  <c r="V88" i="2887" s="1"/>
  <c r="AB88" i="2887"/>
  <c r="AC88" i="2887"/>
  <c r="AC49" i="2887"/>
  <c r="AB49" i="2887"/>
  <c r="R49" i="2887"/>
  <c r="S49" i="2887" s="1"/>
  <c r="S15" i="2887"/>
  <c r="AB53" i="2886"/>
  <c r="AB92" i="2886"/>
  <c r="N92" i="2886"/>
  <c r="V92" i="2886" s="1"/>
  <c r="R92" i="2886"/>
  <c r="S92" i="2886" s="1"/>
  <c r="N53" i="2886"/>
  <c r="V53" i="2886" s="1"/>
  <c r="R53" i="2886"/>
  <c r="S53" i="2886" s="1"/>
  <c r="S13" i="2885"/>
  <c r="R47" i="2885"/>
  <c r="S47" i="2885" s="1"/>
  <c r="V86" i="2885"/>
  <c r="R86" i="2885"/>
  <c r="S86" i="2885" s="1"/>
  <c r="AB85" i="2884"/>
  <c r="R85" i="2884"/>
  <c r="S85" i="2884" s="1"/>
  <c r="S12" i="2884"/>
  <c r="R46" i="2884"/>
  <c r="S46" i="2884" s="1"/>
  <c r="M104" i="2874"/>
  <c r="Q104" i="2874" s="1"/>
  <c r="R82" i="2858"/>
  <c r="S82" i="2858" s="1"/>
  <c r="M104" i="2876"/>
  <c r="Q104" i="2876" s="1"/>
  <c r="R82" i="2864"/>
  <c r="S82" i="2864" s="1"/>
  <c r="N43" i="2858"/>
  <c r="N82" i="2858"/>
  <c r="V82" i="2858" s="1"/>
  <c r="R43" i="2858"/>
  <c r="S43" i="2858" s="1"/>
  <c r="N83" i="2879"/>
  <c r="V83" i="2879" s="1"/>
  <c r="M64" i="2876"/>
  <c r="Q64" i="2876" s="1"/>
  <c r="R43" i="2864"/>
  <c r="S43" i="2864" s="1"/>
  <c r="N82" i="2864"/>
  <c r="V82" i="2864" s="1"/>
  <c r="N43" i="2864"/>
  <c r="V43" i="2864" s="1"/>
  <c r="N88" i="2878"/>
  <c r="V88" i="2878" s="1"/>
  <c r="N49" i="2878"/>
  <c r="V49" i="2878" s="1"/>
  <c r="Y64" i="2876"/>
  <c r="M73" i="2875"/>
  <c r="Q73" i="2875" s="1"/>
  <c r="Z73" i="2875"/>
  <c r="Y73" i="2875"/>
  <c r="E118" i="2845"/>
  <c r="E116" i="2846"/>
  <c r="E113" i="2843"/>
  <c r="E115" i="2839"/>
  <c r="E111" i="2848"/>
  <c r="E114" i="2828"/>
  <c r="E112" i="2849"/>
  <c r="E117" i="2851"/>
  <c r="E117" i="2827"/>
  <c r="E119" i="2837"/>
  <c r="E116" i="2836"/>
  <c r="E113" i="2835"/>
  <c r="E111" i="2830"/>
  <c r="E118" i="2850"/>
  <c r="E116" i="2844"/>
  <c r="E111" i="2841"/>
  <c r="E111" i="2826"/>
  <c r="D48" i="325"/>
  <c r="D52" i="325" s="1"/>
  <c r="E114" i="2840"/>
  <c r="E116" i="2833"/>
  <c r="E76" i="2727"/>
  <c r="E118" i="2834"/>
  <c r="E115" i="2831"/>
  <c r="E109" i="2842"/>
  <c r="Q64" i="2716"/>
  <c r="E115" i="2838"/>
  <c r="E112" i="2847"/>
  <c r="E114" i="2832"/>
  <c r="E111" i="2829"/>
  <c r="R117" i="2826"/>
  <c r="S117" i="2826" s="1"/>
  <c r="R121" i="2839"/>
  <c r="S121" i="2839" s="1"/>
  <c r="E54" i="325"/>
  <c r="R115" i="2842"/>
  <c r="S115" i="2842" s="1"/>
  <c r="R124" i="2850"/>
  <c r="S124" i="2850" s="1"/>
  <c r="R121" i="2831"/>
  <c r="S121" i="2831" s="1"/>
  <c r="R118" i="2847"/>
  <c r="S118" i="2847" s="1"/>
  <c r="R122" i="2833"/>
  <c r="S122" i="2833" s="1"/>
  <c r="R120" i="2840"/>
  <c r="S120" i="2840" s="1"/>
  <c r="R120" i="2832"/>
  <c r="S120" i="2832" s="1"/>
  <c r="R125" i="2837"/>
  <c r="S125" i="2837" s="1"/>
  <c r="R117" i="2848"/>
  <c r="S117" i="2848" s="1"/>
  <c r="R120" i="2828"/>
  <c r="S120" i="2828" s="1"/>
  <c r="R117" i="2830"/>
  <c r="S117" i="2830" s="1"/>
  <c r="R122" i="2836"/>
  <c r="S122" i="2836" s="1"/>
  <c r="R119" i="2843"/>
  <c r="S119" i="2843" s="1"/>
  <c r="R122" i="2846"/>
  <c r="S122" i="2846" s="1"/>
  <c r="R123" i="2851"/>
  <c r="S123" i="2851" s="1"/>
  <c r="R119" i="2835"/>
  <c r="S119" i="2835" s="1"/>
  <c r="R117" i="2829"/>
  <c r="S117" i="2829" s="1"/>
  <c r="R124" i="2845"/>
  <c r="S124" i="2845" s="1"/>
  <c r="R123" i="2827"/>
  <c r="S123" i="2827" s="1"/>
  <c r="R117" i="2841"/>
  <c r="S117" i="2841" s="1"/>
  <c r="R121" i="2838"/>
  <c r="S121" i="2838" s="1"/>
  <c r="R118" i="2849"/>
  <c r="S118" i="2849" s="1"/>
  <c r="R124" i="2834"/>
  <c r="S124" i="2834" s="1"/>
  <c r="R122" i="2844"/>
  <c r="S122" i="2844" s="1"/>
  <c r="Q83" i="2716"/>
  <c r="M104" i="2716"/>
  <c r="Q104" i="2716" s="1"/>
  <c r="S49" i="2879"/>
  <c r="R83" i="2879"/>
  <c r="S83" i="2879" s="1"/>
  <c r="R44" i="2879"/>
  <c r="S44" i="2879" s="1"/>
  <c r="S12" i="2879"/>
  <c r="R49" i="2878"/>
  <c r="S49" i="2878" s="1"/>
  <c r="R88" i="2878"/>
  <c r="S88" i="2878" s="1"/>
  <c r="H121" i="2833" l="1"/>
  <c r="H120" i="2831"/>
  <c r="H118" i="2835"/>
  <c r="H120" i="2838"/>
  <c r="H119" i="2840"/>
  <c r="H122" i="2851"/>
  <c r="H123" i="2845"/>
  <c r="H122" i="2827"/>
  <c r="H117" i="2847"/>
  <c r="H119" i="2832"/>
  <c r="H118" i="2843"/>
  <c r="H123" i="2834"/>
  <c r="H116" i="2841"/>
  <c r="H116" i="2829"/>
  <c r="H120" i="2839"/>
  <c r="H114" i="2842"/>
  <c r="H123" i="2850"/>
  <c r="H119" i="2828"/>
  <c r="H116" i="2826"/>
  <c r="H124" i="28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11" authorId="0" shapeId="0" xr:uid="{00000000-0006-0000-3900-000001000000}">
      <text>
        <r>
          <rPr>
            <b/>
            <sz val="9"/>
            <color indexed="81"/>
            <rFont val="新細明體"/>
            <family val="1"/>
            <charset val="136"/>
          </rPr>
          <t>User:</t>
        </r>
        <r>
          <rPr>
            <sz val="9"/>
            <color indexed="81"/>
            <rFont val="新細明體"/>
            <family val="1"/>
            <charset val="136"/>
          </rPr>
          <t xml:space="preserve">
公斤*包數*車次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3B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3B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3C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3C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3D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3D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3E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3E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3F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3F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40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40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K3" authorId="0" shapeId="0" xr:uid="{00000000-0006-0000-4100-000001000000}">
      <text>
        <r>
          <rPr>
            <sz val="9"/>
            <rFont val="宋体"/>
          </rPr>
          <t>Winiori:
合格品可入庫</t>
        </r>
      </text>
    </comment>
    <comment ref="L3" authorId="0" shapeId="0" xr:uid="{00000000-0006-0000-4100-000002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Winiori</author>
  </authors>
  <commentList>
    <comment ref="Y2" authorId="0" shapeId="0" xr:uid="{00000000-0006-0000-4200-000001000000}">
      <text>
        <r>
          <rPr>
            <sz val="9"/>
            <rFont val="宋体"/>
          </rPr>
          <t>Winiori:
線上不良廢料塊
不可再回收使用</t>
        </r>
      </text>
    </comment>
    <comment ref="M3" authorId="0" shapeId="0" xr:uid="{00000000-0006-0000-4200-000002000000}">
      <text>
        <r>
          <rPr>
            <sz val="9"/>
            <rFont val="宋体"/>
          </rPr>
          <t>Winiori:
合格品可入庫</t>
        </r>
      </text>
    </comment>
    <comment ref="N3" authorId="0" shapeId="0" xr:uid="{00000000-0006-0000-4200-000003000000}">
      <text>
        <r>
          <rPr>
            <sz val="9"/>
            <rFont val="宋体"/>
          </rPr>
          <t>Winiori:
線上不良品-不可入庫
但可回收粉碎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allen</author>
  </authors>
  <commentList>
    <comment ref="P9" authorId="0" shapeId="0" xr:uid="{E07C26EE-D0CE-416D-B566-35AD0F168A10}">
      <text>
        <r>
          <rPr>
            <b/>
            <sz val="9"/>
            <color indexed="81"/>
            <rFont val="宋体"/>
          </rPr>
          <t>allen:</t>
        </r>
        <r>
          <rPr>
            <sz val="9"/>
            <color indexed="81"/>
            <rFont val="宋体"/>
          </rPr>
          <t xml:space="preserve">
平盖7，凸盖8.2
</t>
        </r>
      </text>
    </comment>
  </commentList>
</comments>
</file>

<file path=xl/sharedStrings.xml><?xml version="1.0" encoding="utf-8"?>
<sst xmlns="http://schemas.openxmlformats.org/spreadsheetml/2006/main" count="20960" uniqueCount="1501">
  <si>
    <t>A</t>
    <phoneticPr fontId="26" type="noConversion"/>
  </si>
  <si>
    <t>厚度</t>
    <phoneticPr fontId="26" type="noConversion"/>
  </si>
  <si>
    <t>達成率%
(12小時計)</t>
    <phoneticPr fontId="26" type="noConversion"/>
  </si>
  <si>
    <t>不良率%</t>
    <phoneticPr fontId="26" type="noConversion"/>
  </si>
  <si>
    <t>站機台人員</t>
    <phoneticPr fontId="26" type="noConversion"/>
  </si>
  <si>
    <t>PET101</t>
    <phoneticPr fontId="26" type="noConversion"/>
  </si>
  <si>
    <t>PET102</t>
    <phoneticPr fontId="26" type="noConversion"/>
  </si>
  <si>
    <t>PET103</t>
    <phoneticPr fontId="26" type="noConversion"/>
  </si>
  <si>
    <t>PP/PS104</t>
    <phoneticPr fontId="26" type="noConversion"/>
  </si>
  <si>
    <t>PP/PS105</t>
    <phoneticPr fontId="26" type="noConversion"/>
  </si>
  <si>
    <r>
      <t>PP</t>
    </r>
    <r>
      <rPr>
        <sz val="12"/>
        <rFont val="新細明體"/>
        <family val="1"/>
        <charset val="136"/>
      </rPr>
      <t>501</t>
    </r>
    <phoneticPr fontId="26" type="noConversion"/>
  </si>
  <si>
    <t>生產項目</t>
    <phoneticPr fontId="26" type="noConversion"/>
  </si>
  <si>
    <t>模數x
每分鐘(次)</t>
    <phoneticPr fontId="26" type="noConversion"/>
  </si>
  <si>
    <t>標準產能
(箱/每班)</t>
    <phoneticPr fontId="26" type="noConversion"/>
  </si>
  <si>
    <t>更換皮料支數</t>
    <phoneticPr fontId="26" type="noConversion"/>
  </si>
  <si>
    <t>投入用料
(板材kg)</t>
    <phoneticPr fontId="26" type="noConversion"/>
  </si>
  <si>
    <t>實際產出
(箱/每班)</t>
    <phoneticPr fontId="26" type="noConversion"/>
  </si>
  <si>
    <t>達成率%
(11小時計)</t>
    <phoneticPr fontId="26" type="noConversion"/>
  </si>
  <si>
    <t>有效時數</t>
    <phoneticPr fontId="26" type="noConversion"/>
  </si>
  <si>
    <t>201蓋</t>
    <phoneticPr fontId="26" type="noConversion"/>
  </si>
  <si>
    <t>203蓋</t>
    <phoneticPr fontId="26" type="noConversion"/>
  </si>
  <si>
    <r>
      <t>2</t>
    </r>
    <r>
      <rPr>
        <sz val="12"/>
        <rFont val="新細明體"/>
        <family val="1"/>
        <charset val="136"/>
      </rPr>
      <t>04蓋</t>
    </r>
    <phoneticPr fontId="26" type="noConversion"/>
  </si>
  <si>
    <r>
      <t>20</t>
    </r>
    <r>
      <rPr>
        <sz val="12"/>
        <rFont val="新細明體"/>
        <family val="1"/>
        <charset val="136"/>
      </rPr>
      <t>5</t>
    </r>
    <r>
      <rPr>
        <sz val="12"/>
        <rFont val="新細明體"/>
        <family val="1"/>
        <charset val="136"/>
      </rPr>
      <t>蓋</t>
    </r>
    <phoneticPr fontId="26" type="noConversion"/>
  </si>
  <si>
    <t>206蓋</t>
    <phoneticPr fontId="26" type="noConversion"/>
  </si>
  <si>
    <t>207蓋</t>
    <phoneticPr fontId="26" type="noConversion"/>
  </si>
  <si>
    <t>301
杯飲機</t>
    <phoneticPr fontId="26" type="noConversion"/>
  </si>
  <si>
    <t>304
杯飲機</t>
    <phoneticPr fontId="26" type="noConversion"/>
  </si>
  <si>
    <t>305
杯飲機</t>
    <phoneticPr fontId="26" type="noConversion"/>
  </si>
  <si>
    <t>不良數
PCS</t>
    <phoneticPr fontId="26" type="noConversion"/>
  </si>
  <si>
    <t>備註</t>
    <phoneticPr fontId="26" type="noConversion"/>
  </si>
  <si>
    <t>印刷室-前日累計成品數-401：</t>
    <phoneticPr fontId="26" type="noConversion"/>
  </si>
  <si>
    <t>印刷室-前日累計成品數-402：</t>
    <phoneticPr fontId="26" type="noConversion"/>
  </si>
  <si>
    <t>印刷室-前日累計成品數-403：</t>
    <phoneticPr fontId="26" type="noConversion"/>
  </si>
  <si>
    <t>本日生產成品數：(箱數*入數)</t>
    <phoneticPr fontId="26" type="noConversion"/>
  </si>
  <si>
    <t>印刷室-本月累計成品數-401：</t>
    <phoneticPr fontId="26" type="noConversion"/>
  </si>
  <si>
    <t>印刷室-本月累計成品數-402：</t>
    <phoneticPr fontId="26" type="noConversion"/>
  </si>
  <si>
    <t>印刷室-本月累計成品數-403：</t>
    <phoneticPr fontId="26" type="noConversion"/>
  </si>
  <si>
    <t>印刷室本月累計不良數-401</t>
    <phoneticPr fontId="26" type="noConversion"/>
  </si>
  <si>
    <t>印刷室本月累計不良數-402</t>
    <phoneticPr fontId="26" type="noConversion"/>
  </si>
  <si>
    <t>印刷室本月累計不良數-403</t>
    <phoneticPr fontId="26" type="noConversion"/>
  </si>
  <si>
    <t>註：成型投入 大量多於產出，代表產生邊料多。或者板材報廢多。</t>
    <phoneticPr fontId="26" type="noConversion"/>
  </si>
  <si>
    <t>註：成型機台以每日更換4捲皮料*15分 =扣除1hr。每台機台以11hr計算達成率。</t>
    <phoneticPr fontId="26" type="noConversion"/>
  </si>
  <si>
    <t>PET</t>
    <phoneticPr fontId="26" type="noConversion"/>
  </si>
  <si>
    <t>B</t>
    <phoneticPr fontId="26" type="noConversion"/>
  </si>
  <si>
    <t>PP</t>
    <phoneticPr fontId="26" type="noConversion"/>
  </si>
  <si>
    <t>不良率
%</t>
    <phoneticPr fontId="26" type="noConversion"/>
  </si>
  <si>
    <t>.</t>
    <phoneticPr fontId="26" type="noConversion"/>
  </si>
  <si>
    <t>杯飲-PP透95-Y750-大苑子</t>
    <phoneticPr fontId="26" type="noConversion"/>
  </si>
  <si>
    <t>廠內粉碎 (kg)  PP:6118 KG</t>
  </si>
  <si>
    <t>PET:11073KG</t>
  </si>
  <si>
    <t>廠內粉碎 (kg)  PP:9177 KG</t>
  </si>
  <si>
    <t xml:space="preserve">PET: 12220kg </t>
  </si>
  <si>
    <t>廠內粉碎 (kg)  PP:6119 kg</t>
  </si>
  <si>
    <t>人員配置</t>
  </si>
  <si>
    <t>成型人數(宜進)：</t>
  </si>
  <si>
    <t>賴廠長</t>
  </si>
  <si>
    <t>印刷人數：</t>
  </si>
  <si>
    <t>站機台人員</t>
  </si>
  <si>
    <t>PET</t>
  </si>
  <si>
    <t>PP</t>
  </si>
  <si>
    <t>當班產值</t>
  </si>
  <si>
    <r>
      <t>20</t>
    </r>
    <r>
      <rPr>
        <sz val="12"/>
        <rFont val="新細明體"/>
        <family val="1"/>
        <charset val="136"/>
      </rPr>
      <t>2
PP蓋</t>
    </r>
  </si>
  <si>
    <r>
      <t>30</t>
    </r>
    <r>
      <rPr>
        <sz val="12"/>
        <rFont val="新細明體"/>
        <family val="1"/>
        <charset val="136"/>
      </rPr>
      <t>2
杯飲機</t>
    </r>
  </si>
  <si>
    <t>印刷機</t>
  </si>
  <si>
    <t>pcs</t>
  </si>
  <si>
    <t>成型前日生產累計產值：</t>
  </si>
  <si>
    <t>本日生產成品數：(箱數*入數)</t>
  </si>
  <si>
    <t>成型本日生產產值：</t>
  </si>
  <si>
    <t>成型本月生產累計產值：</t>
  </si>
  <si>
    <t>投產分析</t>
  </si>
  <si>
    <t>PET-62醬料杯蓋-公版模+共用箱</t>
    <phoneticPr fontId="26" type="noConversion"/>
  </si>
  <si>
    <t>合計</t>
  </si>
  <si>
    <t>尚墩公司產值表</t>
  </si>
  <si>
    <t>102年2月</t>
  </si>
  <si>
    <t>累計，單位KG</t>
  </si>
  <si>
    <t>押出量</t>
  </si>
  <si>
    <t>實際產量
(良品入庫)</t>
  </si>
  <si>
    <t>達成率(加總)</t>
  </si>
  <si>
    <t>以實際開機計算</t>
  </si>
  <si>
    <t>以每月30日計算</t>
  </si>
  <si>
    <t>班數</t>
  </si>
  <si>
    <t>平均達成率</t>
  </si>
  <si>
    <t>累計</t>
  </si>
  <si>
    <t>成形機</t>
  </si>
  <si>
    <t>產值
(良品入庫)</t>
  </si>
  <si>
    <t>杯蓋機201</t>
  </si>
  <si>
    <t>高領機202</t>
  </si>
  <si>
    <t>高領機203</t>
  </si>
  <si>
    <t>高領機204</t>
  </si>
  <si>
    <t>高領機205</t>
  </si>
  <si>
    <t>杯飲機301</t>
  </si>
  <si>
    <t>杯飲機302</t>
  </si>
  <si>
    <t>製表人：林玉娥  2013.3.1</t>
  </si>
  <si>
    <t>102年</t>
  </si>
  <si>
    <t>201機台</t>
  </si>
  <si>
    <t>日期</t>
  </si>
  <si>
    <t>板材總重/KG</t>
  </si>
  <si>
    <t>可生產箱數</t>
  </si>
  <si>
    <t>總數量/箱</t>
  </si>
  <si>
    <t>差異箱數</t>
  </si>
  <si>
    <t>良率%</t>
  </si>
  <si>
    <t>杯蓋-PET-90平蓋-SHM</t>
  </si>
  <si>
    <t>2/2~2/28</t>
  </si>
  <si>
    <t>202機台</t>
  </si>
  <si>
    <r>
      <t>餐盒-一</t>
    </r>
    <r>
      <rPr>
        <sz val="12"/>
        <rFont val="新細明體"/>
        <family val="1"/>
        <charset val="136"/>
      </rPr>
      <t>.二.三</t>
    </r>
    <r>
      <rPr>
        <sz val="12"/>
        <rFont val="新細明體"/>
        <family val="1"/>
        <charset val="136"/>
      </rPr>
      <t>格蓋-公版箱</t>
    </r>
  </si>
  <si>
    <t>進料長度尚未確認</t>
  </si>
  <si>
    <t>餐盒-一格底-公版</t>
  </si>
  <si>
    <t>2/8~2/16</t>
  </si>
  <si>
    <t>餐盒-L001小手提盒 (底)-200入</t>
  </si>
  <si>
    <t>203機台</t>
  </si>
  <si>
    <t>2/7~2/8</t>
  </si>
  <si>
    <t xml:space="preserve">沙拉碗-上蓋-VB(A)-32OZ-佳億興 </t>
  </si>
  <si>
    <t>2/15~2/18</t>
  </si>
  <si>
    <t>杯蓋-PET 117平蓋-內扣式</t>
  </si>
  <si>
    <t>杯蓋-PET 106 凸蓋(12oz)-公版</t>
  </si>
  <si>
    <t>2/20~2/21</t>
  </si>
  <si>
    <t>杯蓋-PET 116 凸蓋(16oz)-公版</t>
  </si>
  <si>
    <t>2/22~2/27</t>
  </si>
  <si>
    <t>杯蓋-PET 98 凸蓋-圓孔-CNP箱</t>
  </si>
  <si>
    <t>204機台</t>
  </si>
  <si>
    <t>PET 142沙拉碗平蓋-TINGSTAD箱</t>
  </si>
  <si>
    <t>2/3~2/6</t>
  </si>
  <si>
    <t>盤-PET-透明-水果盤FT02-Styrotech箱  
                     ( 70入*20包)</t>
  </si>
  <si>
    <t>用同一個皮料平均值為99.95%</t>
  </si>
  <si>
    <t xml:space="preserve">盤-PET-透明-水果盤FT03-Styrotech箱 
                      (80入*10包) </t>
  </si>
  <si>
    <t>2/15~2/16</t>
  </si>
  <si>
    <t>餐盒-L001小手提盒 (蓋)-200入</t>
  </si>
  <si>
    <t>壽司盒-蓋-SU4</t>
  </si>
  <si>
    <t>2/18~2/20</t>
  </si>
  <si>
    <t>壽司盒-底-SU4</t>
  </si>
  <si>
    <t>2/21~2/24</t>
  </si>
  <si>
    <t>壽司盒-底-SU5-500入</t>
  </si>
  <si>
    <t>2/25~2/26</t>
  </si>
  <si>
    <r>
      <t>壽司盒-蓋-SU5-</t>
    </r>
    <r>
      <rPr>
        <sz val="12"/>
        <rFont val="新細明體"/>
        <family val="1"/>
        <charset val="136"/>
      </rPr>
      <t>500入</t>
    </r>
  </si>
  <si>
    <t>2/26~2/27</t>
  </si>
  <si>
    <t>壽司盒-蓋-SU2</t>
  </si>
  <si>
    <t>306-杯飲機</t>
    <phoneticPr fontId="26" type="noConversion"/>
  </si>
  <si>
    <t>207-PET/PP蓋</t>
    <phoneticPr fontId="26" type="noConversion"/>
  </si>
  <si>
    <t>廠內粉碎 (kg)  PP: 1556KG</t>
  </si>
  <si>
    <t>PET:  6973KG</t>
  </si>
  <si>
    <t>廠內粉碎 (kg)  PP: 226KG</t>
  </si>
  <si>
    <r>
      <t>1</t>
    </r>
    <r>
      <rPr>
        <sz val="12"/>
        <rFont val="新細明體"/>
        <family val="1"/>
        <charset val="136"/>
      </rPr>
      <t>4*25.0</t>
    </r>
  </si>
  <si>
    <t xml:space="preserve">PET:0KG </t>
  </si>
  <si>
    <t>廠內粉碎 (kg)  PP: 4489KG</t>
  </si>
  <si>
    <r>
      <t>2</t>
    </r>
    <r>
      <rPr>
        <sz val="12"/>
        <rFont val="新細明體"/>
        <family val="1"/>
        <charset val="136"/>
      </rPr>
      <t>01</t>
    </r>
    <r>
      <rPr>
        <sz val="12"/>
        <rFont val="新細明體"/>
        <family val="1"/>
        <charset val="136"/>
      </rPr>
      <t xml:space="preserve">
</t>
    </r>
    <r>
      <rPr>
        <sz val="12"/>
        <rFont val="新細明體"/>
        <family val="1"/>
        <charset val="136"/>
      </rPr>
      <t>PET</t>
    </r>
    <r>
      <rPr>
        <sz val="12"/>
        <rFont val="新細明體"/>
        <family val="1"/>
        <charset val="136"/>
      </rPr>
      <t>蓋</t>
    </r>
  </si>
  <si>
    <t>PET:0kg</t>
  </si>
  <si>
    <t>305-杯飲機</t>
    <phoneticPr fontId="26" type="noConversion"/>
  </si>
  <si>
    <t>304-杯飲機</t>
    <phoneticPr fontId="26" type="noConversion"/>
  </si>
  <si>
    <t>PET厚板</t>
    <phoneticPr fontId="26" type="noConversion"/>
  </si>
  <si>
    <t>廠內粉碎 (kg)  PP: 2808kg</t>
  </si>
  <si>
    <r>
      <t>2</t>
    </r>
    <r>
      <rPr>
        <sz val="12"/>
        <rFont val="新細明體"/>
        <family val="1"/>
        <charset val="136"/>
      </rPr>
      <t>4*24.7</t>
    </r>
  </si>
  <si>
    <t>PET:862kg</t>
  </si>
  <si>
    <t>廠內粉碎 (kg)  PP: 3708kg</t>
  </si>
  <si>
    <t>人員</t>
  </si>
  <si>
    <t>24*24.7</t>
  </si>
  <si>
    <r>
      <t>2</t>
    </r>
    <r>
      <rPr>
        <sz val="12"/>
        <rFont val="新細明體"/>
        <family val="1"/>
        <charset val="136"/>
      </rPr>
      <t>02</t>
    </r>
    <r>
      <rPr>
        <sz val="12"/>
        <rFont val="新細明體"/>
        <family val="1"/>
        <charset val="136"/>
      </rPr>
      <t xml:space="preserve">
</t>
    </r>
    <r>
      <rPr>
        <sz val="12"/>
        <rFont val="新細明體"/>
        <family val="1"/>
        <charset val="136"/>
      </rPr>
      <t>PP</t>
    </r>
    <r>
      <rPr>
        <sz val="12"/>
        <rFont val="新細明體"/>
        <family val="1"/>
        <charset val="136"/>
      </rPr>
      <t>蓋</t>
    </r>
  </si>
  <si>
    <r>
      <t>2</t>
    </r>
    <r>
      <rPr>
        <sz val="12"/>
        <rFont val="新細明體"/>
        <family val="1"/>
        <charset val="136"/>
      </rPr>
      <t>4*9.2</t>
    </r>
  </si>
  <si>
    <r>
      <t>3</t>
    </r>
    <r>
      <rPr>
        <sz val="12"/>
        <rFont val="新細明體"/>
        <family val="1"/>
        <charset val="136"/>
      </rPr>
      <t>02
杯飲機</t>
    </r>
  </si>
  <si>
    <t>PET:1511KG</t>
  </si>
  <si>
    <t xml:space="preserve">廠內粉碎 (kg)  </t>
  </si>
  <si>
    <t>PP: 2250KG</t>
  </si>
  <si>
    <r>
      <t>2</t>
    </r>
    <r>
      <rPr>
        <sz val="12"/>
        <rFont val="新細明體"/>
        <family val="1"/>
        <charset val="136"/>
      </rPr>
      <t>1*17.4</t>
    </r>
  </si>
  <si>
    <t>PP: 2916kg</t>
  </si>
  <si>
    <r>
      <t>20</t>
    </r>
    <r>
      <rPr>
        <sz val="12"/>
        <rFont val="新細明體"/>
        <family val="1"/>
        <charset val="136"/>
      </rPr>
      <t>1</t>
    </r>
    <r>
      <rPr>
        <sz val="12"/>
        <rFont val="新細明體"/>
        <family val="1"/>
        <charset val="136"/>
      </rPr>
      <t xml:space="preserve">
</t>
    </r>
    <r>
      <rPr>
        <sz val="12"/>
        <rFont val="新細明體"/>
        <family val="1"/>
        <charset val="136"/>
      </rPr>
      <t>PET</t>
    </r>
    <r>
      <rPr>
        <sz val="12"/>
        <rFont val="新細明體"/>
        <family val="1"/>
        <charset val="136"/>
      </rPr>
      <t>蓋</t>
    </r>
  </si>
  <si>
    <t>PET:  0kg</t>
  </si>
  <si>
    <t>PP: 3220kg</t>
  </si>
  <si>
    <r>
      <t>20</t>
    </r>
    <r>
      <rPr>
        <sz val="12"/>
        <rFont val="新細明體"/>
        <family val="1"/>
        <charset val="136"/>
      </rPr>
      <t>1
PET蓋</t>
    </r>
  </si>
  <si>
    <t>24*29.9</t>
  </si>
  <si>
    <t>20*9.20</t>
  </si>
  <si>
    <t>14*19.7</t>
  </si>
  <si>
    <t xml:space="preserve">PET: 2754kg </t>
  </si>
  <si>
    <t>廠內粉碎 (kg)  PP: 257kg</t>
  </si>
  <si>
    <t xml:space="preserve">PET:0 kg </t>
  </si>
  <si>
    <t>廠內粉碎 (kg)  PP: 2846kg</t>
  </si>
  <si>
    <t xml:space="preserve">PET:0kg </t>
  </si>
  <si>
    <t>廠內粉碎 (kg)  PP: 1523kg</t>
  </si>
  <si>
    <t xml:space="preserve">PET: 0kg </t>
  </si>
  <si>
    <t>湯杯蓋-PP850-公版箱</t>
  </si>
  <si>
    <t>不良率
%</t>
    <phoneticPr fontId="26" type="noConversion"/>
  </si>
  <si>
    <t>.</t>
    <phoneticPr fontId="26" type="noConversion"/>
  </si>
  <si>
    <t>106.8.30副理改產能為350-400</t>
    <phoneticPr fontId="26" type="noConversion"/>
  </si>
  <si>
    <r>
      <t>德暘押板機生產日報表</t>
    </r>
    <r>
      <rPr>
        <sz val="16"/>
        <color indexed="30"/>
        <rFont val="新細明體"/>
        <family val="1"/>
        <charset val="136"/>
      </rPr>
      <t>-生產線501</t>
    </r>
    <phoneticPr fontId="26" type="noConversion"/>
  </si>
  <si>
    <t>德暘股份有限公司--塑膠廠</t>
  </si>
  <si>
    <t>早班</t>
  </si>
  <si>
    <t>晚班</t>
  </si>
  <si>
    <t>押板人數：</t>
  </si>
  <si>
    <t>成型人數：</t>
  </si>
  <si>
    <t>生產日期：</t>
  </si>
  <si>
    <t>四</t>
  </si>
  <si>
    <t>(修邊後)</t>
  </si>
  <si>
    <t>(未修邊)</t>
  </si>
  <si>
    <t>印刷人員:</t>
  </si>
  <si>
    <t>押板機</t>
  </si>
  <si>
    <t>班別</t>
  </si>
  <si>
    <t>材質</t>
  </si>
  <si>
    <t>厚度</t>
  </si>
  <si>
    <t>修邊後
寬幅</t>
  </si>
  <si>
    <t>標準產能
(KG/時)</t>
  </si>
  <si>
    <t>可供使用
重量</t>
  </si>
  <si>
    <r>
      <rPr>
        <sz val="12"/>
        <rFont val="新細明體"/>
        <family val="1"/>
        <charset val="136"/>
      </rPr>
      <t>實際產出</t>
    </r>
    <r>
      <rPr>
        <sz val="10"/>
        <rFont val="新細明體"/>
        <family val="1"/>
        <charset val="136"/>
      </rPr>
      <t xml:space="preserve">
(KGx12小時)</t>
    </r>
  </si>
  <si>
    <t>不良品
KG</t>
  </si>
  <si>
    <t>達成率%</t>
  </si>
  <si>
    <t>實際投入
生產時間</t>
  </si>
  <si>
    <t>備註</t>
  </si>
  <si>
    <t>PET
101</t>
  </si>
  <si>
    <t>A</t>
  </si>
  <si>
    <t xml:space="preserve"> </t>
  </si>
  <si>
    <t>B</t>
  </si>
  <si>
    <t>PP/PS
102</t>
  </si>
  <si>
    <t>未開機</t>
  </si>
  <si>
    <t>PET
103</t>
  </si>
  <si>
    <t>PET
104</t>
  </si>
  <si>
    <t>成型機</t>
  </si>
  <si>
    <t>生產項目</t>
  </si>
  <si>
    <t>模數x
每分鐘(次)</t>
  </si>
  <si>
    <t>投入用料
(板材kg)</t>
  </si>
  <si>
    <t>投入用料
可產出
(板材kg)</t>
  </si>
  <si>
    <t>標準產能
(箱/每班)</t>
  </si>
  <si>
    <t>實際產出
(箱/每班)</t>
  </si>
  <si>
    <t>每班產值</t>
  </si>
  <si>
    <t xml:space="preserve">201
PET蓋
</t>
  </si>
  <si>
    <t>24*25.8</t>
  </si>
  <si>
    <r>
      <t>2</t>
    </r>
    <r>
      <rPr>
        <sz val="12"/>
        <rFont val="新細明體"/>
        <family val="1"/>
        <charset val="136"/>
      </rPr>
      <t>4*25.8</t>
    </r>
  </si>
  <si>
    <t>203
PP蓋</t>
  </si>
  <si>
    <r>
      <t>2</t>
    </r>
    <r>
      <rPr>
        <sz val="12"/>
        <rFont val="新細明體"/>
        <family val="1"/>
        <charset val="136"/>
      </rPr>
      <t>0*9.2</t>
    </r>
  </si>
  <si>
    <t>301
杯飲機</t>
  </si>
  <si>
    <t>14*23.1</t>
  </si>
  <si>
    <t>廠內粉碎 (kg)</t>
  </si>
  <si>
    <t xml:space="preserve">PET: 5817kg </t>
  </si>
  <si>
    <t>廠內粉碎 (kg)  PP:3151kg</t>
  </si>
  <si>
    <t>A班</t>
  </si>
  <si>
    <t>B班</t>
  </si>
  <si>
    <t>一</t>
  </si>
  <si>
    <t>201
杯蓋機</t>
  </si>
  <si>
    <r>
      <t>2</t>
    </r>
    <r>
      <rPr>
        <sz val="12"/>
        <rFont val="新細明體"/>
        <family val="1"/>
        <charset val="136"/>
      </rPr>
      <t>0*9.20</t>
    </r>
  </si>
  <si>
    <r>
      <t>30</t>
    </r>
    <r>
      <rPr>
        <sz val="12"/>
        <rFont val="新細明體"/>
        <family val="1"/>
        <charset val="136"/>
      </rPr>
      <t>2</t>
    </r>
    <r>
      <rPr>
        <sz val="12"/>
        <rFont val="新細明體"/>
        <family val="1"/>
        <charset val="136"/>
      </rPr>
      <t xml:space="preserve">
杯飲機</t>
    </r>
  </si>
  <si>
    <r>
      <t>1</t>
    </r>
    <r>
      <rPr>
        <sz val="12"/>
        <rFont val="新細明體"/>
        <family val="1"/>
        <charset val="136"/>
      </rPr>
      <t>4*23</t>
    </r>
  </si>
  <si>
    <t>14*23</t>
  </si>
  <si>
    <t>PET: 9001KG</t>
  </si>
  <si>
    <t>廠內粉碎 (kg)  PP:3155KG</t>
  </si>
  <si>
    <t>二</t>
  </si>
  <si>
    <t>202
PP蓋</t>
  </si>
  <si>
    <t>PET: 941KG</t>
  </si>
  <si>
    <t>廠內粉碎 (kg)  PP: 1980KG</t>
  </si>
  <si>
    <t>三</t>
  </si>
  <si>
    <r>
      <t>2</t>
    </r>
    <r>
      <rPr>
        <sz val="12"/>
        <rFont val="新細明體"/>
        <family val="1"/>
        <charset val="136"/>
      </rPr>
      <t>4*9.20</t>
    </r>
  </si>
  <si>
    <t>PET: 0</t>
  </si>
  <si>
    <t>廠內粉碎 (kg)  PP:2018</t>
  </si>
  <si>
    <t>五</t>
  </si>
  <si>
    <t>14*17.4</t>
  </si>
  <si>
    <t>PET:0 KG</t>
  </si>
  <si>
    <t>501-杯飲機</t>
    <phoneticPr fontId="26" type="noConversion"/>
  </si>
  <si>
    <t>杯飲-PET-92凸蓋-karkat箱</t>
    <phoneticPr fontId="26" type="noConversion"/>
  </si>
  <si>
    <t xml:space="preserve"> </t>
    <phoneticPr fontId="26" type="noConversion"/>
  </si>
  <si>
    <t>PP</t>
    <phoneticPr fontId="26" type="noConversion"/>
  </si>
  <si>
    <t>PET</t>
    <phoneticPr fontId="26" type="noConversion"/>
  </si>
  <si>
    <t>印刷機-401</t>
    <phoneticPr fontId="26" type="noConversion"/>
  </si>
  <si>
    <t>印刷機-402</t>
    <phoneticPr fontId="26" type="noConversion"/>
  </si>
  <si>
    <t>杯飲-PET-92平蓋-karkat箱</t>
    <phoneticPr fontId="26" type="noConversion"/>
  </si>
  <si>
    <t>PP-Deli-117蓋-Karat箱</t>
    <phoneticPr fontId="26" type="noConversion"/>
  </si>
  <si>
    <t>餐盒-PET-蕃茄盒</t>
    <phoneticPr fontId="26" type="noConversion"/>
  </si>
  <si>
    <t>湯杯蓋-PP750-公版箱</t>
    <phoneticPr fontId="26" type="noConversion"/>
  </si>
  <si>
    <t>湯杯蓋-PP850-黑色箱</t>
    <phoneticPr fontId="26" type="noConversion"/>
  </si>
  <si>
    <t>杯飲-PET透-78-10</t>
    <phoneticPr fontId="26" type="noConversion"/>
  </si>
  <si>
    <t>餐盒-PET-蕃茄盒(薄)</t>
    <phoneticPr fontId="26" type="noConversion"/>
  </si>
  <si>
    <t>廠內粉碎 (kg)  PP: 3674kg</t>
  </si>
  <si>
    <r>
      <t xml:space="preserve">201
</t>
    </r>
    <r>
      <rPr>
        <sz val="12"/>
        <rFont val="新細明體"/>
        <family val="1"/>
        <charset val="136"/>
      </rPr>
      <t>PET</t>
    </r>
    <r>
      <rPr>
        <sz val="12"/>
        <rFont val="新細明體"/>
        <family val="1"/>
        <charset val="136"/>
      </rPr>
      <t>蓋</t>
    </r>
  </si>
  <si>
    <r>
      <t>1</t>
    </r>
    <r>
      <rPr>
        <sz val="12"/>
        <rFont val="新細明體"/>
        <family val="1"/>
        <charset val="136"/>
      </rPr>
      <t>4*25</t>
    </r>
  </si>
  <si>
    <t>302
杯飲機</t>
  </si>
  <si>
    <t>14*18.4</t>
  </si>
  <si>
    <t xml:space="preserve">PET:4718KG </t>
  </si>
  <si>
    <t>廠內粉碎 (kg)  PP:5633KG</t>
  </si>
  <si>
    <t>廠內粉碎 (kg)  PP: 2578KG</t>
  </si>
  <si>
    <r>
      <t>1</t>
    </r>
    <r>
      <rPr>
        <sz val="12"/>
        <rFont val="新細明體"/>
        <family val="1"/>
        <charset val="136"/>
      </rPr>
      <t>4*19.7</t>
    </r>
  </si>
  <si>
    <r>
      <t>1</t>
    </r>
    <r>
      <rPr>
        <sz val="12"/>
        <rFont val="新細明體"/>
        <family val="1"/>
        <charset val="136"/>
      </rPr>
      <t>4*18.4</t>
    </r>
  </si>
  <si>
    <t xml:space="preserve">PET:3771KG </t>
  </si>
  <si>
    <t>廠內粉碎 (kg)  PP: 5952KG</t>
  </si>
  <si>
    <r>
      <t>1</t>
    </r>
    <r>
      <rPr>
        <sz val="12"/>
        <rFont val="新細明體"/>
        <family val="1"/>
        <charset val="136"/>
      </rPr>
      <t>4*19.1</t>
    </r>
  </si>
  <si>
    <r>
      <t>1</t>
    </r>
    <r>
      <rPr>
        <sz val="12"/>
        <rFont val="新細明體"/>
        <family val="1"/>
        <charset val="136"/>
      </rPr>
      <t>4*23.1</t>
    </r>
  </si>
  <si>
    <t xml:space="preserve">PET:2993KG </t>
  </si>
  <si>
    <t>廠內粉碎 (kg)  PP: 5832kg</t>
  </si>
  <si>
    <r>
      <t>20</t>
    </r>
    <r>
      <rPr>
        <sz val="12"/>
        <rFont val="新細明體"/>
        <family val="1"/>
        <charset val="136"/>
      </rPr>
      <t>2</t>
    </r>
    <r>
      <rPr>
        <sz val="12"/>
        <rFont val="新細明體"/>
        <family val="1"/>
        <charset val="136"/>
      </rPr>
      <t xml:space="preserve">
</t>
    </r>
    <r>
      <rPr>
        <sz val="12"/>
        <rFont val="新細明體"/>
        <family val="1"/>
        <charset val="136"/>
      </rPr>
      <t>PP</t>
    </r>
    <r>
      <rPr>
        <sz val="12"/>
        <rFont val="新細明體"/>
        <family val="1"/>
        <charset val="136"/>
      </rPr>
      <t>蓋</t>
    </r>
  </si>
  <si>
    <t>PET: 0KG</t>
  </si>
  <si>
    <t>廠內粉碎 (kg)  PP:5345KG</t>
  </si>
  <si>
    <t>24*25.9</t>
  </si>
  <si>
    <t>20*9.2</t>
  </si>
  <si>
    <t xml:space="preserve">PET: 4890kg </t>
  </si>
  <si>
    <t>廠內粉碎 (kg)  PP:983 kg</t>
  </si>
  <si>
    <r>
      <t xml:space="preserve">201
</t>
    </r>
    <r>
      <rPr>
        <sz val="12"/>
        <rFont val="新細明體"/>
        <family val="1"/>
        <charset val="136"/>
      </rPr>
      <t>PET</t>
    </r>
  </si>
  <si>
    <t xml:space="preserve">PET: 18486kg </t>
  </si>
  <si>
    <t>廠內粉碎 (kg)  PP: 8998kg</t>
  </si>
  <si>
    <t>201
PET蓋</t>
  </si>
  <si>
    <r>
      <t>1</t>
    </r>
    <r>
      <rPr>
        <sz val="12"/>
        <rFont val="新細明體"/>
        <family val="1"/>
        <charset val="136"/>
      </rPr>
      <t>4*21.0</t>
    </r>
  </si>
  <si>
    <t>PET:3327KG</t>
  </si>
  <si>
    <t>廠內粉碎 (kg)  PP: 1233KG</t>
  </si>
  <si>
    <t>PET:9688KG</t>
  </si>
  <si>
    <t>廠內粉碎 (kg)  PP: 2886KG</t>
  </si>
  <si>
    <t>PET:1792KG</t>
  </si>
  <si>
    <t>廠內粉碎 (kg)  PP: 2985KG</t>
  </si>
  <si>
    <r>
      <t>1</t>
    </r>
    <r>
      <rPr>
        <sz val="12"/>
        <rFont val="新細明體"/>
        <family val="1"/>
        <charset val="136"/>
      </rPr>
      <t>4*17.4</t>
    </r>
  </si>
  <si>
    <t>PET:0KG</t>
  </si>
  <si>
    <t>廠內粉碎 (kg)  PP: 3400KG</t>
  </si>
  <si>
    <t>六</t>
  </si>
  <si>
    <r>
      <t>20</t>
    </r>
    <r>
      <rPr>
        <sz val="12"/>
        <rFont val="新細明體"/>
        <family val="1"/>
        <charset val="136"/>
      </rPr>
      <t>1</t>
    </r>
    <r>
      <rPr>
        <sz val="12"/>
        <rFont val="新細明體"/>
        <family val="1"/>
        <charset val="136"/>
      </rPr>
      <t xml:space="preserve">
PP蓋</t>
    </r>
  </si>
  <si>
    <r>
      <t>20</t>
    </r>
    <r>
      <rPr>
        <sz val="12"/>
        <rFont val="新細明體"/>
        <family val="1"/>
        <charset val="136"/>
      </rPr>
      <t>2</t>
    </r>
    <r>
      <rPr>
        <sz val="12"/>
        <rFont val="新細明體"/>
        <family val="1"/>
        <charset val="136"/>
      </rPr>
      <t xml:space="preserve">
PP蓋</t>
    </r>
  </si>
  <si>
    <t>本月累計投入(KG)</t>
  </si>
  <si>
    <t>本月累計產出(KG)</t>
  </si>
  <si>
    <t>邊料/廢料比</t>
  </si>
  <si>
    <t>押板</t>
  </si>
  <si>
    <t>成型</t>
  </si>
  <si>
    <t>註：押板投入 少於產出，代表可能有投入但未落實繳交用料標示卡。</t>
  </si>
  <si>
    <t>日</t>
  </si>
  <si>
    <t>統計月份：</t>
  </si>
  <si>
    <t>購入新料量
(KG)</t>
  </si>
  <si>
    <t>新料投入量
(KG)</t>
  </si>
  <si>
    <t>板材押出量
(KG)</t>
  </si>
  <si>
    <t>押板機當月總量</t>
  </si>
  <si>
    <t>押出量&gt;新料投入量：表示使用回收料</t>
  </si>
  <si>
    <t>板材使用量
(KG)</t>
  </si>
  <si>
    <t>產出量
(箱)</t>
  </si>
  <si>
    <t>總產值
NT$</t>
  </si>
  <si>
    <t>PP厚板</t>
  </si>
  <si>
    <t>成型機當月總量</t>
  </si>
  <si>
    <t>板材使用量&gt;押出量：表示使用上月庫存板材</t>
  </si>
  <si>
    <t>領料使用量
(PCS)</t>
  </si>
  <si>
    <t>產出量
(PCS)</t>
  </si>
  <si>
    <t>印刷機-403</t>
  </si>
  <si>
    <t>印刷機當月總量</t>
  </si>
  <si>
    <t>產出量&gt;領料量：表示上月最後一日領料未印</t>
  </si>
  <si>
    <t>年</t>
  </si>
  <si>
    <t>月</t>
  </si>
  <si>
    <t>星
期</t>
  </si>
  <si>
    <t>班
別</t>
  </si>
  <si>
    <t>原料</t>
  </si>
  <si>
    <t>原料投入</t>
  </si>
  <si>
    <t>皮料實際</t>
  </si>
  <si>
    <t>矽油濃度</t>
  </si>
  <si>
    <t>標準產能
KG/時</t>
  </si>
  <si>
    <t>達成率
%</t>
  </si>
  <si>
    <t>時數</t>
  </si>
  <si>
    <t>實際投入時間</t>
  </si>
  <si>
    <t>不可
回收料</t>
  </si>
  <si>
    <t>異常說明/停機狀況</t>
  </si>
  <si>
    <t>新料</t>
  </si>
  <si>
    <t>回收料</t>
  </si>
  <si>
    <t>寬幅</t>
  </si>
  <si>
    <t>良品
重量</t>
  </si>
  <si>
    <t>不良品
重量</t>
  </si>
  <si>
    <t>前</t>
  </si>
  <si>
    <t>後</t>
  </si>
  <si>
    <t>時</t>
  </si>
  <si>
    <t>分</t>
  </si>
  <si>
    <t>良品重量</t>
  </si>
  <si>
    <r>
      <t>k</t>
    </r>
    <r>
      <rPr>
        <sz val="12"/>
        <rFont val="新細明體"/>
        <family val="1"/>
        <charset val="136"/>
      </rPr>
      <t>g</t>
    </r>
  </si>
  <si>
    <t>回收料
比例</t>
  </si>
  <si>
    <t>新料投入</t>
  </si>
  <si>
    <r>
      <t>德暘成型機生產日報表-</t>
    </r>
    <r>
      <rPr>
        <sz val="16"/>
        <color indexed="30"/>
        <rFont val="新細明體"/>
        <family val="1"/>
        <charset val="136"/>
      </rPr>
      <t>生產線201</t>
    </r>
  </si>
  <si>
    <t>編碼(支)</t>
  </si>
  <si>
    <t>重量 KG</t>
  </si>
  <si>
    <t>重量計(KG)</t>
  </si>
  <si>
    <t>板材</t>
  </si>
  <si>
    <t>品名</t>
  </si>
  <si>
    <t>售價</t>
  </si>
  <si>
    <t>數量</t>
  </si>
  <si>
    <t>產值</t>
  </si>
  <si>
    <t>模數</t>
  </si>
  <si>
    <t>每分鐘次數
(標準)</t>
  </si>
  <si>
    <t>標準產能
12小時計</t>
  </si>
  <si>
    <t>每分鐘次數</t>
  </si>
  <si>
    <t>實際產能
已當日計</t>
  </si>
  <si>
    <t>達成率%
(實際生產)</t>
  </si>
  <si>
    <t>停機原因</t>
  </si>
  <si>
    <t>換皮料時間</t>
  </si>
  <si>
    <t>續前班皮料</t>
  </si>
  <si>
    <t>退料</t>
  </si>
  <si>
    <t>板材-PS780*0.24原*4500</t>
  </si>
  <si>
    <t>杯蓋-PS 90 平蓋-公版-2000入</t>
  </si>
  <si>
    <t>08:00~10:30開機時間=2小時30分
共2.23小時</t>
  </si>
  <si>
    <t/>
  </si>
  <si>
    <t>產品克重</t>
  </si>
  <si>
    <t>入數</t>
  </si>
  <si>
    <t>產出重量
KG</t>
  </si>
  <si>
    <t>206-PET/PP蓋</t>
    <phoneticPr fontId="26" type="noConversion"/>
  </si>
  <si>
    <t>機台人員</t>
  </si>
  <si>
    <t>板材-PET-0.25*760</t>
  </si>
  <si>
    <t>PET-PL200-2oz平蓋-Karat</t>
  </si>
  <si>
    <t>投入板材
(KG)</t>
  </si>
  <si>
    <t>杯飲-PP-1.5oz-醬料杯-透-Karat</t>
  </si>
  <si>
    <t>杯飲-PP-Deli-32oz-透-Karat</t>
  </si>
  <si>
    <t>PET-92平蓋-karat箱</t>
    <phoneticPr fontId="26" type="noConversion"/>
  </si>
  <si>
    <t>PET:  0KG</t>
  </si>
  <si>
    <t>502-杯飲機</t>
    <phoneticPr fontId="26" type="noConversion"/>
  </si>
  <si>
    <t>PP/PS新</t>
    <phoneticPr fontId="26" type="noConversion"/>
  </si>
  <si>
    <t>杯飲-PET透98-16-Holly's</t>
    <phoneticPr fontId="26" type="noConversion"/>
  </si>
  <si>
    <t>壽司盒-底-SU2-合箱</t>
  </si>
  <si>
    <t>205機台</t>
  </si>
  <si>
    <t>2/5~2/6</t>
  </si>
  <si>
    <t>32OZ底-佳億興</t>
  </si>
  <si>
    <t>2/19~2/27</t>
  </si>
  <si>
    <t>杯蓋-PS 白 90 cafe-公版箱</t>
  </si>
  <si>
    <t>杯蓋-PS 黑 90 cafe-SHM</t>
  </si>
  <si>
    <t>301機台</t>
  </si>
  <si>
    <t>2/1~2/28</t>
  </si>
  <si>
    <t>92-12OZ</t>
  </si>
  <si>
    <t>302機台</t>
  </si>
  <si>
    <t>2/1~2/7</t>
  </si>
  <si>
    <t>杯飲-PET透-98-20OZ-公版-未裝袋</t>
  </si>
  <si>
    <t>2/7~2/25</t>
  </si>
  <si>
    <t>杯飲-PET透-98-24OZ-公版-未裝袋</t>
  </si>
  <si>
    <t>製表:林玉娥</t>
  </si>
  <si>
    <t>以上資料,所有發料.退料記錄全部核對過了</t>
  </si>
  <si>
    <t>實際產出
(KGx12小時)</t>
    <phoneticPr fontId="26" type="noConversion"/>
  </si>
  <si>
    <t>#501機台為壓板後，直接成型。</t>
  </si>
  <si>
    <t>108.8.13雅雯依合約產能為600(每小時/公斤)</t>
    <phoneticPr fontId="26" type="noConversion"/>
  </si>
  <si>
    <t>208-PET/PP匙</t>
    <phoneticPr fontId="26" type="noConversion"/>
  </si>
  <si>
    <t>209-PET/PP蓋</t>
    <phoneticPr fontId="26" type="noConversion"/>
  </si>
  <si>
    <t>209蓋</t>
    <phoneticPr fontId="26" type="noConversion"/>
  </si>
  <si>
    <t>PET-98就口杯蓋-掀蓋式</t>
    <phoneticPr fontId="26" type="noConversion"/>
  </si>
  <si>
    <t>PP/PS107</t>
    <phoneticPr fontId="26" type="noConversion"/>
  </si>
  <si>
    <t>今日出貨櫃</t>
    <phoneticPr fontId="26" type="noConversion"/>
  </si>
  <si>
    <t>A班</t>
    <phoneticPr fontId="26" type="noConversion"/>
  </si>
  <si>
    <t>B班</t>
    <phoneticPr fontId="26" type="noConversion"/>
  </si>
  <si>
    <t>咖啡杯蓋-PP80-黑-Karat箱</t>
    <phoneticPr fontId="26" type="noConversion"/>
  </si>
  <si>
    <t>PP-165湯杯蓋-空白箱</t>
    <phoneticPr fontId="26" type="noConversion"/>
  </si>
  <si>
    <t>德暘股份有限公司--塑膠廠</t>
    <phoneticPr fontId="26" type="noConversion"/>
  </si>
  <si>
    <t>塑膠吸管</t>
    <phoneticPr fontId="26" type="noConversion"/>
  </si>
  <si>
    <t>吸管1</t>
    <phoneticPr fontId="26" type="noConversion"/>
  </si>
  <si>
    <t>110.08.24文賀改為400KG</t>
    <phoneticPr fontId="26" type="noConversion"/>
  </si>
  <si>
    <t>110.08.24文賀改為450KG</t>
    <phoneticPr fontId="26" type="noConversion"/>
  </si>
  <si>
    <t>110.08.24文賀改為1000KG</t>
    <phoneticPr fontId="26" type="noConversion"/>
  </si>
  <si>
    <t>印刷人數：</t>
    <phoneticPr fontId="26" type="noConversion"/>
  </si>
  <si>
    <t>塑膠吸管人數：</t>
    <phoneticPr fontId="26" type="noConversion"/>
  </si>
  <si>
    <t>材質</t>
    <phoneticPr fontId="26" type="noConversion"/>
  </si>
  <si>
    <t>PP白</t>
    <phoneticPr fontId="26" type="noConversion"/>
  </si>
  <si>
    <t>標準產能
11小時計</t>
    <phoneticPr fontId="26" type="noConversion"/>
  </si>
  <si>
    <t>損耗率%</t>
    <phoneticPr fontId="26" type="noConversion"/>
  </si>
  <si>
    <t xml:space="preserve">PET-PL200-2oz平蓋-Karat </t>
    <phoneticPr fontId="26" type="noConversion"/>
  </si>
  <si>
    <t>PET-板材1.28*715</t>
  </si>
  <si>
    <t>板材-PET-1.38*715</t>
  </si>
  <si>
    <t>PET-板材1.305*715</t>
  </si>
  <si>
    <t>PP-板材2.6*640透</t>
  </si>
  <si>
    <t>板材-PP-0.36*720</t>
  </si>
  <si>
    <t>PET-45平蓋-空白箱</t>
    <phoneticPr fontId="26" type="noConversion"/>
  </si>
  <si>
    <t>PET-105平蓋-十字孔+YOCUP箱</t>
    <phoneticPr fontId="26" type="noConversion"/>
  </si>
  <si>
    <t>PET-107平蓋-WINSIGHT箱</t>
    <phoneticPr fontId="26" type="noConversion"/>
  </si>
  <si>
    <t>PET-75平蓋-空白箱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</si>
  <si>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生產線206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</si>
  <si>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生產線207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</si>
  <si>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生產線208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</si>
  <si>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生產線209</t>
    </r>
    <phoneticPr fontId="26" type="noConversion"/>
  </si>
  <si>
    <t>PET-板材1.4*700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</si>
  <si>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生產線304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</si>
  <si>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生產線305</t>
    </r>
    <phoneticPr fontId="26" type="noConversion"/>
  </si>
  <si>
    <t>餐盒-PET-蕃茄盒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</si>
  <si>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生產線204</t>
    </r>
    <phoneticPr fontId="26" type="noConversion"/>
  </si>
  <si>
    <t>當月損耗</t>
    <phoneticPr fontId="26" type="noConversion"/>
  </si>
  <si>
    <t>當月成型數量</t>
    <phoneticPr fontId="26" type="noConversion"/>
  </si>
  <si>
    <t>產值</t>
    <phoneticPr fontId="26" type="noConversion"/>
  </si>
  <si>
    <t>當月產值</t>
    <phoneticPr fontId="26" type="noConversion"/>
  </si>
  <si>
    <t>當月達成率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</si>
  <si>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生產線205</t>
    </r>
    <phoneticPr fontId="26" type="noConversion"/>
  </si>
  <si>
    <t>湯杯蓋-PP390-空白箱</t>
  </si>
  <si>
    <t>湯杯蓋-PP850-黑色公版箱</t>
  </si>
  <si>
    <t>PP-Deli-117蓋-Karat箱</t>
  </si>
  <si>
    <t>湯杯蓋-PP520-公版箱</t>
  </si>
  <si>
    <t>PP-透-KDL96蓋-KARAT箱</t>
  </si>
  <si>
    <t>湯杯蓋-PP750-公版箱</t>
  </si>
  <si>
    <t>湯杯蓋-PP2632-公版箱</t>
  </si>
  <si>
    <t>餐盒-PET-蕃茄盒(薄)</t>
  </si>
  <si>
    <t>咖啡杯蓋-PP80-黑-Karat箱</t>
  </si>
  <si>
    <t>蛋盒-PET蛋盒-空白箱</t>
  </si>
  <si>
    <t>咖啡杯蓋-PP90-白+516W+KARAT箱+平口式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</si>
  <si>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生產線210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</si>
  <si>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生產線211</t>
    </r>
    <phoneticPr fontId="26" type="noConversion"/>
  </si>
  <si>
    <t>湯杯蓋-PP2632-空白箱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</si>
  <si>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生產線301</t>
    </r>
    <phoneticPr fontId="26" type="noConversion"/>
  </si>
  <si>
    <t>杯飲-PET-78-9oz-共用箱+未裝袋</t>
  </si>
  <si>
    <t>杯飲-PET-78-10oz-KARAT箱+未裝袋</t>
  </si>
  <si>
    <t>杯飲-PET-92-9oz-空白模+空白箱</t>
  </si>
  <si>
    <t>杯飲-PET-78-8oz-ULINE箱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</si>
  <si>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生產線302</t>
    </r>
    <phoneticPr fontId="26" type="noConversion"/>
  </si>
  <si>
    <t>醬料杯-SPP-黑色霧面-4oz-空白箱</t>
  </si>
  <si>
    <t>杯飲-PP-1oz-醬料杯-透-Karat</t>
  </si>
  <si>
    <t>杯飲-PP-0.75oz-醬料杯-透-Karat</t>
  </si>
  <si>
    <t>杯飲-PET-78-8oz-Jack fair箱</t>
  </si>
  <si>
    <t>杯飲-PET-78-9oz-空白箱+未裝袋</t>
  </si>
  <si>
    <t>杯飲-PET-92-9oz-空白箱</t>
  </si>
  <si>
    <t>杯飲-PET-92-12oz-空白模+外銷箱+OTP麥頭</t>
  </si>
  <si>
    <t>杯飲-PET-92-16oz-SPC杯型+DK箱+未裝袋</t>
  </si>
  <si>
    <t>杯飲-PET-92-20oz-CNP模+CNP箱</t>
  </si>
  <si>
    <t>杯飲-PET-98-16oz-KC箱+未裝袋</t>
  </si>
  <si>
    <t>杯飲-PET-78-10oz-</t>
  </si>
  <si>
    <t>杯飲-PET-92-12oz-KARAT+大包裝</t>
  </si>
  <si>
    <t>杯飲-PP-Y25-SUPER箱</t>
  </si>
  <si>
    <t>杯飲-PP-Y360-空白箱+未裝袋</t>
  </si>
  <si>
    <t>杯飲-PP-P200-2oz杯-透-Karat</t>
  </si>
  <si>
    <t>杯飲-PP-Deli-117-16oz-Royalty箱(新版面)</t>
  </si>
  <si>
    <t>杯飲-PP-Deli-117-12oz-空白箱</t>
  </si>
  <si>
    <t>杯飲-PP-Y500-空白箱+未裝袋</t>
  </si>
  <si>
    <t>杯飲-PP-Q360-空白箱+未裝袋</t>
  </si>
  <si>
    <t>杯飲-PP-Q500-梅花杯-空白箱</t>
  </si>
  <si>
    <t>杯飲-PP-M500-墨問箱+墨問大包裝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</si>
  <si>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生產線303</t>
    </r>
    <phoneticPr fontId="26" type="noConversion"/>
  </si>
  <si>
    <t>當月投入板材KG</t>
    <phoneticPr fontId="26" type="noConversion"/>
  </si>
  <si>
    <t>當月產出KG</t>
    <phoneticPr fontId="26" type="noConversion"/>
  </si>
  <si>
    <t>醬料杯-PP-3.25oz-PAC箱</t>
  </si>
  <si>
    <t>杯飲-PET-78-9oz</t>
  </si>
  <si>
    <t>杯飲-PP-90-135-16oz-手做箱+大包裝+墨問訂單+箱放一條小包裝+圈綠膠</t>
  </si>
  <si>
    <t>杯飲-PP-Y750-公版箱</t>
  </si>
  <si>
    <t>杯飲-PP-M700-墨問專用箱+外封紅膠</t>
  </si>
  <si>
    <t>規格</t>
    <phoneticPr fontId="26" type="noConversion"/>
  </si>
  <si>
    <t>成型數量(pcs)</t>
    <phoneticPr fontId="26" type="noConversion"/>
  </si>
  <si>
    <t>開機速率(每分鐘)</t>
    <phoneticPr fontId="26" type="noConversion"/>
  </si>
  <si>
    <t>生產機台</t>
    <phoneticPr fontId="26" type="noConversion"/>
  </si>
  <si>
    <t>成型箱數</t>
    <phoneticPr fontId="26" type="noConversion"/>
  </si>
  <si>
    <t>不良數</t>
    <phoneticPr fontId="26" type="noConversion"/>
  </si>
  <si>
    <t>德暘印刷機生產日報表-生產線401</t>
    <phoneticPr fontId="26" type="noConversion"/>
  </si>
  <si>
    <t>杯飲-PET透-92-9</t>
  </si>
  <si>
    <t>杯飲-PET透-92-11</t>
  </si>
  <si>
    <t>杯飲-PET透-92-12</t>
  </si>
  <si>
    <t>杯飲-PET透92-16</t>
  </si>
  <si>
    <t>杯飲-PET透92-20</t>
  </si>
  <si>
    <t>杯飲-PET透-98-12</t>
  </si>
  <si>
    <t>杯飲-PET透-98-16</t>
  </si>
  <si>
    <t>杯飲-PET透-98-20</t>
  </si>
  <si>
    <t>杯飲-PET透92-9  - 蔡氏釀酒</t>
  </si>
  <si>
    <t>杯飲-PET透92-11-SWITCH BAR</t>
  </si>
  <si>
    <t>杯飲-PET透92-12-Holly's</t>
  </si>
  <si>
    <t>杯飲-PET透-92-16-Mono Cheese</t>
  </si>
  <si>
    <t>杯飲-PET透-92-20-DJ 8 Bong</t>
  </si>
  <si>
    <t>杯飲-PET透98-12-Infusion</t>
  </si>
  <si>
    <t>杯飲-PET透98-16-Infusion</t>
  </si>
  <si>
    <t>杯飲-PET透98-20-Infusion</t>
  </si>
  <si>
    <t>杯飲-PP透95-Y360-大苑子</t>
  </si>
  <si>
    <t>杯飲-PP透95-Y500-Amsvin</t>
  </si>
  <si>
    <t>杯飲-PP透95-Y750-大苑子</t>
  </si>
  <si>
    <t>當月成型箱數</t>
    <phoneticPr fontId="26" type="noConversion"/>
  </si>
  <si>
    <t>當月不良數量</t>
    <phoneticPr fontId="26" type="noConversion"/>
  </si>
  <si>
    <t>杯飲-PET透-78-8</t>
  </si>
  <si>
    <t>杯飲-PET透-78-9</t>
  </si>
  <si>
    <t>杯飲-PET透-78-10</t>
  </si>
  <si>
    <t>杯飲-PET透78-8-Milkcow</t>
  </si>
  <si>
    <t>杯飲-PET透78-9-Orange Juice</t>
  </si>
  <si>
    <t>杯飲-PET透78-10-Baekmidang</t>
  </si>
  <si>
    <t>杯飲-PET透92-9  - The Loop</t>
  </si>
  <si>
    <t>杯飲-PET透98-12-憲賣</t>
  </si>
  <si>
    <t>杯飲-PET透98-16-9 Block</t>
  </si>
  <si>
    <t>杯飲-PP透95-Y360-Teruwa</t>
  </si>
  <si>
    <t>杯飲-PET透-92-16</t>
  </si>
  <si>
    <t>杯飲-PET透-92-20</t>
  </si>
  <si>
    <t>杯飲-PET透-98-24</t>
  </si>
  <si>
    <t>杯飲-PP透-120-Y25</t>
  </si>
  <si>
    <t>杯飲-PP透-120-Y33</t>
  </si>
  <si>
    <t>杯飲-PP-90-180-22oz</t>
  </si>
  <si>
    <t>杯飲-PP-90-135-16oz</t>
  </si>
  <si>
    <t>杯飲-PP-Deli-117-12</t>
  </si>
  <si>
    <t>杯飲-PP-Deli-117-16</t>
  </si>
  <si>
    <t>杯飲-PET透78-10-Gaby mini donas</t>
  </si>
  <si>
    <t>杯飲-PET透92-12-DUNKIN DONUTS</t>
  </si>
  <si>
    <t>杯飲-PET透92-16-DUNKIN DONUTS</t>
  </si>
  <si>
    <t>杯飲-PET透92-20-DUNKIN DONUTS</t>
  </si>
  <si>
    <t>杯飲-PET透98-12-QB Café</t>
  </si>
  <si>
    <t>杯飲-PET透98-20-CKC20_P-4-CBTL</t>
  </si>
  <si>
    <t>杯飲-PET透98-24-Hubbard &amp; Cravens</t>
  </si>
  <si>
    <t>杯飲-PET透107-32-GCBC Custom</t>
  </si>
  <si>
    <t>杯飲-PP透120-Y25-JAZEN TEA</t>
  </si>
  <si>
    <t>杯飲-PP透120-Y33-JAZEN TEA</t>
  </si>
  <si>
    <t>杯飲-PP透95-Y500-Loot</t>
  </si>
  <si>
    <t>杯飲-PP透95-Y700-COMEBUY</t>
  </si>
  <si>
    <t>杯飲-PP-90-180-22oz-運達箱+未裝袋</t>
  </si>
  <si>
    <t>杯飲-PP-90-135-16oz-gunball</t>
  </si>
  <si>
    <t>杯飲-PP-Q360-梅花杯-空白箱</t>
  </si>
  <si>
    <t>杯飲-PP-Deli-117-24oz-Royalty箱(新版面)</t>
  </si>
  <si>
    <t>塑膠吸管-6x21</t>
  </si>
  <si>
    <t>塑膠吸管-6x21-公版箱</t>
  </si>
  <si>
    <t>塑膠吸管-6x21-公版箱+透明+斜口</t>
  </si>
  <si>
    <t>塑膠吸管-6x21-公版箱+透明+平口</t>
  </si>
  <si>
    <t>德暘印刷機生產日報表-生產線402</t>
    <phoneticPr fontId="26" type="noConversion"/>
  </si>
  <si>
    <t>德暘印刷機生產日報表-生產線403</t>
    <phoneticPr fontId="26" type="noConversion"/>
  </si>
  <si>
    <t>德暘吸管機生產日報表-生產線01</t>
    <phoneticPr fontId="26" type="noConversion"/>
  </si>
  <si>
    <t>德暘押板機生產日報表-生產線105</t>
    <phoneticPr fontId="26" type="noConversion"/>
  </si>
  <si>
    <t>德暘押板機生產日報表-生產線107</t>
    <phoneticPr fontId="26" type="noConversion"/>
  </si>
  <si>
    <t>110.08.24文賀改為400KG</t>
  </si>
  <si>
    <t>機台速率標準</t>
  </si>
  <si>
    <t>111.04 特助改為500KG</t>
  </si>
  <si>
    <t>新料投入(單位:KG)</t>
    <phoneticPr fontId="26" type="noConversion"/>
  </si>
  <si>
    <t>良品重量(單位:KG)</t>
    <phoneticPr fontId="26" type="noConversion"/>
  </si>
  <si>
    <t>KG</t>
  </si>
  <si>
    <t>KG</t>
    <phoneticPr fontId="26" type="noConversion"/>
  </si>
  <si>
    <t>德暘押板機生產日報表-生產線106</t>
    <phoneticPr fontId="26" type="noConversion"/>
  </si>
  <si>
    <t>108.8.13雅雯依合約產能為1200(每小時/公斤)</t>
  </si>
  <si>
    <t>109.3.6馮課長1200kg改為850kg</t>
  </si>
  <si>
    <t>111.04特助改為1185KG</t>
    <phoneticPr fontId="26" type="noConversion"/>
  </si>
  <si>
    <t>A班當月排班數</t>
  </si>
  <si>
    <t>B班當月排班數</t>
  </si>
  <si>
    <t>單位</t>
  </si>
  <si>
    <t>天</t>
  </si>
  <si>
    <t>A班當月生產量</t>
  </si>
  <si>
    <t>B班當月生產量</t>
  </si>
  <si>
    <t>111.04特助改為500KG</t>
    <phoneticPr fontId="26" type="noConversion"/>
  </si>
  <si>
    <t>德暘押板機生產日報表-生產線104</t>
    <phoneticPr fontId="26" type="noConversion"/>
  </si>
  <si>
    <t>106.2.3改為700KG</t>
    <phoneticPr fontId="26" type="noConversion"/>
  </si>
  <si>
    <t>106.8.30副理改350-600KG</t>
    <phoneticPr fontId="26" type="noConversion"/>
  </si>
  <si>
    <t>109.3.6馮課長改為厚板  厚度0.7以上  速度1000KG</t>
    <phoneticPr fontId="26" type="noConversion"/>
  </si>
  <si>
    <t xml:space="preserve">                                  薄板  厚度&lt;=0.6以下  速度590KG</t>
    <phoneticPr fontId="26" type="noConversion"/>
  </si>
  <si>
    <t xml:space="preserve">                                  薄板  厚度&lt;=0.6以下  速度520KG</t>
    <phoneticPr fontId="26" type="noConversion"/>
  </si>
  <si>
    <t>德暘押板機生產日報表-生產線103</t>
    <phoneticPr fontId="26" type="noConversion"/>
  </si>
  <si>
    <t>PS 厚度0.3以下 320KG</t>
    <phoneticPr fontId="26" type="noConversion"/>
  </si>
  <si>
    <t>PET 厚度0.3以下300KG</t>
    <phoneticPr fontId="26" type="noConversion"/>
  </si>
  <si>
    <t>PET 厚度0.3(含)以上300KG</t>
    <phoneticPr fontId="26" type="noConversion"/>
  </si>
  <si>
    <t>106.2.3改為280KG</t>
    <phoneticPr fontId="26" type="noConversion"/>
  </si>
  <si>
    <t>106.8.30副理改250-270KG</t>
    <phoneticPr fontId="26" type="noConversion"/>
  </si>
  <si>
    <t>德暘押板機生產日報表-生產線102</t>
    <phoneticPr fontId="26" type="noConversion"/>
  </si>
  <si>
    <t>PET厚板</t>
  </si>
  <si>
    <t>PET薄板</t>
  </si>
  <si>
    <t>PP/PS</t>
  </si>
  <si>
    <t>202-PP蓋</t>
  </si>
  <si>
    <t>PP薄板</t>
  </si>
  <si>
    <t>203-PP蓋</t>
  </si>
  <si>
    <t>204-PET/PP蓋</t>
  </si>
  <si>
    <t>PET /PP薄板</t>
  </si>
  <si>
    <t>205-PET/PP蓋</t>
  </si>
  <si>
    <t>301-杯飲機</t>
  </si>
  <si>
    <t>302-杯飲機</t>
  </si>
  <si>
    <t>303-杯飲機</t>
  </si>
  <si>
    <t>210-PET/PP蓋</t>
    <phoneticPr fontId="26" type="noConversion"/>
  </si>
  <si>
    <t>211-PET/PP蓋</t>
    <phoneticPr fontId="26" type="noConversion"/>
  </si>
  <si>
    <t>入數</t>
    <phoneticPr fontId="26" type="noConversion"/>
  </si>
  <si>
    <t>領用箱數</t>
    <phoneticPr fontId="26" type="noConversion"/>
  </si>
  <si>
    <t>領用個數(PCS)</t>
    <phoneticPr fontId="26" type="noConversion"/>
  </si>
  <si>
    <t>當月成型數量(PCS)</t>
    <phoneticPr fontId="26" type="noConversion"/>
  </si>
  <si>
    <t>當月領用數量(PCS)</t>
    <phoneticPr fontId="26" type="noConversion"/>
  </si>
  <si>
    <t>三</t>
    <phoneticPr fontId="26" type="noConversion"/>
  </si>
  <si>
    <t>未開機</t>
    <phoneticPr fontId="26" type="noConversion"/>
  </si>
  <si>
    <t>208蓋</t>
    <phoneticPr fontId="26" type="noConversion"/>
  </si>
  <si>
    <t>210蓋</t>
    <phoneticPr fontId="26" type="noConversion"/>
  </si>
  <si>
    <t>211蓋</t>
    <phoneticPr fontId="26" type="noConversion"/>
  </si>
  <si>
    <t>PP501</t>
    <phoneticPr fontId="26" type="noConversion"/>
  </si>
  <si>
    <t>204蓋</t>
    <phoneticPr fontId="26" type="noConversion"/>
  </si>
  <si>
    <t>205蓋</t>
    <phoneticPr fontId="26" type="noConversion"/>
  </si>
  <si>
    <t>303
杯飲機</t>
    <phoneticPr fontId="26" type="noConversion"/>
  </si>
  <si>
    <t>306
杯飲機</t>
    <phoneticPr fontId="26" type="noConversion"/>
  </si>
  <si>
    <t>501
杯飲機</t>
    <phoneticPr fontId="26" type="noConversion"/>
  </si>
  <si>
    <t>502
杯飲機</t>
    <phoneticPr fontId="26" type="noConversion"/>
  </si>
  <si>
    <t>PET106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</si>
  <si>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生產線203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</si>
  <si>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生產線202</t>
    </r>
    <phoneticPr fontId="26" type="noConversion"/>
  </si>
  <si>
    <t xml:space="preserve">                             薄板    厚度&lt;0.4 速度400KG</t>
    <phoneticPr fontId="26" type="noConversion"/>
  </si>
  <si>
    <t>111.08 特助改為300KG</t>
    <phoneticPr fontId="26" type="noConversion"/>
  </si>
  <si>
    <t>杯飲-PP透95-Y500-士林王記</t>
    <phoneticPr fontId="26" type="noConversion"/>
  </si>
  <si>
    <t>醬料杯-PP-5.5oz-RIP箱</t>
    <phoneticPr fontId="26" type="noConversion"/>
  </si>
  <si>
    <t>503
杯飲機</t>
    <phoneticPr fontId="26" type="noConversion"/>
  </si>
  <si>
    <t>林子維</t>
    <phoneticPr fontId="26" type="noConversion"/>
  </si>
  <si>
    <t>印刷機-405</t>
    <phoneticPr fontId="26" type="noConversion"/>
  </si>
  <si>
    <t>杯飲-PP-M750-墨問箱+墨問大包裝</t>
    <phoneticPr fontId="26" type="noConversion"/>
  </si>
  <si>
    <t>產出重量
(KG)</t>
    <phoneticPr fontId="26" type="noConversion"/>
  </si>
  <si>
    <t>503-杯飲機</t>
    <phoneticPr fontId="26" type="noConversion"/>
  </si>
  <si>
    <t>印刷室-前日累計成品數-405：</t>
    <phoneticPr fontId="26" type="noConversion"/>
  </si>
  <si>
    <t>印刷室-本月累計成品數-405：</t>
    <phoneticPr fontId="26" type="noConversion"/>
  </si>
  <si>
    <t>印刷室本月累計不良數-405</t>
    <phoneticPr fontId="26" type="noConversion"/>
  </si>
  <si>
    <t>湯匙-PP-白湯匙+公版箱+封綠膠</t>
    <phoneticPr fontId="26" type="noConversion"/>
  </si>
  <si>
    <t>杯飲-PP透700</t>
    <phoneticPr fontId="26" type="noConversion"/>
  </si>
  <si>
    <t>杯飲-PP透750</t>
    <phoneticPr fontId="26" type="noConversion"/>
  </si>
  <si>
    <t>杯飲-PP-Deli-117-24</t>
    <phoneticPr fontId="26" type="noConversion"/>
  </si>
  <si>
    <t>PP</t>
    <phoneticPr fontId="26" type="noConversion"/>
  </si>
  <si>
    <t>未開機</t>
    <phoneticPr fontId="26" type="noConversion"/>
  </si>
  <si>
    <t>加總</t>
    <phoneticPr fontId="26" type="noConversion"/>
  </si>
  <si>
    <t>四</t>
    <phoneticPr fontId="26" type="noConversion"/>
  </si>
  <si>
    <t>年</t>
    <phoneticPr fontId="26" type="noConversion"/>
  </si>
  <si>
    <t>五</t>
    <phoneticPr fontId="26" type="noConversion"/>
  </si>
  <si>
    <t>六</t>
    <phoneticPr fontId="26" type="noConversion"/>
  </si>
  <si>
    <t>日</t>
    <phoneticPr fontId="26" type="noConversion"/>
  </si>
  <si>
    <t>一</t>
    <phoneticPr fontId="26" type="noConversion"/>
  </si>
  <si>
    <t>二</t>
    <phoneticPr fontId="26" type="noConversion"/>
  </si>
  <si>
    <t>杯飲-PP透95-Y700-喬治派克</t>
    <phoneticPr fontId="26" type="noConversion"/>
  </si>
  <si>
    <t>杯飲-PP-Y700-公版箱</t>
    <phoneticPr fontId="26" type="noConversion"/>
  </si>
  <si>
    <t>112年</t>
    <phoneticPr fontId="26" type="noConversion"/>
  </si>
  <si>
    <t>台籍1+移工3
(外勞共3人-當日0外勞請假)</t>
    <phoneticPr fontId="26" type="noConversion"/>
  </si>
  <si>
    <t>移工2
(外勞共2人-當日0外勞請假)</t>
    <phoneticPr fontId="26" type="noConversion"/>
  </si>
  <si>
    <t>潘文銅</t>
    <phoneticPr fontId="26" type="noConversion"/>
  </si>
  <si>
    <t>台籍2+移工6+打料2
(外勞共8人-當日0台籍排休、0外勞請假)</t>
    <phoneticPr fontId="26" type="noConversion"/>
  </si>
  <si>
    <t>9櫃</t>
    <phoneticPr fontId="26" type="noConversion"/>
  </si>
  <si>
    <t>台籍1+移工6+打料1
(外勞共7人-當日0台籍排休、0外勞排休)</t>
    <phoneticPr fontId="26" type="noConversion"/>
  </si>
  <si>
    <t>台籍3+台籍品管1+外勞品管2+外勞備料2+外勞技師4+移工30
(外勞共41人-當日0台籍排休、0外勞排休、1台籍作業員請假、2外勞安排後加工作業)</t>
    <phoneticPr fontId="26" type="noConversion"/>
  </si>
  <si>
    <t>台籍1+外勞品管2+外勞備料2+外勞技師4+移28
(外勞共37人-當日1外勞排休)</t>
    <phoneticPr fontId="26" type="noConversion"/>
  </si>
  <si>
    <t>PP-板材1.6*715</t>
    <phoneticPr fontId="26" type="noConversion"/>
  </si>
  <si>
    <t>杯飲-PP-Y33-SUPER箱</t>
    <phoneticPr fontId="26" type="noConversion"/>
  </si>
  <si>
    <t>杯飲-PP-90-180-22oz- 共用箱+未裝袋</t>
    <phoneticPr fontId="26" type="noConversion"/>
  </si>
  <si>
    <t>杯飲-PET-92-11oz-空白箱</t>
    <phoneticPr fontId="26" type="noConversion"/>
  </si>
  <si>
    <t>板材-PET-0.25*870</t>
    <phoneticPr fontId="26" type="noConversion"/>
  </si>
  <si>
    <t>B</t>
    <phoneticPr fontId="26" type="noConversion"/>
  </si>
  <si>
    <t>A</t>
    <phoneticPr fontId="26" type="noConversion"/>
  </si>
  <si>
    <t>板材-PP-0.47*820</t>
    <phoneticPr fontId="26" type="noConversion"/>
  </si>
  <si>
    <t>PET-板材0.8*715</t>
    <phoneticPr fontId="26" type="noConversion"/>
  </si>
  <si>
    <t>24*7.5</t>
    <phoneticPr fontId="26" type="noConversion"/>
  </si>
  <si>
    <t>板材-PP-0.34*720</t>
    <phoneticPr fontId="26" type="noConversion"/>
  </si>
  <si>
    <t>PET-98就口杯蓋-共用箱</t>
    <phoneticPr fontId="26" type="noConversion"/>
  </si>
  <si>
    <t>盧宇昇</t>
    <phoneticPr fontId="26" type="noConversion"/>
  </si>
  <si>
    <t>19:24最後一支交接班</t>
    <phoneticPr fontId="26" type="noConversion"/>
  </si>
  <si>
    <t>56*9.7</t>
    <phoneticPr fontId="26" type="noConversion"/>
  </si>
  <si>
    <t>56*7.2</t>
    <phoneticPr fontId="26" type="noConversion"/>
  </si>
  <si>
    <t>范文光</t>
    <phoneticPr fontId="26" type="noConversion"/>
  </si>
  <si>
    <t>19:15最後一支交接班</t>
    <phoneticPr fontId="26" type="noConversion"/>
  </si>
  <si>
    <t>12*9.8</t>
    <phoneticPr fontId="26" type="noConversion"/>
  </si>
  <si>
    <t>台籍1+外勞品管2+外勞備料1+外勞技師2+移18
外勞共27人-當日0台籍排休
4外勞排休(羅納、亨利、阮氏慧、周德方)</t>
    <phoneticPr fontId="26" type="noConversion"/>
  </si>
  <si>
    <t>19:59最後一支交接班</t>
    <phoneticPr fontId="26" type="noConversion"/>
  </si>
  <si>
    <t>阮明演</t>
    <phoneticPr fontId="26" type="noConversion"/>
  </si>
  <si>
    <t>B</t>
    <phoneticPr fontId="26" type="noConversion"/>
  </si>
  <si>
    <t>07:43最後一支交接班</t>
    <phoneticPr fontId="26" type="noConversion"/>
  </si>
  <si>
    <t>阮功體</t>
    <phoneticPr fontId="26" type="noConversion"/>
  </si>
  <si>
    <t>07:15最後一支交接班</t>
    <phoneticPr fontId="26" type="noConversion"/>
  </si>
  <si>
    <t>阮宏山</t>
    <phoneticPr fontId="26" type="noConversion"/>
  </si>
  <si>
    <t>18:30最後一支交接班</t>
    <phoneticPr fontId="26" type="noConversion"/>
  </si>
  <si>
    <t>07:06最後一支交接班</t>
    <phoneticPr fontId="26" type="noConversion"/>
  </si>
  <si>
    <t>阮庭平</t>
    <phoneticPr fontId="26" type="noConversion"/>
  </si>
  <si>
    <t>黎文中.林子維</t>
    <phoneticPr fontId="26" type="noConversion"/>
  </si>
  <si>
    <t>黃隨貴</t>
    <phoneticPr fontId="26" type="noConversion"/>
  </si>
  <si>
    <t>19:21最後一支交接班</t>
    <phoneticPr fontId="26" type="noConversion"/>
  </si>
  <si>
    <t>07:16最後一支交接班</t>
    <phoneticPr fontId="26" type="noConversion"/>
  </si>
  <si>
    <t>磨文林</t>
    <phoneticPr fontId="26" type="noConversion"/>
  </si>
  <si>
    <t>三</t>
    <phoneticPr fontId="26" type="noConversion"/>
  </si>
  <si>
    <t>板材-PET-0.36*870</t>
    <phoneticPr fontId="26" type="noConversion"/>
  </si>
  <si>
    <t>30*10.3</t>
    <phoneticPr fontId="26" type="noConversion"/>
  </si>
  <si>
    <t>30*10</t>
    <phoneticPr fontId="26" type="noConversion"/>
  </si>
  <si>
    <t>70*9</t>
    <phoneticPr fontId="26" type="noConversion"/>
  </si>
  <si>
    <t>210蓋</t>
    <phoneticPr fontId="26" type="noConversion"/>
  </si>
  <si>
    <t>12*10</t>
    <phoneticPr fontId="26" type="noConversion"/>
  </si>
  <si>
    <t>板材-PP-0.34*820</t>
    <phoneticPr fontId="26" type="noConversion"/>
  </si>
  <si>
    <t>211蓋</t>
    <phoneticPr fontId="26" type="noConversion"/>
  </si>
  <si>
    <t>12*17.2</t>
    <phoneticPr fontId="26" type="noConversion"/>
  </si>
  <si>
    <t>PP-板材1.8*715</t>
    <phoneticPr fontId="26" type="noConversion"/>
  </si>
  <si>
    <t>10*15.3</t>
    <phoneticPr fontId="26" type="noConversion"/>
  </si>
  <si>
    <t>14*20</t>
    <phoneticPr fontId="26" type="noConversion"/>
  </si>
  <si>
    <t>PET-板材1.2*715</t>
    <phoneticPr fontId="26" type="noConversion"/>
  </si>
  <si>
    <t>21*20</t>
    <phoneticPr fontId="26" type="noConversion"/>
  </si>
  <si>
    <t>33*23.3</t>
    <phoneticPr fontId="26" type="noConversion"/>
  </si>
  <si>
    <t>PET</t>
    <phoneticPr fontId="26" type="noConversion"/>
  </si>
  <si>
    <t>杯飲-PET透-92-12</t>
    <phoneticPr fontId="26" type="noConversion"/>
  </si>
  <si>
    <t>11月</t>
    <phoneticPr fontId="26" type="noConversion"/>
  </si>
  <si>
    <t>台籍2+移工4+打料1</t>
    <phoneticPr fontId="26" type="noConversion"/>
  </si>
  <si>
    <t>台籍1+移工5+打料0</t>
    <phoneticPr fontId="26" type="noConversion"/>
  </si>
  <si>
    <t>台籍3+品管1+外勞品管2+外勞備料2+外勞技師2+作業員19</t>
    <phoneticPr fontId="26" type="noConversion"/>
  </si>
  <si>
    <t>台籍1+外勞品管2+外勞備料2+外勞技師2+作業員20</t>
    <phoneticPr fontId="26" type="noConversion"/>
  </si>
  <si>
    <t>台籍1+移工2</t>
    <phoneticPr fontId="26" type="noConversion"/>
  </si>
  <si>
    <t>移工1</t>
    <phoneticPr fontId="26" type="noConversion"/>
  </si>
  <si>
    <t>三</t>
    <phoneticPr fontId="26" type="noConversion"/>
  </si>
  <si>
    <t>台籍2+移工4+打料1
外勞共5人-當日0台籍排休、0外勞排休</t>
    <phoneticPr fontId="26" type="noConversion"/>
  </si>
  <si>
    <t>台籍1+移工5+打料0
外勞共5人-當日0台籍排休、0外勞排休</t>
    <phoneticPr fontId="26" type="noConversion"/>
  </si>
  <si>
    <t>台籍1+移工2
外勞共2人-當日0外勞排休</t>
    <phoneticPr fontId="26" type="noConversion"/>
  </si>
  <si>
    <t>移工1
外勞共1人-當日0外勞排休</t>
    <phoneticPr fontId="26" type="noConversion"/>
  </si>
  <si>
    <t>3櫃</t>
    <phoneticPr fontId="26" type="noConversion"/>
  </si>
  <si>
    <t>台籍3+台籍品管1+外勞品管2+外勞備料2+外勞技師2+移工16
外勞共25人-當日0台籍排休
2外勞排休(范中堅、黎庭全)
1外勞安排後加工作業(麗麗)</t>
    <phoneticPr fontId="26" type="noConversion"/>
  </si>
  <si>
    <t>四</t>
    <phoneticPr fontId="26" type="noConversion"/>
  </si>
  <si>
    <t>台籍1+移工4+打料0
外勞共5人-當日0台籍排休、1外勞請假</t>
    <phoneticPr fontId="26" type="noConversion"/>
  </si>
  <si>
    <t>台籍1+外勞品管2+外勞備料1+外勞技師3+移18
外勞共26人-當日0台籍排休
2外勞排休(阮文通、羅納多)</t>
    <phoneticPr fontId="26" type="noConversion"/>
  </si>
  <si>
    <t>四</t>
    <phoneticPr fontId="26" type="noConversion"/>
  </si>
  <si>
    <t>20:05最後一支交接班</t>
    <phoneticPr fontId="26" type="noConversion"/>
  </si>
  <si>
    <t>阮宏山</t>
    <phoneticPr fontId="26" type="noConversion"/>
  </si>
  <si>
    <t>23:10計量泵跳脫,人員安排站103機台,103人員支援106機台</t>
    <phoneticPr fontId="26" type="noConversion"/>
  </si>
  <si>
    <t>史豐銘</t>
    <phoneticPr fontId="26" type="noConversion"/>
  </si>
  <si>
    <t>19:15最後一支交接班</t>
    <phoneticPr fontId="26" type="noConversion"/>
  </si>
  <si>
    <t>11:48-11:50改規格0.25*870,無損耗</t>
    <phoneticPr fontId="26" type="noConversion"/>
  </si>
  <si>
    <t>盧宇昇(20:00-23:10)
阮宏山(23:10-08:00)</t>
    <phoneticPr fontId="26" type="noConversion"/>
  </si>
  <si>
    <t>07:16最後一支交接班</t>
    <phoneticPr fontId="26" type="noConversion"/>
  </si>
  <si>
    <t>18:56最後一支交接班</t>
    <phoneticPr fontId="26" type="noConversion"/>
  </si>
  <si>
    <t>01:35-02:10改規格1.8*715,NG  92KG</t>
    <phoneticPr fontId="26" type="noConversion"/>
  </si>
  <si>
    <t>07:30最後一支交接班</t>
    <phoneticPr fontId="26" type="noConversion"/>
  </si>
  <si>
    <t>20:04最後一支交接班
09:15-14:00網壓太高,停機維修及更換網座及電路異常維修,NG  104KG</t>
    <phoneticPr fontId="26" type="noConversion"/>
  </si>
  <si>
    <t>07:50最後一支交接班</t>
    <phoneticPr fontId="26" type="noConversion"/>
  </si>
  <si>
    <t>黃隨貴
盧宇昇(23:10-08:00)</t>
    <phoneticPr fontId="26" type="noConversion"/>
  </si>
  <si>
    <t>15:37-16:02更改顏色,洗料NG  51KG</t>
    <phoneticPr fontId="26" type="noConversion"/>
  </si>
  <si>
    <t>07:05最後一支交接班</t>
    <phoneticPr fontId="26" type="noConversion"/>
  </si>
  <si>
    <t>56*9.4</t>
    <phoneticPr fontId="26" type="noConversion"/>
  </si>
  <si>
    <t>30*10.2</t>
    <phoneticPr fontId="26" type="noConversion"/>
  </si>
  <si>
    <t>板材-PP-0.6*830</t>
    <phoneticPr fontId="26" type="noConversion"/>
  </si>
  <si>
    <t>56*9.5</t>
    <phoneticPr fontId="26" type="noConversion"/>
  </si>
  <si>
    <t>56*7</t>
    <phoneticPr fontId="26" type="noConversion"/>
  </si>
  <si>
    <t>未開機</t>
    <phoneticPr fontId="26" type="noConversion"/>
  </si>
  <si>
    <t>14*18.9</t>
    <phoneticPr fontId="26" type="noConversion"/>
  </si>
  <si>
    <t>33*19.2</t>
    <phoneticPr fontId="26" type="noConversion"/>
  </si>
  <si>
    <t>五</t>
    <phoneticPr fontId="26" type="noConversion"/>
  </si>
  <si>
    <t>5櫃</t>
    <phoneticPr fontId="26" type="noConversion"/>
  </si>
  <si>
    <t>台籍3+台籍品管1+外勞品管2+外勞備料2+外勞技師3+移工17
外勞共25人-當日0台籍排休
1外勞安排後加工作業(麗麗)</t>
    <phoneticPr fontId="26" type="noConversion"/>
  </si>
  <si>
    <t>台籍1+外勞品管2+外勞備料1+外勞技師3+移16
外勞共26人-當日0台籍排休
5外勞排休(迪克、杜氏莉、丹尼、山多斯、陶英明)</t>
    <phoneticPr fontId="26" type="noConversion"/>
  </si>
  <si>
    <t>五</t>
    <phoneticPr fontId="26" type="noConversion"/>
  </si>
  <si>
    <t>06:40最後一支交接班</t>
    <phoneticPr fontId="26" type="noConversion"/>
  </si>
  <si>
    <t>阮宏山</t>
    <phoneticPr fontId="26" type="noConversion"/>
  </si>
  <si>
    <t>未開機</t>
    <phoneticPr fontId="26" type="noConversion"/>
  </si>
  <si>
    <t>18:50最後一支交接班
10:30-11:00停機擦輪,NG  42KG</t>
    <phoneticPr fontId="26" type="noConversion"/>
  </si>
  <si>
    <t>06:49最後一支交接班</t>
    <phoneticPr fontId="26" type="noConversion"/>
  </si>
  <si>
    <t>阮功體</t>
    <phoneticPr fontId="26" type="noConversion"/>
  </si>
  <si>
    <t>19:01最後一支交接班</t>
    <phoneticPr fontId="26" type="noConversion"/>
  </si>
  <si>
    <t>06:25最後一支交接班</t>
    <phoneticPr fontId="26" type="noConversion"/>
  </si>
  <si>
    <t>19:54最後一支交接班</t>
    <phoneticPr fontId="26" type="noConversion"/>
  </si>
  <si>
    <t>黃隨貴.盧宇昇</t>
    <phoneticPr fontId="26" type="noConversion"/>
  </si>
  <si>
    <t>07:50最後一支交接班</t>
    <phoneticPr fontId="26" type="noConversion"/>
  </si>
  <si>
    <t>19:28最後一支交接班</t>
    <phoneticPr fontId="26" type="noConversion"/>
  </si>
  <si>
    <t>07:15最後一支交接班</t>
    <phoneticPr fontId="26" type="noConversion"/>
  </si>
  <si>
    <t>PP-板材1.2*715</t>
    <phoneticPr fontId="26" type="noConversion"/>
  </si>
  <si>
    <t>14*20.3</t>
    <phoneticPr fontId="26" type="noConversion"/>
  </si>
  <si>
    <t>六</t>
    <phoneticPr fontId="26" type="noConversion"/>
  </si>
  <si>
    <t>0櫃</t>
    <phoneticPr fontId="26" type="noConversion"/>
  </si>
  <si>
    <t>台籍0+移工5+打料0
外勞共5人-當日1台籍排休(盧宇昇)、0外勞請假</t>
    <phoneticPr fontId="26" type="noConversion"/>
  </si>
  <si>
    <t>台籍3+台籍品管1+外勞品管2+外勞備料2+外勞技師3+移工13
外勞共25人-當日0台籍排休
4外勞排休(爾迪、麗麗、阿達、羅威娜)
1外勞請假(高志成)</t>
    <phoneticPr fontId="26" type="noConversion"/>
  </si>
  <si>
    <t>台籍1+外勞品管2+外勞備料1+外勞技師3+移15
外勞共27人-當日0台籍排休
6外勞排休(蒂妮、阮氏商、木哈曼、范忠孝、陳氏雲英、陳氏恒)</t>
    <phoneticPr fontId="26" type="noConversion"/>
  </si>
  <si>
    <t>六</t>
    <phoneticPr fontId="26" type="noConversion"/>
  </si>
  <si>
    <t>19:30最後一支交接班
08:56-10:53螺桿電熱異常,停機查修NG  59KG</t>
    <phoneticPr fontId="26" type="noConversion"/>
  </si>
  <si>
    <t>19:25最後一支交接班</t>
    <phoneticPr fontId="26" type="noConversion"/>
  </si>
  <si>
    <t>07:55最後一支交接班</t>
    <phoneticPr fontId="26" type="noConversion"/>
  </si>
  <si>
    <t>磨文林</t>
    <phoneticPr fontId="26" type="noConversion"/>
  </si>
  <si>
    <t>20:00-01:30板面反白,停機漏料,重新結晶乾燥,NG  78KG
07:43最後一支交接班</t>
    <phoneticPr fontId="26" type="noConversion"/>
  </si>
  <si>
    <t>12:59改規格0.28*900,無損耗</t>
    <phoneticPr fontId="26" type="noConversion"/>
  </si>
  <si>
    <t>19:30最後一支交接班</t>
    <phoneticPr fontId="26" type="noConversion"/>
  </si>
  <si>
    <t>07:10最後一支交接班</t>
    <phoneticPr fontId="26" type="noConversion"/>
  </si>
  <si>
    <t>阮庭平</t>
    <phoneticPr fontId="26" type="noConversion"/>
  </si>
  <si>
    <t>黎庭全</t>
    <phoneticPr fontId="26" type="noConversion"/>
  </si>
  <si>
    <t>15:40最後一支計畫性停機,人員轉102機台維修馬達及保養乾燥機</t>
    <phoneticPr fontId="26" type="noConversion"/>
  </si>
  <si>
    <t>未開機</t>
    <phoneticPr fontId="26" type="noConversion"/>
  </si>
  <si>
    <t>PP白</t>
    <phoneticPr fontId="26" type="noConversion"/>
  </si>
  <si>
    <t>19:48最後一支交接班</t>
    <phoneticPr fontId="26" type="noConversion"/>
  </si>
  <si>
    <t>07:39最後一支交接班</t>
    <phoneticPr fontId="26" type="noConversion"/>
  </si>
  <si>
    <t>18:55最後一支交接班</t>
    <phoneticPr fontId="26" type="noConversion"/>
  </si>
  <si>
    <t>21:16最後一支計畫性停機,人員安排支援106機台</t>
    <phoneticPr fontId="26" type="noConversion"/>
  </si>
  <si>
    <t>黃隨貴.阮宏山
磨文林(21:16-08:00)</t>
    <phoneticPr fontId="26" type="noConversion"/>
  </si>
  <si>
    <t>30*10</t>
    <phoneticPr fontId="26" type="noConversion"/>
  </si>
  <si>
    <t>56*7</t>
    <phoneticPr fontId="26" type="noConversion"/>
  </si>
  <si>
    <t>14*20</t>
    <phoneticPr fontId="26" type="noConversion"/>
  </si>
  <si>
    <t>14*19.7</t>
    <phoneticPr fontId="26" type="noConversion"/>
  </si>
  <si>
    <t>33*22.8</t>
    <phoneticPr fontId="26" type="noConversion"/>
  </si>
  <si>
    <t>日</t>
    <phoneticPr fontId="26" type="noConversion"/>
  </si>
  <si>
    <t>當日排休</t>
  </si>
  <si>
    <t>當日排休</t>
    <phoneticPr fontId="26" type="noConversion"/>
  </si>
  <si>
    <t>台籍1+移工4+打料1
外勞共5人-當日1台籍排休(林子維)、0外勞排休</t>
    <phoneticPr fontId="26" type="noConversion"/>
  </si>
  <si>
    <t>台籍0+移工4+打料0
外勞共5人-當日1台籍請假(盧宇昇-感冒)
1外勞排休(黃隨貴-體檢)</t>
    <phoneticPr fontId="26" type="noConversion"/>
  </si>
  <si>
    <t>日</t>
    <phoneticPr fontId="26" type="noConversion"/>
  </si>
  <si>
    <t>19:16最後一支交接班</t>
    <phoneticPr fontId="26" type="noConversion"/>
  </si>
  <si>
    <t>潘文銅</t>
    <phoneticPr fontId="26" type="noConversion"/>
  </si>
  <si>
    <t>07:16最後一支交接班</t>
    <phoneticPr fontId="26" type="noConversion"/>
  </si>
  <si>
    <t>20:15最後一支交接班</t>
    <phoneticPr fontId="26" type="noConversion"/>
  </si>
  <si>
    <t>19:00最後一支交接班</t>
    <phoneticPr fontId="26" type="noConversion"/>
  </si>
  <si>
    <t>黎庭全</t>
    <phoneticPr fontId="26" type="noConversion"/>
  </si>
  <si>
    <t>04:08改規格0.25*840,NG  31KG</t>
    <phoneticPr fontId="26" type="noConversion"/>
  </si>
  <si>
    <t>07:32最後一支交接班</t>
    <phoneticPr fontId="26" type="noConversion"/>
  </si>
  <si>
    <t>黎文中.史豐銘</t>
    <phoneticPr fontId="26" type="noConversion"/>
  </si>
  <si>
    <t>19:38最後一支交接班</t>
    <phoneticPr fontId="26" type="noConversion"/>
  </si>
  <si>
    <t>07:31最後一支交接班</t>
    <phoneticPr fontId="26" type="noConversion"/>
  </si>
  <si>
    <t>阮功體</t>
    <phoneticPr fontId="26" type="noConversion"/>
  </si>
  <si>
    <t>吉內思</t>
    <phoneticPr fontId="26" type="noConversion"/>
  </si>
  <si>
    <t>19:16最後一支交接班
08:00-08:55預熱開機,NG  44KG</t>
    <phoneticPr fontId="26" type="noConversion"/>
  </si>
  <si>
    <t>04:25-05:00改規格0.34*820,NG  150KG</t>
    <phoneticPr fontId="26" type="noConversion"/>
  </si>
  <si>
    <t>07:30最後一支交接班</t>
    <phoneticPr fontId="26" type="noConversion"/>
  </si>
  <si>
    <t>未開機</t>
    <phoneticPr fontId="26" type="noConversion"/>
  </si>
  <si>
    <t>一</t>
    <phoneticPr fontId="26" type="noConversion"/>
  </si>
  <si>
    <t>移工0
外勞共0人-當日0外勞排休</t>
    <phoneticPr fontId="26" type="noConversion"/>
  </si>
  <si>
    <t>台籍1+移工3
外勞共3人-當日0外勞排休</t>
    <phoneticPr fontId="26" type="noConversion"/>
  </si>
  <si>
    <t>台籍1+移工4+打料0
外勞共5人-當日0台籍排休、1外勞排休(阮庭平)</t>
    <phoneticPr fontId="26" type="noConversion"/>
  </si>
  <si>
    <t>台籍3+台籍品管1+外勞品管2+外勞備料2+外勞技師3+移工15
外勞共25人-當日0台籍排休
1外勞安排後加工作業(麗麗)
2外勞排休(蒂兒、胡越慶)</t>
    <phoneticPr fontId="26" type="noConversion"/>
  </si>
  <si>
    <t>台籍3+台籍品管1+外勞品管2+外勞備料1+外勞技師3+移工15
外勞共25人-當日0台籍排休
1外勞安排後加工作業(麗麗)
2外勞排休(胡越慶、高志成)
1外勞請假(阮文國)</t>
    <phoneticPr fontId="26" type="noConversion"/>
  </si>
  <si>
    <t>台籍1+外勞品管2+外勞備料1+外勞技師3+移15
外勞共27人-當日0台籍排休
3外勞排休(威納、范文魁、丁文中)</t>
    <phoneticPr fontId="26" type="noConversion"/>
  </si>
  <si>
    <t>一</t>
    <phoneticPr fontId="26" type="noConversion"/>
  </si>
  <si>
    <t>19:45最後一支交接班</t>
    <phoneticPr fontId="26" type="noConversion"/>
  </si>
  <si>
    <t>08:05最後一支交接班</t>
    <phoneticPr fontId="26" type="noConversion"/>
  </si>
  <si>
    <t>19:50最後一支交接班</t>
    <phoneticPr fontId="26" type="noConversion"/>
  </si>
  <si>
    <t>22:35-22:40改規格0.36*870,無損耗</t>
    <phoneticPr fontId="26" type="noConversion"/>
  </si>
  <si>
    <t>09:34改規格1.55*805,無損耗</t>
    <phoneticPr fontId="26" type="noConversion"/>
  </si>
  <si>
    <t>18:24改規格1.65*805,無損耗</t>
    <phoneticPr fontId="26" type="noConversion"/>
  </si>
  <si>
    <t>19:23最後一支交接班</t>
    <phoneticPr fontId="26" type="noConversion"/>
  </si>
  <si>
    <t>07:40最後一支交接班</t>
    <phoneticPr fontId="26" type="noConversion"/>
  </si>
  <si>
    <t>黃隨貴</t>
    <phoneticPr fontId="26" type="noConversion"/>
  </si>
  <si>
    <t>19:21最後一支交接班</t>
    <phoneticPr fontId="26" type="noConversion"/>
  </si>
  <si>
    <t>潘文銅</t>
    <phoneticPr fontId="26" type="noConversion"/>
  </si>
  <si>
    <t>07:30最後一支交接班</t>
    <phoneticPr fontId="26" type="noConversion"/>
  </si>
  <si>
    <t>30*10</t>
    <phoneticPr fontId="26" type="noConversion"/>
  </si>
  <si>
    <t>70*9</t>
    <phoneticPr fontId="26" type="noConversion"/>
  </si>
  <si>
    <t>一</t>
    <phoneticPr fontId="26" type="noConversion"/>
  </si>
  <si>
    <t>板材-PET-0.27*870</t>
    <phoneticPr fontId="26" type="noConversion"/>
  </si>
  <si>
    <t>56*6.9</t>
    <phoneticPr fontId="26" type="noConversion"/>
  </si>
  <si>
    <t>56*7</t>
    <phoneticPr fontId="26" type="noConversion"/>
  </si>
  <si>
    <t>12*17.2</t>
    <phoneticPr fontId="26" type="noConversion"/>
  </si>
  <si>
    <t>10*15.3</t>
    <phoneticPr fontId="26" type="noConversion"/>
  </si>
  <si>
    <t>14*20</t>
    <phoneticPr fontId="26" type="noConversion"/>
  </si>
  <si>
    <t>21*20</t>
    <phoneticPr fontId="26" type="noConversion"/>
  </si>
  <si>
    <t>33*23.3</t>
    <phoneticPr fontId="26" type="noConversion"/>
  </si>
  <si>
    <t>33*22.8</t>
    <phoneticPr fontId="26" type="noConversion"/>
  </si>
  <si>
    <t>二</t>
    <phoneticPr fontId="26" type="noConversion"/>
  </si>
  <si>
    <t>4櫃</t>
    <phoneticPr fontId="26" type="noConversion"/>
  </si>
  <si>
    <t>台籍3+台籍品管1+外勞品管2+外勞備料2+外勞技師2+移工15
外勞共26人-當日0台籍排休
1外勞安排後加工作業(麗麗)
3外勞排休(吳光雨、陳文俊、農文慶)
1外勞處罰休(高志成)</t>
    <phoneticPr fontId="26" type="noConversion"/>
  </si>
  <si>
    <t>台籍1+外勞品管2+外勞備料1+外勞技師3+移19
外勞共27人-當日0台籍排休
2外勞排休(黑丁、阿爾非)</t>
    <phoneticPr fontId="26" type="noConversion"/>
  </si>
  <si>
    <t>二</t>
    <phoneticPr fontId="26" type="noConversion"/>
  </si>
  <si>
    <t>18:28最後一支交接班</t>
    <phoneticPr fontId="26" type="noConversion"/>
  </si>
  <si>
    <t>08:00最後一支交接班</t>
    <phoneticPr fontId="26" type="noConversion"/>
  </si>
  <si>
    <t>18:53最後一支交接班</t>
    <phoneticPr fontId="26" type="noConversion"/>
  </si>
  <si>
    <t>06:54最後一支交接班</t>
    <phoneticPr fontId="26" type="noConversion"/>
  </si>
  <si>
    <t>12:30-12:32改規格1.55*805,無損耗</t>
    <phoneticPr fontId="26" type="noConversion"/>
  </si>
  <si>
    <t>19:20最後一支交接班</t>
    <phoneticPr fontId="26" type="noConversion"/>
  </si>
  <si>
    <t>07:48最後一支交接班</t>
    <phoneticPr fontId="26" type="noConversion"/>
  </si>
  <si>
    <t>10:54-10:55改規格0.47*820,無損耗</t>
    <phoneticPr fontId="26" type="noConversion"/>
  </si>
  <si>
    <t>07:58最後一支交接班</t>
    <phoneticPr fontId="26" type="noConversion"/>
  </si>
  <si>
    <t>二</t>
    <phoneticPr fontId="26" type="noConversion"/>
  </si>
  <si>
    <t>56*9.1</t>
    <phoneticPr fontId="26" type="noConversion"/>
  </si>
  <si>
    <t>56*7</t>
    <phoneticPr fontId="26" type="noConversion"/>
  </si>
  <si>
    <t>35*16.2</t>
    <phoneticPr fontId="26" type="noConversion"/>
  </si>
  <si>
    <t>三</t>
    <phoneticPr fontId="26" type="noConversion"/>
  </si>
  <si>
    <t>台籍2+移工3+打料1
外勞共4人-當日0台籍排休、0外勞排休</t>
    <phoneticPr fontId="26" type="noConversion"/>
  </si>
  <si>
    <t>台籍2+移工3+打料1
外勞共4人-當日0台籍排休、0外勞排休</t>
    <phoneticPr fontId="26" type="noConversion"/>
  </si>
  <si>
    <t>台籍1+移工4+打料0
外勞共4人-當日0台籍排休、0外勞排休</t>
    <phoneticPr fontId="26" type="noConversion"/>
  </si>
  <si>
    <t>台籍3+台籍品管1+外勞品管2+外勞備料2+外勞技師3+移工16
外勞共27人-當日0台籍排休
1外勞安排後加工作業(麗麗)
2外勞排休(范維堅、羅威娜)
1外勞處罰休(高志成)</t>
    <phoneticPr fontId="26" type="noConversion"/>
  </si>
  <si>
    <t>台籍1+外勞品管2+外勞備料1+外勞技師3+移15
外勞共27人-當日0台籍排休
6外勞排休(亨利、阮氏慧、木哈曼、阮文通、羅納多、周德方)</t>
    <phoneticPr fontId="26" type="noConversion"/>
  </si>
  <si>
    <t>三</t>
    <phoneticPr fontId="26" type="noConversion"/>
  </si>
  <si>
    <t>07:40最後一支交接班
早班更換壓光輪後補料,19:43開機,NG  86KG</t>
    <phoneticPr fontId="26" type="noConversion"/>
  </si>
  <si>
    <t>史豐銘</t>
    <phoneticPr fontId="26" type="noConversion"/>
  </si>
  <si>
    <t>18:56最後一支交接班
08:28-09:30測試板材0.3*800,NG  121KG
09:30-11:30環保局來測試噪音後再開機,NG  48KG
16:14-17:16測試板材0.3*800,NG  120KG</t>
    <phoneticPr fontId="26" type="noConversion"/>
  </si>
  <si>
    <t>02:50-02:53改規格0.25*840,無損耗</t>
    <phoneticPr fontId="26" type="noConversion"/>
  </si>
  <si>
    <t>阮宏山</t>
    <phoneticPr fontId="26" type="noConversion"/>
  </si>
  <si>
    <t>07:35最後一支交接班</t>
    <phoneticPr fontId="26" type="noConversion"/>
  </si>
  <si>
    <t>20:02最後一支交接班
08:30-12:00環保局測試噪音停機,人員安排擦輪、換網及清理真空,NG  92KG</t>
    <phoneticPr fontId="26" type="noConversion"/>
  </si>
  <si>
    <t>07:36最後一支交接班</t>
    <phoneticPr fontId="26" type="noConversion"/>
  </si>
  <si>
    <t>09:02-11:15環保局檢測噪音停機,NG  56KG</t>
    <phoneticPr fontId="26" type="noConversion"/>
  </si>
  <si>
    <t>15:55-15:56改規格0.38*850,無損耗
19:32最後一支交接班</t>
    <phoneticPr fontId="26" type="noConversion"/>
  </si>
  <si>
    <t>03:40改規格0.36*850,無損耗</t>
    <phoneticPr fontId="26" type="noConversion"/>
  </si>
  <si>
    <t>07:10最後一支交接班</t>
    <phoneticPr fontId="26" type="noConversion"/>
  </si>
  <si>
    <t>板材-PP-0.38*850</t>
    <phoneticPr fontId="26" type="noConversion"/>
  </si>
  <si>
    <t>70*8.5</t>
    <phoneticPr fontId="26" type="noConversion"/>
  </si>
  <si>
    <t>36*8.5</t>
    <phoneticPr fontId="26" type="noConversion"/>
  </si>
  <si>
    <t>14*19.7</t>
    <phoneticPr fontId="26" type="noConversion"/>
  </si>
  <si>
    <t>21*20</t>
    <phoneticPr fontId="26" type="noConversion"/>
  </si>
  <si>
    <t>四</t>
    <phoneticPr fontId="26" type="noConversion"/>
  </si>
  <si>
    <t>台籍3+台籍品管1+外勞品管2+外勞備料2+外勞技師3+移工15
外勞共27人-當日0台籍排休
1外勞安排後加工作業(麗麗)
3外勞排休(陳文越、鄭春乙、魯迪)
1外勞處罰休(高志成)</t>
    <phoneticPr fontId="26" type="noConversion"/>
  </si>
  <si>
    <t>台籍1+外勞品管2+外勞備料1+外勞技師3+移15
外勞共27人-當日0台籍排休
3外勞排休(丹尼、山多斯、陶英明)</t>
    <phoneticPr fontId="26" type="noConversion"/>
  </si>
  <si>
    <t>四</t>
    <phoneticPr fontId="26" type="noConversion"/>
  </si>
  <si>
    <t>07:55最後一支交接班</t>
    <phoneticPr fontId="26" type="noConversion"/>
  </si>
  <si>
    <t>18:50最後一支交接班</t>
    <phoneticPr fontId="26" type="noConversion"/>
  </si>
  <si>
    <t>06:58最後一支交接班</t>
    <phoneticPr fontId="26" type="noConversion"/>
  </si>
  <si>
    <t>PET103</t>
    <phoneticPr fontId="26" type="noConversion"/>
  </si>
  <si>
    <t>19:22最後一支交接班</t>
    <phoneticPr fontId="26" type="noConversion"/>
  </si>
  <si>
    <t>07:46最後一支交接班</t>
    <phoneticPr fontId="26" type="noConversion"/>
  </si>
  <si>
    <t>19:50最後一支交接班</t>
    <phoneticPr fontId="26" type="noConversion"/>
  </si>
  <si>
    <t>07:12最後一支交接班</t>
    <phoneticPr fontId="26" type="noConversion"/>
  </si>
  <si>
    <t>板材-PP-0.36*680</t>
    <phoneticPr fontId="26" type="noConversion"/>
  </si>
  <si>
    <t>30*9.8</t>
    <phoneticPr fontId="26" type="noConversion"/>
  </si>
  <si>
    <t>24*10.3</t>
    <phoneticPr fontId="26" type="noConversion"/>
  </si>
  <si>
    <t>24*9.7</t>
    <phoneticPr fontId="26" type="noConversion"/>
  </si>
  <si>
    <t>12*9.7</t>
    <phoneticPr fontId="26" type="noConversion"/>
  </si>
  <si>
    <t>板材-PP-0.55*880</t>
    <phoneticPr fontId="26" type="noConversion"/>
  </si>
  <si>
    <t>140*8.8</t>
    <phoneticPr fontId="26" type="noConversion"/>
  </si>
  <si>
    <t>12*17.2</t>
    <phoneticPr fontId="26" type="noConversion"/>
  </si>
  <si>
    <t>10*19.5</t>
    <phoneticPr fontId="26" type="noConversion"/>
  </si>
  <si>
    <t>PP-板材1.55*715</t>
    <phoneticPr fontId="26" type="noConversion"/>
  </si>
  <si>
    <t>14*18</t>
    <phoneticPr fontId="26" type="noConversion"/>
  </si>
  <si>
    <t>PET-板材1.34*715</t>
    <phoneticPr fontId="26" type="noConversion"/>
  </si>
  <si>
    <t>五</t>
    <phoneticPr fontId="26" type="noConversion"/>
  </si>
  <si>
    <t>台籍0+移工4+打料0
外勞共4人-當日1台籍排休(盧宇昇)、0外勞排休</t>
    <phoneticPr fontId="26" type="noConversion"/>
  </si>
  <si>
    <t>台籍3+台籍品管1+外勞品管2+外勞備料2+外勞技師3+移工16
外勞共27人-當日0台籍排休
1外勞安排後加工作業(麗麗)
2外勞排休(燕蒂、阮青越)
1外勞處罰休(高志成)</t>
    <phoneticPr fontId="26" type="noConversion"/>
  </si>
  <si>
    <t>台籍1+外勞品管2+外勞備料1+外勞技師3+移15
外勞共27人-當日0台籍排休
6外勞排休(羅納、蒂妮、杜氏莉、范文魁、陳氏恒、丁文中)</t>
    <phoneticPr fontId="26" type="noConversion"/>
  </si>
  <si>
    <t>五</t>
    <phoneticPr fontId="26" type="noConversion"/>
  </si>
  <si>
    <t>19:59最後一支交接班</t>
    <phoneticPr fontId="26" type="noConversion"/>
  </si>
  <si>
    <t>07:30最後一支交接班</t>
    <phoneticPr fontId="26" type="noConversion"/>
  </si>
  <si>
    <t>19:02最後一支交接班</t>
    <phoneticPr fontId="26" type="noConversion"/>
  </si>
  <si>
    <t>21:20最後一支計畫性停機,人員安排支援106機台</t>
    <phoneticPr fontId="26" type="noConversion"/>
  </si>
  <si>
    <t>19:36最後一支交接班</t>
    <phoneticPr fontId="26" type="noConversion"/>
  </si>
  <si>
    <t>19:37最後一支交接班</t>
    <phoneticPr fontId="26" type="noConversion"/>
  </si>
  <si>
    <t>07:20最後一支交接班</t>
    <phoneticPr fontId="26" type="noConversion"/>
  </si>
  <si>
    <t>24*9.5</t>
    <phoneticPr fontId="26" type="noConversion"/>
  </si>
  <si>
    <t>板材-PP-0.36*850</t>
    <phoneticPr fontId="26" type="noConversion"/>
  </si>
  <si>
    <t>30*9.7</t>
    <phoneticPr fontId="26" type="noConversion"/>
  </si>
  <si>
    <t>10*19.5</t>
    <phoneticPr fontId="26" type="noConversion"/>
  </si>
  <si>
    <t>10*19.2</t>
    <phoneticPr fontId="26" type="noConversion"/>
  </si>
  <si>
    <t>杯飲-PET-78-8oz-CNP箱</t>
    <phoneticPr fontId="26" type="noConversion"/>
  </si>
  <si>
    <t>未開機</t>
    <phoneticPr fontId="26" type="noConversion"/>
  </si>
  <si>
    <t>一</t>
    <phoneticPr fontId="26" type="noConversion"/>
  </si>
  <si>
    <t>5櫃</t>
    <phoneticPr fontId="26" type="noConversion"/>
  </si>
  <si>
    <t>台籍3+台籍品管1+外勞品管2+外勞備料1+外勞技師3+移工15
外勞共27人-當日0台籍排休
1外勞安排後加工作業(麗麗)
3外勞排休(武氏麗、阿瑞、莎莉)、1外勞請假(阮文國)
1外勞處罰休(高志成)</t>
    <phoneticPr fontId="26" type="noConversion"/>
  </si>
  <si>
    <t>台籍1+外勞品管2+外勞備料1+外勞技師3+移18
外勞共27人-當日0台籍排休
3外勞排休(阮氏商、范忠孝、陳氏雲英)</t>
    <phoneticPr fontId="26" type="noConversion"/>
  </si>
  <si>
    <t>六</t>
    <phoneticPr fontId="26" type="noConversion"/>
  </si>
  <si>
    <t>一</t>
    <phoneticPr fontId="26" type="noConversion"/>
  </si>
  <si>
    <t>14:50-14:52改規格1.6*715,無損耗</t>
    <phoneticPr fontId="26" type="noConversion"/>
  </si>
  <si>
    <t>08:00-12:12擦輪、開機,NG  64KG</t>
    <phoneticPr fontId="26" type="noConversion"/>
  </si>
  <si>
    <t>19:45最後一支交接班</t>
    <phoneticPr fontId="26" type="noConversion"/>
  </si>
  <si>
    <t>16:14-16:17改規格1.34*715,無損耗
18:59最後一支交接班</t>
    <phoneticPr fontId="26" type="noConversion"/>
  </si>
  <si>
    <t>22:02-22:04改規格1.6*715,無損耗</t>
    <phoneticPr fontId="26" type="noConversion"/>
  </si>
  <si>
    <t>未開機</t>
    <phoneticPr fontId="26" type="noConversion"/>
  </si>
  <si>
    <t>日</t>
    <phoneticPr fontId="26" type="noConversion"/>
  </si>
  <si>
    <t>08:00-09:40擦輪、開機,NG  47KG
19:19最後一支交接班</t>
    <phoneticPr fontId="26" type="noConversion"/>
  </si>
  <si>
    <t>07:50最後一支交接班</t>
    <phoneticPr fontId="26" type="noConversion"/>
  </si>
  <si>
    <t>19:36最後一支交接班
08:00-11:00擦輪、清理真空,NG  93KG</t>
    <phoneticPr fontId="26" type="noConversion"/>
  </si>
  <si>
    <t>21:41-21:43改規格1.15*805,無損耗</t>
    <phoneticPr fontId="26" type="noConversion"/>
  </si>
  <si>
    <t>黃隨貴
阮宏山(21:20-08:00)</t>
    <phoneticPr fontId="26" type="noConversion"/>
  </si>
  <si>
    <t>黃隨貴</t>
  </si>
  <si>
    <t>07:40最後一支交接班</t>
    <phoneticPr fontId="26" type="noConversion"/>
  </si>
  <si>
    <t>30*9.5</t>
    <phoneticPr fontId="26" type="noConversion"/>
  </si>
  <si>
    <t>30*9.2</t>
    <phoneticPr fontId="26" type="noConversion"/>
  </si>
  <si>
    <t>140*9.3</t>
    <phoneticPr fontId="26" type="noConversion"/>
  </si>
  <si>
    <t>140*9</t>
    <phoneticPr fontId="26" type="noConversion"/>
  </si>
  <si>
    <t>10*18</t>
    <phoneticPr fontId="26" type="noConversion"/>
  </si>
  <si>
    <t>10*18</t>
    <phoneticPr fontId="26" type="noConversion"/>
  </si>
  <si>
    <t>14*17.7</t>
    <phoneticPr fontId="26" type="noConversion"/>
  </si>
  <si>
    <t>板材-PET-1.15*805</t>
    <phoneticPr fontId="26" type="noConversion"/>
  </si>
  <si>
    <t>二</t>
    <phoneticPr fontId="26" type="noConversion"/>
  </si>
  <si>
    <t>2櫃</t>
    <phoneticPr fontId="26" type="noConversion"/>
  </si>
  <si>
    <t>台籍3+台籍品管1+外勞品管2+外勞備料2+外勞技師4+移工16
外勞共27人-當日0台籍排休
1外勞安排後加工作業(麗麗)
2外勞排休(黎庭全、農文慶)</t>
    <phoneticPr fontId="26" type="noConversion"/>
  </si>
  <si>
    <t>台籍1+外勞品管2+外勞備料1+外勞技師4+移17
外勞共27人-當日0台籍排休
3外勞排休(黑丁、威納、阮庭平)</t>
    <phoneticPr fontId="26" type="noConversion"/>
  </si>
  <si>
    <t>二</t>
    <phoneticPr fontId="26" type="noConversion"/>
  </si>
  <si>
    <t>11:55-13:10改規格1.85*715及更換矽油馬達,NG  56KG</t>
    <phoneticPr fontId="26" type="noConversion"/>
  </si>
  <si>
    <t>20:05最後一支交接班</t>
    <phoneticPr fontId="26" type="noConversion"/>
  </si>
  <si>
    <t>08:06最後一支交接班</t>
    <phoneticPr fontId="26" type="noConversion"/>
  </si>
  <si>
    <t>19:10最後一支交接班</t>
    <phoneticPr fontId="26" type="noConversion"/>
  </si>
  <si>
    <t>20:46-20:50改規格0.45*870,NG  66KG</t>
    <phoneticPr fontId="26" type="noConversion"/>
  </si>
  <si>
    <t>07:52最後一支交接班</t>
    <phoneticPr fontId="26" type="noConversion"/>
  </si>
  <si>
    <t>19:41最後一支交接班</t>
    <phoneticPr fontId="26" type="noConversion"/>
  </si>
  <si>
    <t>22:42-22:45改規格1.5*805,無損耗</t>
    <phoneticPr fontId="26" type="noConversion"/>
  </si>
  <si>
    <t>07:38最後一支交接班</t>
    <phoneticPr fontId="26" type="noConversion"/>
  </si>
  <si>
    <t>19:02最後一支交接班</t>
    <phoneticPr fontId="26" type="noConversion"/>
  </si>
  <si>
    <t>13:45-15:37改規格0.55*880,清洗料桶,NG  260KG</t>
    <phoneticPr fontId="26" type="noConversion"/>
  </si>
  <si>
    <t>07:50最後一支交接班</t>
    <phoneticPr fontId="26" type="noConversion"/>
  </si>
  <si>
    <t>PP白</t>
    <phoneticPr fontId="26" type="noConversion"/>
  </si>
  <si>
    <t>12*17.7</t>
    <phoneticPr fontId="26" type="noConversion"/>
  </si>
  <si>
    <t>10*16.1</t>
    <phoneticPr fontId="26" type="noConversion"/>
  </si>
  <si>
    <t>PET-板材1.6*715</t>
    <phoneticPr fontId="26" type="noConversion"/>
  </si>
  <si>
    <t>33*22.8</t>
    <phoneticPr fontId="26" type="noConversion"/>
  </si>
  <si>
    <t>三</t>
    <phoneticPr fontId="26" type="noConversion"/>
  </si>
  <si>
    <t>台籍3+台籍品管1+外勞品管2+外勞備料2+外勞技師4+移工15
外勞共27人-當日0台籍排休
1外勞安排後加工作業(麗麗)
3外勞排休(蒂兒、爾迪、胡越慶)</t>
    <phoneticPr fontId="26" type="noConversion"/>
  </si>
  <si>
    <t>台籍1+外勞品管2+外勞備料1+外勞技師4+移17
外勞共27人-當日0台籍排休
3外勞排休(蒂妮、木哈曼、阮文通)</t>
    <phoneticPr fontId="26" type="noConversion"/>
  </si>
  <si>
    <t>三</t>
    <phoneticPr fontId="26" type="noConversion"/>
  </si>
  <si>
    <t>20:01最後一支交接班</t>
    <phoneticPr fontId="26" type="noConversion"/>
  </si>
  <si>
    <t>07:48最後一支交接班</t>
    <phoneticPr fontId="26" type="noConversion"/>
  </si>
  <si>
    <t>20:10最後一支交接班
07:52-08:20連續斷板,調整參數,NG  37KG</t>
    <phoneticPr fontId="26" type="noConversion"/>
  </si>
  <si>
    <t>23:00最後一支計畫性停機,人員安排開105機台</t>
    <phoneticPr fontId="26" type="noConversion"/>
  </si>
  <si>
    <t>阮宏山</t>
    <phoneticPr fontId="26" type="noConversion"/>
  </si>
  <si>
    <t>23:28開機,NG  80KG
04:18改規格1.57*715,無損耗</t>
    <phoneticPr fontId="26" type="noConversion"/>
  </si>
  <si>
    <t>07:30最後一支交接班</t>
    <phoneticPr fontId="26" type="noConversion"/>
  </si>
  <si>
    <t>19:26最後一支交接班</t>
    <phoneticPr fontId="26" type="noConversion"/>
  </si>
  <si>
    <t>07:51最後一支交接班</t>
    <phoneticPr fontId="26" type="noConversion"/>
  </si>
  <si>
    <t>19:08最後一支交接班</t>
    <phoneticPr fontId="26" type="noConversion"/>
  </si>
  <si>
    <t>01:57-01:59改規格0.6*830,無損耗</t>
    <phoneticPr fontId="26" type="noConversion"/>
  </si>
  <si>
    <t>07:58最後一支交接班</t>
    <phoneticPr fontId="26" type="noConversion"/>
  </si>
  <si>
    <t>24*9.2</t>
    <phoneticPr fontId="26" type="noConversion"/>
  </si>
  <si>
    <t>56*7</t>
    <phoneticPr fontId="26" type="noConversion"/>
  </si>
  <si>
    <t>140*9.3</t>
    <phoneticPr fontId="26" type="noConversion"/>
  </si>
  <si>
    <t>140*9.3</t>
    <phoneticPr fontId="26" type="noConversion"/>
  </si>
  <si>
    <t>12*16.5</t>
    <phoneticPr fontId="26" type="noConversion"/>
  </si>
  <si>
    <t>12*17</t>
    <phoneticPr fontId="26" type="noConversion"/>
  </si>
  <si>
    <t>10*15.7</t>
    <phoneticPr fontId="26" type="noConversion"/>
  </si>
  <si>
    <t>14*19</t>
    <phoneticPr fontId="26" type="noConversion"/>
  </si>
  <si>
    <t>35*19</t>
    <phoneticPr fontId="26" type="noConversion"/>
  </si>
  <si>
    <t>35*19</t>
    <phoneticPr fontId="26" type="noConversion"/>
  </si>
  <si>
    <t>未開機</t>
    <phoneticPr fontId="26" type="noConversion"/>
  </si>
  <si>
    <t>四</t>
    <phoneticPr fontId="26" type="noConversion"/>
  </si>
  <si>
    <t>台籍3+台籍品管1+外勞品管2+外勞備料2+外勞技師4+移工16
外勞共27人-當日0台籍排休
1外勞安排後加工作業(麗麗)
1外勞安排擦拭機台(胡越慶)
1外勞排休(陳文俊)</t>
    <phoneticPr fontId="26" type="noConversion"/>
  </si>
  <si>
    <t>台籍1+外勞品管2+外勞備料1+外勞技師4+移17
外勞共27人-當日0台籍排休
3外勞排休(亨利、阮氏慧、周德方)</t>
    <phoneticPr fontId="26" type="noConversion"/>
  </si>
  <si>
    <t>四</t>
    <phoneticPr fontId="26" type="noConversion"/>
  </si>
  <si>
    <t>08:30-08:32改規格1.38*805,無損耗</t>
    <phoneticPr fontId="26" type="noConversion"/>
  </si>
  <si>
    <t>19:25最後一支交接班</t>
    <phoneticPr fontId="26" type="noConversion"/>
  </si>
  <si>
    <t>07:25最後一支交接班</t>
    <phoneticPr fontId="26" type="noConversion"/>
  </si>
  <si>
    <t>未開機</t>
    <phoneticPr fontId="26" type="noConversion"/>
  </si>
  <si>
    <t>18:50最後一支交接班</t>
    <phoneticPr fontId="26" type="noConversion"/>
  </si>
  <si>
    <t>史豐銘</t>
    <phoneticPr fontId="26" type="noConversion"/>
  </si>
  <si>
    <t>06:40最後一支交接班
04:40-05:00清理模唇,NG  72KG</t>
    <phoneticPr fontId="26" type="noConversion"/>
  </si>
  <si>
    <t>16:42-16:44改規格1.65*805,無損耗</t>
    <phoneticPr fontId="26" type="noConversion"/>
  </si>
  <si>
    <t>19:36最後一支交接班</t>
    <phoneticPr fontId="26" type="noConversion"/>
  </si>
  <si>
    <t>黃隨貴</t>
    <phoneticPr fontId="26" type="noConversion"/>
  </si>
  <si>
    <t>08:04最後一支交接班</t>
    <phoneticPr fontId="26" type="noConversion"/>
  </si>
  <si>
    <t>19:46最後一支交接班</t>
    <phoneticPr fontId="26" type="noConversion"/>
  </si>
  <si>
    <t>07:48最後一支交接班</t>
    <phoneticPr fontId="26" type="noConversion"/>
  </si>
  <si>
    <t>12*10</t>
    <phoneticPr fontId="26" type="noConversion"/>
  </si>
  <si>
    <t>14*17.7</t>
    <phoneticPr fontId="26" type="noConversion"/>
  </si>
  <si>
    <t>10*16.9</t>
    <phoneticPr fontId="26" type="noConversion"/>
  </si>
  <si>
    <t>PET-板材1.85*715</t>
    <phoneticPr fontId="26" type="noConversion"/>
  </si>
  <si>
    <t>14*18</t>
    <phoneticPr fontId="26" type="noConversion"/>
  </si>
  <si>
    <t>五</t>
    <phoneticPr fontId="26" type="noConversion"/>
  </si>
  <si>
    <t>6櫃</t>
    <phoneticPr fontId="26" type="noConversion"/>
  </si>
  <si>
    <t>台籍1+移工3+打料1
外勞共4人-當日1台籍請假(林子維)、0外勞排休</t>
    <phoneticPr fontId="26" type="noConversion"/>
  </si>
  <si>
    <t>台籍3+台籍品管1+外勞品管2+外勞備料1+外勞技師3+移工15
外勞共27人-當日0台籍排休
1外勞安排後加工作業(麗麗)
1外勞安排擦拭機台(陳文俊)
4外勞排休(陳文越、范維堅、魯迪、羅威娜)</t>
    <phoneticPr fontId="26" type="noConversion"/>
  </si>
  <si>
    <t>台籍1+外勞品管2+外勞備料1+外勞技師3+移11
外勞共27人-當日0台籍排休
10外勞排休(杜氏莉、阮氏商、丹尼、羅納多、阿爾非、范文魁、山多斯、陳氏恒、陶英明、丁文中)</t>
    <phoneticPr fontId="26" type="noConversion"/>
  </si>
  <si>
    <t>五</t>
    <phoneticPr fontId="26" type="noConversion"/>
  </si>
  <si>
    <t>19:35最後一支交接班</t>
    <phoneticPr fontId="26" type="noConversion"/>
  </si>
  <si>
    <t>07:13最後一支交接班</t>
    <phoneticPr fontId="26" type="noConversion"/>
  </si>
  <si>
    <t>19:34最後一支交接班</t>
    <phoneticPr fontId="26" type="noConversion"/>
  </si>
  <si>
    <t>05:38-05:40改規格1.6*715,無損耗</t>
    <phoneticPr fontId="26" type="noConversion"/>
  </si>
  <si>
    <t>07:15最後一支交接班</t>
    <phoneticPr fontId="26" type="noConversion"/>
  </si>
  <si>
    <t>黎文中.史豐銘</t>
    <phoneticPr fontId="26" type="noConversion"/>
  </si>
  <si>
    <t>20:03最後一支交接班
09:00-10:10停機擦輪、換網及清理真空,NG  70KG</t>
    <phoneticPr fontId="26" type="noConversion"/>
  </si>
  <si>
    <t>19:25最後一支交接班</t>
    <phoneticPr fontId="26" type="noConversion"/>
  </si>
  <si>
    <t>07:15最後一支交接班</t>
    <phoneticPr fontId="26" type="noConversion"/>
  </si>
  <si>
    <t>56*7</t>
    <phoneticPr fontId="26" type="noConversion"/>
  </si>
  <si>
    <t>10*15.3</t>
    <phoneticPr fontId="26" type="noConversion"/>
  </si>
  <si>
    <t>10*16.7</t>
    <phoneticPr fontId="26" type="noConversion"/>
  </si>
  <si>
    <t>六</t>
    <phoneticPr fontId="26" type="noConversion"/>
  </si>
  <si>
    <t>當日排休</t>
    <phoneticPr fontId="26" type="noConversion"/>
  </si>
  <si>
    <t>六</t>
    <phoneticPr fontId="26" type="noConversion"/>
  </si>
  <si>
    <t>18:55最後一支交接班
08:38-09:31停機擦輪、換網,NG  51KG</t>
    <phoneticPr fontId="26" type="noConversion"/>
  </si>
  <si>
    <t>02:10-02:15斷板,換網NG  68KG</t>
    <phoneticPr fontId="26" type="noConversion"/>
  </si>
  <si>
    <t>04:55-04:57改規格1.15*805,無損耗
07:37最後一支交接班</t>
    <phoneticPr fontId="26" type="noConversion"/>
  </si>
  <si>
    <t>19:12最後一支交接班</t>
    <phoneticPr fontId="26" type="noConversion"/>
  </si>
  <si>
    <t>06:55-06:58最後一支交接班,改規格1.55*715,無損耗</t>
    <phoneticPr fontId="26" type="noConversion"/>
  </si>
  <si>
    <t>黎文中</t>
    <phoneticPr fontId="26" type="noConversion"/>
  </si>
  <si>
    <t>19:52最後一支交接班</t>
    <phoneticPr fontId="26" type="noConversion"/>
  </si>
  <si>
    <t>07:20最後一支交接班</t>
    <phoneticPr fontId="26" type="noConversion"/>
  </si>
  <si>
    <t>14:14-14:55改顏色、規格0.47*820,換網NG  97KG</t>
    <phoneticPr fontId="26" type="noConversion"/>
  </si>
  <si>
    <t>19:48最後一支交接班</t>
    <phoneticPr fontId="26" type="noConversion"/>
  </si>
  <si>
    <t>07:05最後一支交接班</t>
    <phoneticPr fontId="26" type="noConversion"/>
  </si>
  <si>
    <t>日</t>
    <phoneticPr fontId="26" type="noConversion"/>
  </si>
  <si>
    <t>台籍1+移工4+打料0
外勞共4人-當日1台籍排休(林子維)、0外勞排休</t>
    <phoneticPr fontId="26" type="noConversion"/>
  </si>
  <si>
    <t>日</t>
    <phoneticPr fontId="26" type="noConversion"/>
  </si>
  <si>
    <t>19:26最後一支交接班</t>
    <phoneticPr fontId="26" type="noConversion"/>
  </si>
  <si>
    <t>07:14最後一支交接班</t>
    <phoneticPr fontId="26" type="noConversion"/>
  </si>
  <si>
    <t>20:05最後一支交接班</t>
    <phoneticPr fontId="26" type="noConversion"/>
  </si>
  <si>
    <t>吉內思</t>
    <phoneticPr fontId="26" type="noConversion"/>
  </si>
  <si>
    <t>07:05最後一支交接班</t>
    <phoneticPr fontId="26" type="noConversion"/>
  </si>
  <si>
    <t>20:00最後一支交接班</t>
    <phoneticPr fontId="26" type="noConversion"/>
  </si>
  <si>
    <t>07:34最後一支交接班</t>
    <phoneticPr fontId="26" type="noConversion"/>
  </si>
  <si>
    <t>07:55最後一支交接班</t>
    <phoneticPr fontId="26" type="noConversion"/>
  </si>
  <si>
    <t>一</t>
    <phoneticPr fontId="26" type="noConversion"/>
  </si>
  <si>
    <t>台籍1+移工3+打料0
外勞共4人-當日0台籍排休、1外勞排休(阮功體)</t>
    <phoneticPr fontId="26" type="noConversion"/>
  </si>
  <si>
    <t>台籍3+台籍品管1+外勞品管2+外勞備料1+外勞技師3+移工12
外勞共26人-當日0台籍排休
1外勞安排後加工作業(麗麗)
1外勞安排檢查退貨不良品(羅威娜)
1外勞安排擦拭機台(黎庭全)
5外勞排休(阿瑞、莎莉、燕蒂、鄭春乙、阮青越)</t>
    <phoneticPr fontId="26" type="noConversion"/>
  </si>
  <si>
    <t>台籍1+外勞品管2+外勞備料1+外勞技師3+移12
外勞共27人-當日0台籍排休
9外勞排休(羅納、黑丁、蒂妮、威納、木哈曼、阮文通、阮庭平、范忠孝、陳氏雲英)</t>
    <phoneticPr fontId="26" type="noConversion"/>
  </si>
  <si>
    <t>一</t>
    <phoneticPr fontId="26" type="noConversion"/>
  </si>
  <si>
    <t>19:03最後一支交接班</t>
    <phoneticPr fontId="26" type="noConversion"/>
  </si>
  <si>
    <t>06:58最後一支交接班</t>
    <phoneticPr fontId="26" type="noConversion"/>
  </si>
  <si>
    <t>磨文林</t>
    <phoneticPr fontId="26" type="noConversion"/>
  </si>
  <si>
    <t>18:45最後一支交接班</t>
    <phoneticPr fontId="26" type="noConversion"/>
  </si>
  <si>
    <t>02:51-02:55改規格1.2*715,無損耗</t>
    <phoneticPr fontId="26" type="noConversion"/>
  </si>
  <si>
    <t>07:45最後一支交接班</t>
    <phoneticPr fontId="26" type="noConversion"/>
  </si>
  <si>
    <t>19:22最後一支交接班
19:22-19:24改規格1.34*805,無損耗</t>
    <phoneticPr fontId="26" type="noConversion"/>
  </si>
  <si>
    <t>07:30最後一支交接班</t>
    <phoneticPr fontId="26" type="noConversion"/>
  </si>
  <si>
    <t>19:40最後一支計畫性停機
12:44-17:10測試咖色板材後,洗料桶,NG  97KG</t>
    <phoneticPr fontId="26" type="noConversion"/>
  </si>
  <si>
    <t>板材-PET-0.25*840</t>
    <phoneticPr fontId="26" type="noConversion"/>
  </si>
  <si>
    <t>56*9.2</t>
    <phoneticPr fontId="26" type="noConversion"/>
  </si>
  <si>
    <t>板材-PET-0.36*840</t>
    <phoneticPr fontId="26" type="noConversion"/>
  </si>
  <si>
    <t>64*7</t>
    <phoneticPr fontId="26" type="noConversion"/>
  </si>
  <si>
    <t>56*7</t>
    <phoneticPr fontId="26" type="noConversion"/>
  </si>
  <si>
    <t>10*15.3</t>
    <phoneticPr fontId="26" type="noConversion"/>
  </si>
  <si>
    <t>六</t>
    <phoneticPr fontId="26" type="noConversion"/>
  </si>
  <si>
    <t>一</t>
    <phoneticPr fontId="26" type="noConversion"/>
  </si>
  <si>
    <t>10*16.7</t>
    <phoneticPr fontId="26" type="noConversion"/>
  </si>
  <si>
    <t>14*20</t>
    <phoneticPr fontId="26" type="noConversion"/>
  </si>
  <si>
    <t>33*23.3</t>
    <phoneticPr fontId="26" type="noConversion"/>
  </si>
  <si>
    <t>33*22.8</t>
    <phoneticPr fontId="26" type="noConversion"/>
  </si>
  <si>
    <t>二</t>
    <phoneticPr fontId="26" type="noConversion"/>
  </si>
  <si>
    <t>3櫃</t>
    <phoneticPr fontId="26" type="noConversion"/>
  </si>
  <si>
    <t>台籍2+移工2+打料1
外勞共4人-當日0台籍排休、1外勞排休(阮明演)</t>
    <phoneticPr fontId="26" type="noConversion"/>
  </si>
  <si>
    <t>台籍1+移工3+打料0
外勞共4人-當日0台籍排休、1外勞排休(磨文林)</t>
    <phoneticPr fontId="26" type="noConversion"/>
  </si>
  <si>
    <t>台籍3+台籍品管1+外勞品管2+外勞備料1+外勞技師3+移工10
外勞共26人-當日0台籍排休
2外勞安排後加工作業(麗麗、羅威娜)
1外勞安排擦拭機台(阿瑞)
7外勞排休(武氏麗、爾迪、陳文俊、胡越慶、黎庭全、魯迪、農文慶)</t>
    <phoneticPr fontId="26" type="noConversion"/>
  </si>
  <si>
    <t>台籍1+外勞品管2+外勞備料1+外勞技師3+移11
外勞共27人-當日0台籍排休
1外勞安排擦拭機台(黑丁)
9外勞排休(亨利、阮氏商、阮氏慧、丹尼、羅納多、范文魁、山多斯、丁文中、周德方)</t>
    <phoneticPr fontId="26" type="noConversion"/>
  </si>
  <si>
    <t>二</t>
    <phoneticPr fontId="26" type="noConversion"/>
  </si>
  <si>
    <t>13:35-13:38改規格0.8*715,無損耗</t>
    <phoneticPr fontId="26" type="noConversion"/>
  </si>
  <si>
    <t>潘文銅</t>
    <phoneticPr fontId="26" type="noConversion"/>
  </si>
  <si>
    <t>19:30最後一支交接班</t>
    <phoneticPr fontId="26" type="noConversion"/>
  </si>
  <si>
    <t>06:50最後一支交接班</t>
    <phoneticPr fontId="26" type="noConversion"/>
  </si>
  <si>
    <t>20:06最後一支交接班</t>
    <phoneticPr fontId="26" type="noConversion"/>
  </si>
  <si>
    <t>07:55最後一支交接班</t>
    <phoneticPr fontId="26" type="noConversion"/>
  </si>
  <si>
    <t>19:20最後一支交接班</t>
    <phoneticPr fontId="26" type="noConversion"/>
  </si>
  <si>
    <t>02:10-02:12改規格1.2*805,無損耗</t>
    <phoneticPr fontId="26" type="noConversion"/>
  </si>
  <si>
    <t>07:10最後一支交接班</t>
    <phoneticPr fontId="26" type="noConversion"/>
  </si>
  <si>
    <t>14*18</t>
    <phoneticPr fontId="26" type="noConversion"/>
  </si>
  <si>
    <t>14*17.8</t>
    <phoneticPr fontId="26" type="noConversion"/>
  </si>
  <si>
    <t>三</t>
    <phoneticPr fontId="26" type="noConversion"/>
  </si>
  <si>
    <t>台籍2+移工2+打料1
外勞共4人-當日0台籍排休、1外勞排休(潘文銅)</t>
    <phoneticPr fontId="26" type="noConversion"/>
  </si>
  <si>
    <t>台籍1+移工3+打料0
外勞共4人-當日0台籍排休、1外勞排休(阮宏山)</t>
    <phoneticPr fontId="26" type="noConversion"/>
  </si>
  <si>
    <t>台籍3+台籍品管1+外勞品管2+外勞備料1+外勞技師3+移工13
外勞共26人-當日0台籍排休
3外勞安排後加工作業(麗麗、羅威娜、燕蒂)
1外勞安排擦拭機台(鄭春乙)
3外勞排休(蒂兒、陳文越、范維堅)</t>
    <phoneticPr fontId="26" type="noConversion"/>
  </si>
  <si>
    <t>台籍1+外勞品管2+外勞備料1+外勞技師3+移12
外勞共27人-當日0台籍排休
1外勞安排擦拭機台(木哈曼)
8外勞排休(黑丁、蒂妮、杜氏莉、威納、阮庭平、阿爾非、陳氏恒、陶英明)</t>
    <phoneticPr fontId="26" type="noConversion"/>
  </si>
  <si>
    <t>台籍1+移工2
外勞共3人-當日1外勞請假(阿曼)</t>
    <phoneticPr fontId="26" type="noConversion"/>
  </si>
  <si>
    <t>三</t>
    <phoneticPr fontId="26" type="noConversion"/>
  </si>
  <si>
    <t>23:45-23:48改規格1.85*715,無損耗</t>
    <phoneticPr fontId="26" type="noConversion"/>
  </si>
  <si>
    <t>07:01最後一支料桶排空停機,人員安排機台清潔</t>
    <phoneticPr fontId="26" type="noConversion"/>
  </si>
  <si>
    <t>19:50最後一支交接班</t>
    <phoneticPr fontId="26" type="noConversion"/>
  </si>
  <si>
    <t>07:15最後一支交接班</t>
    <phoneticPr fontId="26" type="noConversion"/>
  </si>
  <si>
    <t>磨文林</t>
    <phoneticPr fontId="26" type="noConversion"/>
  </si>
  <si>
    <t>19:20最後一支交接班</t>
    <phoneticPr fontId="26" type="noConversion"/>
  </si>
  <si>
    <t>21:27-21:30改規格1.38*805,無損耗</t>
    <phoneticPr fontId="26" type="noConversion"/>
  </si>
  <si>
    <t>22:57改規格1.2*805,無損耗</t>
    <phoneticPr fontId="26" type="noConversion"/>
  </si>
  <si>
    <t>07:22最後一支料桶排空停機,人員安排機台清潔</t>
    <phoneticPr fontId="26" type="noConversion"/>
  </si>
  <si>
    <t>64*8.7</t>
    <phoneticPr fontId="26" type="noConversion"/>
  </si>
  <si>
    <t>70*9</t>
    <phoneticPr fontId="26" type="noConversion"/>
  </si>
  <si>
    <t>12*16.5</t>
    <phoneticPr fontId="26" type="noConversion"/>
  </si>
  <si>
    <t>14*17.5</t>
    <phoneticPr fontId="26" type="noConversion"/>
  </si>
  <si>
    <t>張士建上班時間:08:00-19:00</t>
    <phoneticPr fontId="26" type="noConversion"/>
  </si>
  <si>
    <t>四</t>
    <phoneticPr fontId="26" type="noConversion"/>
  </si>
  <si>
    <t>台籍3+台籍品管1+外勞品管2+外勞備料1+外勞技師3+移工11
外勞共26人-當日0台籍排休
3外勞安排後加工作業(麗麗、羅威娜、莎莉)
1外勞安排擦拭機台(胡越慶)
4外勞排休(燕蒂、廖德營、鄭春乙、范文光)</t>
    <phoneticPr fontId="26" type="noConversion"/>
  </si>
  <si>
    <t>台籍1+外勞品管2+外勞備料1+外勞技師2+移13
外勞共27人-當日0台籍排休
9外勞排休(亨利、阮氏商、木哈曼、阮文通、丹尼、羅納多、山多斯、范忠孝、陳氏雲英)</t>
    <phoneticPr fontId="26" type="noConversion"/>
  </si>
  <si>
    <t>台籍1+移工3
外勞共3人-當日0外勞排休</t>
    <phoneticPr fontId="26" type="noConversion"/>
  </si>
  <si>
    <t>四</t>
    <phoneticPr fontId="26" type="noConversion"/>
  </si>
  <si>
    <t>14*17</t>
    <phoneticPr fontId="26" type="noConversion"/>
  </si>
  <si>
    <t>14*17.8</t>
    <phoneticPr fontId="26" type="noConversion"/>
  </si>
  <si>
    <t>14*20.3</t>
    <phoneticPr fontId="26" type="noConversion"/>
  </si>
  <si>
    <t>35*16.2</t>
    <phoneticPr fontId="26" type="noConversion"/>
  </si>
  <si>
    <r>
      <t>張士建上班時間:08:00-19:</t>
    </r>
    <r>
      <rPr>
        <sz val="12"/>
        <rFont val="新細明體"/>
        <family val="1"/>
        <charset val="136"/>
      </rPr>
      <t>58</t>
    </r>
    <phoneticPr fontId="26" type="noConversion"/>
  </si>
  <si>
    <t>備註</t>
    <phoneticPr fontId="26" type="noConversion"/>
  </si>
  <si>
    <t>台籍1+打料1
外勞共4人-當日1台籍排休(史豐銘)、3外勞排休(吉內思、阮明演、潘文銅)</t>
    <phoneticPr fontId="26" type="noConversion"/>
  </si>
  <si>
    <t>五</t>
    <phoneticPr fontId="26" type="noConversion"/>
  </si>
  <si>
    <t>3櫃</t>
    <phoneticPr fontId="26" type="noConversion"/>
  </si>
  <si>
    <t>台籍3+台籍品管1+外勞品管1+外勞備料2+外勞技師2+移工15
外勞共26人-當日0台籍排休
4外勞排休(高文龍、莎莉、麗麗、范文光)
1外勞安排後加工作業(羅威娜)</t>
    <phoneticPr fontId="26" type="noConversion"/>
  </si>
  <si>
    <t>台籍1+外勞品管2+外勞備料1+外勞技師1+移15
外勞共27人-當日0台籍排休
8外勞排休(羅納、威納、阮氏慧、阿爾非、范文魁、陳氏恒、丁文中、周德方)</t>
    <phoneticPr fontId="26" type="noConversion"/>
  </si>
  <si>
    <t>五</t>
    <phoneticPr fontId="26" type="noConversion"/>
  </si>
  <si>
    <t>14*20.3</t>
    <phoneticPr fontId="26" type="noConversion"/>
  </si>
  <si>
    <t>14*20</t>
    <phoneticPr fontId="26" type="noConversion"/>
  </si>
  <si>
    <t>21*20</t>
    <phoneticPr fontId="26" type="noConversion"/>
  </si>
  <si>
    <t>張士建上班時間:08:00-19:56</t>
    <phoneticPr fontId="26" type="noConversion"/>
  </si>
  <si>
    <t>一</t>
    <phoneticPr fontId="26" type="noConversion"/>
  </si>
  <si>
    <t>台籍1+移工2+打料0
外勞共4人-當日0台籍排休、2外勞排休(磨文林、阮功體)</t>
    <phoneticPr fontId="26" type="noConversion"/>
  </si>
  <si>
    <t>移工1
外勞共0人-當日0外勞排休</t>
    <phoneticPr fontId="26" type="noConversion"/>
  </si>
  <si>
    <t>台籍3+台籍品管1+外勞品管2+外勞備料2+外勞技師3+移工12
外勞共26人-當日0台籍排休
5外勞排休(武氏麗、阿達、阮青越、魯迪、羅威娜)
1外勞安排後加工作業(麗麗)</t>
    <phoneticPr fontId="26" type="noConversion"/>
  </si>
  <si>
    <t>台籍1+外勞品管2+外勞備料1+外勞技師2+移14
外勞共27人-當日0台籍排休
8外勞排休(黑丁、蒂妮、杜氏莉、木哈曼、阮庭平、丹尼、山多斯、陶英明)</t>
    <phoneticPr fontId="26" type="noConversion"/>
  </si>
  <si>
    <t>一</t>
    <phoneticPr fontId="26" type="noConversion"/>
  </si>
  <si>
    <t>阮明演</t>
    <phoneticPr fontId="26" type="noConversion"/>
  </si>
  <si>
    <t>07:00最後一支交接班</t>
    <phoneticPr fontId="26" type="noConversion"/>
  </si>
  <si>
    <t>阮宏山</t>
    <phoneticPr fontId="26" type="noConversion"/>
  </si>
  <si>
    <t>史豐銘</t>
    <phoneticPr fontId="26" type="noConversion"/>
  </si>
  <si>
    <t>08:0-08:46開電熱,開機NG  37KG
19:45最後一支交接班</t>
    <phoneticPr fontId="26" type="noConversion"/>
  </si>
  <si>
    <t>08:07最後一支交接班</t>
    <phoneticPr fontId="26" type="noConversion"/>
  </si>
  <si>
    <t>盧宇昇</t>
    <phoneticPr fontId="26" type="noConversion"/>
  </si>
  <si>
    <t>林子維</t>
    <phoneticPr fontId="26" type="noConversion"/>
  </si>
  <si>
    <t>19:16最後一支交接班
08:00-10:00開電熱,開機NG  59KG</t>
    <phoneticPr fontId="26" type="noConversion"/>
  </si>
  <si>
    <t>08:03最後一支交接班</t>
    <phoneticPr fontId="26" type="noConversion"/>
  </si>
  <si>
    <t>黃隨貴</t>
    <phoneticPr fontId="26" type="noConversion"/>
  </si>
  <si>
    <t>六</t>
    <phoneticPr fontId="26" type="noConversion"/>
  </si>
  <si>
    <t>64*9</t>
    <phoneticPr fontId="26" type="noConversion"/>
  </si>
  <si>
    <t>64*8.8</t>
    <phoneticPr fontId="26" type="noConversion"/>
  </si>
  <si>
    <t>56*9</t>
    <phoneticPr fontId="26" type="noConversion"/>
  </si>
  <si>
    <t>36*8.6</t>
    <phoneticPr fontId="26" type="noConversion"/>
  </si>
  <si>
    <t>36*9</t>
    <phoneticPr fontId="26" type="noConversion"/>
  </si>
  <si>
    <r>
      <t>張士建上班時間:08:00-1</t>
    </r>
    <r>
      <rPr>
        <sz val="12"/>
        <rFont val="新細明體"/>
        <family val="1"/>
        <charset val="136"/>
      </rPr>
      <t>7:38</t>
    </r>
    <phoneticPr fontId="26" type="noConversion"/>
  </si>
  <si>
    <t>二</t>
    <phoneticPr fontId="26" type="noConversion"/>
  </si>
  <si>
    <t>台籍1+移工2+打料0
外勞共4人-當日0台籍排休、2外勞排休(黃隨貴、阮功體)</t>
    <phoneticPr fontId="26" type="noConversion"/>
  </si>
  <si>
    <t>台籍3+台籍品管1+外勞品管2+外勞備料2+外勞技師3+移工15
外勞共26人-當日0台籍排休
2外勞排休(陳文越、阮玉名)
1外勞安排後加工作業(麗麗)</t>
    <phoneticPr fontId="26" type="noConversion"/>
  </si>
  <si>
    <t>台籍1+外勞品管2+外勞備料1+外勞技師2+移16
外勞共27人-當日0台籍排休
6外勞排休(達馬、亨利、阮氏商、阮文通、羅納多、陳氏恒)</t>
    <phoneticPr fontId="26" type="noConversion"/>
  </si>
  <si>
    <t>二</t>
    <phoneticPr fontId="26" type="noConversion"/>
  </si>
  <si>
    <t>08:00-10:04開電熱、加料開機NG  73KG
19:20最後一支交接班</t>
    <phoneticPr fontId="26" type="noConversion"/>
  </si>
  <si>
    <t>19:54最後一支交接班</t>
    <phoneticPr fontId="26" type="noConversion"/>
  </si>
  <si>
    <t>07:08最後一支交接班</t>
    <phoneticPr fontId="26" type="noConversion"/>
  </si>
  <si>
    <t>18:42最後一支交接班</t>
    <phoneticPr fontId="26" type="noConversion"/>
  </si>
  <si>
    <t>潘文銅</t>
    <phoneticPr fontId="26" type="noConversion"/>
  </si>
  <si>
    <t>06:47最後一支交接班</t>
    <phoneticPr fontId="26" type="noConversion"/>
  </si>
  <si>
    <t>19:30最後一支交接班</t>
    <phoneticPr fontId="26" type="noConversion"/>
  </si>
  <si>
    <t>黎文中</t>
    <phoneticPr fontId="26" type="noConversion"/>
  </si>
  <si>
    <t>20:50改規格0.6*830,無損耗</t>
    <phoneticPr fontId="26" type="noConversion"/>
  </si>
  <si>
    <t>磨文林</t>
    <phoneticPr fontId="26" type="noConversion"/>
  </si>
  <si>
    <t>07:52最後一支交接班</t>
    <phoneticPr fontId="26" type="noConversion"/>
  </si>
  <si>
    <t>PET-90平蓋-空白箱</t>
    <phoneticPr fontId="26" type="noConversion"/>
  </si>
  <si>
    <t>64*8.8</t>
    <phoneticPr fontId="26" type="noConversion"/>
  </si>
  <si>
    <t>64*8.6</t>
    <phoneticPr fontId="26" type="noConversion"/>
  </si>
  <si>
    <t>33*22.4</t>
    <phoneticPr fontId="26" type="noConversion"/>
  </si>
  <si>
    <t>張士建上班時間:08:00-20:19</t>
    <phoneticPr fontId="26" type="noConversion"/>
  </si>
  <si>
    <t>三</t>
    <phoneticPr fontId="26" type="noConversion"/>
  </si>
  <si>
    <t>台籍0+移工3+打料0
外勞共4人-當日1台籍排休(盧宇昇)、1外勞排休(黃隨貴)</t>
    <phoneticPr fontId="26" type="noConversion"/>
  </si>
  <si>
    <t>台籍1+外勞品管2+外勞備料1+外勞技師3+移16
外勞共27人-當日0台籍排休
6外勞排休(威納、范文魁、范忠孝、陳氏雲英、丁文中、周德方)
1外勞安排擦拭機台(阿爾非)</t>
    <phoneticPr fontId="26" type="noConversion"/>
  </si>
  <si>
    <t>三</t>
    <phoneticPr fontId="26" type="noConversion"/>
  </si>
  <si>
    <t>19:02最後一支交接班</t>
    <phoneticPr fontId="26" type="noConversion"/>
  </si>
  <si>
    <t>08:08最後一支交接班</t>
    <phoneticPr fontId="26" type="noConversion"/>
  </si>
  <si>
    <t>19:22最後一支交接班</t>
    <phoneticPr fontId="26" type="noConversion"/>
  </si>
  <si>
    <t>阮功體</t>
    <phoneticPr fontId="26" type="noConversion"/>
  </si>
  <si>
    <t>07:30最後一支交接班</t>
    <phoneticPr fontId="26" type="noConversion"/>
  </si>
  <si>
    <t>19:20最後一支交接班</t>
    <phoneticPr fontId="26" type="noConversion"/>
  </si>
  <si>
    <t>07:57最後一支交接班</t>
    <phoneticPr fontId="26" type="noConversion"/>
  </si>
  <si>
    <t>56*8.8</t>
    <phoneticPr fontId="26" type="noConversion"/>
  </si>
  <si>
    <t>板材-PP-0.55*780</t>
    <phoneticPr fontId="26" type="noConversion"/>
  </si>
  <si>
    <t>56*7.6</t>
    <phoneticPr fontId="26" type="noConversion"/>
  </si>
  <si>
    <t>56*7.5</t>
    <phoneticPr fontId="26" type="noConversion"/>
  </si>
  <si>
    <t>14*20.8</t>
    <phoneticPr fontId="26" type="noConversion"/>
  </si>
  <si>
    <t>14*20.5</t>
    <phoneticPr fontId="26" type="noConversion"/>
  </si>
  <si>
    <r>
      <t>張士建上班時間:08:00-</t>
    </r>
    <r>
      <rPr>
        <sz val="12"/>
        <rFont val="新細明體"/>
        <family val="1"/>
        <charset val="136"/>
      </rPr>
      <t>19:58</t>
    </r>
    <phoneticPr fontId="26" type="noConversion"/>
  </si>
  <si>
    <t>四</t>
    <phoneticPr fontId="26" type="noConversion"/>
  </si>
  <si>
    <t>台籍1+移工4+打料0
外勞共4人-當日1台籍請假(林子維)、0外勞排休</t>
    <phoneticPr fontId="26" type="noConversion"/>
  </si>
  <si>
    <t>台籍1+移工3+打料1
外勞共4人-當日0台籍排休、0外勞排休</t>
    <phoneticPr fontId="26" type="noConversion"/>
  </si>
  <si>
    <t>台籍3+台籍品管1+外勞品管2+外勞備料2+外勞技師3+移工13
外勞共26人-當日0台籍排休
4外勞排休(爾迪、胡越慶、范維堅、范文光)
1外勞安排後加工作業(麗麗)</t>
    <phoneticPr fontId="26" type="noConversion"/>
  </si>
  <si>
    <t>台籍1+外勞品管2+外勞備料1+外勞技師3+移16
外勞共27人-當日0台籍排休
7外勞排休(阮氏慧、木哈曼、阮庭平、丹尼、阿爾非、山多斯、陶英明)
1外勞安排擦拭機台(黑丁)</t>
    <phoneticPr fontId="26" type="noConversion"/>
  </si>
  <si>
    <t>台籍3+台籍品管1+外勞品管2+外勞備料2+外勞技師3+移工13
外勞共25人-當日0台籍排休
3外勞排休(麗麗、阿達、黎庭全)
1外勞安排後加工作業(羅威娜)
1外勞安排擦拭機台(爾迪)</t>
    <phoneticPr fontId="26" type="noConversion"/>
  </si>
  <si>
    <t>四</t>
    <phoneticPr fontId="26" type="noConversion"/>
  </si>
  <si>
    <t>15:45-15:46改規格1.2*805,無損耗</t>
    <phoneticPr fontId="26" type="noConversion"/>
  </si>
  <si>
    <t>19:35最後一支交接班</t>
    <phoneticPr fontId="26" type="noConversion"/>
  </si>
  <si>
    <t>14:02-14:03改規格0.25*840,無損耗</t>
    <phoneticPr fontId="26" type="noConversion"/>
  </si>
  <si>
    <t>20:07最後一支交接班</t>
    <phoneticPr fontId="26" type="noConversion"/>
  </si>
  <si>
    <t>07:12最後一支交接班</t>
    <phoneticPr fontId="26" type="noConversion"/>
  </si>
  <si>
    <t>06:57最後一支交接班</t>
    <phoneticPr fontId="26" type="noConversion"/>
  </si>
  <si>
    <t>吉內思</t>
    <phoneticPr fontId="26" type="noConversion"/>
  </si>
  <si>
    <t>19:36最後一支交接班
08:00-10:22補料、開電熱NG  69KG</t>
    <phoneticPr fontId="26" type="noConversion"/>
  </si>
  <si>
    <t>06:55最後一支交接班</t>
    <phoneticPr fontId="26" type="noConversion"/>
  </si>
  <si>
    <t>PP白</t>
    <phoneticPr fontId="26" type="noConversion"/>
  </si>
  <si>
    <t>PP白</t>
    <phoneticPr fontId="26" type="noConversion"/>
  </si>
  <si>
    <t>11:40-12:23清洗料桶改色,NG  81KG</t>
    <phoneticPr fontId="26" type="noConversion"/>
  </si>
  <si>
    <t>19:23最後一支交接班</t>
    <phoneticPr fontId="26" type="noConversion"/>
  </si>
  <si>
    <t>07:04最後一支交接班</t>
    <phoneticPr fontId="26" type="noConversion"/>
  </si>
  <si>
    <t>14*20.1</t>
    <phoneticPr fontId="26" type="noConversion"/>
  </si>
  <si>
    <t>14*19.2</t>
    <phoneticPr fontId="26" type="noConversion"/>
  </si>
  <si>
    <t>33*23.3</t>
    <phoneticPr fontId="26" type="noConversion"/>
  </si>
  <si>
    <t>當月合理產能</t>
    <phoneticPr fontId="26" type="noConversion"/>
  </si>
  <si>
    <t>出勤時數</t>
    <phoneticPr fontId="26" type="noConversion"/>
  </si>
  <si>
    <t>標準產能</t>
    <phoneticPr fontId="26" type="noConversion"/>
  </si>
  <si>
    <t>杯飲-PET-98-24oz-OCALA箱</t>
    <phoneticPr fontId="26" type="noConversion"/>
  </si>
  <si>
    <t>杯飲-PET-98-12oz-共用箱</t>
    <phoneticPr fontId="26" type="noConversion"/>
  </si>
  <si>
    <t>杯飲-PET-98-20oz-DY模+OCALA箱</t>
    <phoneticPr fontId="26" type="noConversion"/>
  </si>
  <si>
    <t>合理產能</t>
    <phoneticPr fontId="26" type="noConversion"/>
  </si>
  <si>
    <t>實際上班時數</t>
    <phoneticPr fontId="26" type="noConversion"/>
  </si>
  <si>
    <t>未加班(8小時)
A班實際上班數:7.5小時(0.5小時吃飯)
B班實際上班數:7.5小時(0.5小時吃飯)
加班(12小時)
A班實際上班數:11小時(1小時吃飯)
B班實際上班數:11.5小時(0.5小時吃飯)</t>
    <phoneticPr fontId="26" type="noConversion"/>
  </si>
  <si>
    <t>當月合理產能(箱)</t>
    <phoneticPr fontId="26" type="noConversion"/>
  </si>
  <si>
    <t>當月成型數量(箱)</t>
    <phoneticPr fontId="26" type="noConversion"/>
  </si>
  <si>
    <t>當月成型數量(pcs)</t>
    <phoneticPr fontId="26" type="noConversion"/>
  </si>
  <si>
    <t>杯飲-PP-2oz-醬料杯-透-</t>
  </si>
  <si>
    <t>時數</t>
    <phoneticPr fontId="26" type="noConversion"/>
  </si>
  <si>
    <t>杯飲-PET透-98-12</t>
    <phoneticPr fontId="26" type="noConversion"/>
  </si>
  <si>
    <t>B班加班</t>
  </si>
  <si>
    <t>B班加班</t>
    <phoneticPr fontId="26" type="noConversion"/>
  </si>
  <si>
    <t>A班加班</t>
  </si>
  <si>
    <t>A班加班</t>
    <phoneticPr fontId="26" type="noConversion"/>
  </si>
  <si>
    <t>未加班</t>
  </si>
  <si>
    <t>未加班</t>
    <phoneticPr fontId="26" type="noConversion"/>
  </si>
  <si>
    <t>杯飲-PET透-98-16</t>
    <phoneticPr fontId="26" type="noConversion"/>
  </si>
  <si>
    <t>杯飲-PET透-98-20</t>
    <phoneticPr fontId="26" type="noConversion"/>
  </si>
  <si>
    <t>杯飲-PET透-98-24</t>
    <phoneticPr fontId="26" type="noConversion"/>
  </si>
  <si>
    <t>杯飲-PET透-92-11</t>
    <phoneticPr fontId="26" type="noConversion"/>
  </si>
  <si>
    <t>杯飲-PET透92-16</t>
    <phoneticPr fontId="26" type="noConversion"/>
  </si>
  <si>
    <t>杯飲-PET透92-20</t>
    <phoneticPr fontId="26" type="noConversion"/>
  </si>
  <si>
    <t>杯飲-PP透360-1000入</t>
    <phoneticPr fontId="26" type="noConversion"/>
  </si>
  <si>
    <t>杯飲-PP透360-2000入</t>
    <phoneticPr fontId="26" type="noConversion"/>
  </si>
  <si>
    <t>杯飲-PP透500-1000入</t>
  </si>
  <si>
    <t>杯飲-PP透500-1000入</t>
    <phoneticPr fontId="26" type="noConversion"/>
  </si>
  <si>
    <t>杯飲-PP透500-2000入</t>
    <phoneticPr fontId="26" type="noConversion"/>
  </si>
  <si>
    <t>杯飲-PP透700</t>
  </si>
  <si>
    <t>杯飲-PP透750</t>
  </si>
  <si>
    <t>開機時間
合理產能</t>
    <phoneticPr fontId="26" type="noConversion"/>
  </si>
  <si>
    <t>開機時間
達成率</t>
    <phoneticPr fontId="26" type="noConversion"/>
  </si>
  <si>
    <t>是否加班</t>
    <phoneticPr fontId="26" type="noConversion"/>
  </si>
  <si>
    <t>PET-98-12oz</t>
    <phoneticPr fontId="26" type="noConversion"/>
  </si>
  <si>
    <t>PET-98-16oz</t>
    <phoneticPr fontId="26" type="noConversion"/>
  </si>
  <si>
    <t>PET-98-20oz</t>
    <phoneticPr fontId="26" type="noConversion"/>
  </si>
  <si>
    <t>PET-98-24oz</t>
    <phoneticPr fontId="26" type="noConversion"/>
  </si>
  <si>
    <t>杯飲-PET透-92-16</t>
    <phoneticPr fontId="26" type="noConversion"/>
  </si>
  <si>
    <t>杯飲-PP-Deli-117-24</t>
  </si>
  <si>
    <t>杯飲-PET透-107-32-300入</t>
    <phoneticPr fontId="26" type="noConversion"/>
  </si>
  <si>
    <t>杯飲-PET透-107-32-500入</t>
    <phoneticPr fontId="26" type="noConversion"/>
  </si>
  <si>
    <t>德暘印刷機生產日報表-生產線405</t>
    <phoneticPr fontId="26" type="noConversion"/>
  </si>
  <si>
    <t>PP-1.5oz-醬料杯</t>
    <phoneticPr fontId="26" type="noConversion"/>
  </si>
  <si>
    <t>PP-2oz-醬料杯</t>
    <phoneticPr fontId="26" type="noConversion"/>
  </si>
  <si>
    <t>PET-92-9oz</t>
    <phoneticPr fontId="26" type="noConversion"/>
  </si>
  <si>
    <t>PET-92-12oz</t>
    <phoneticPr fontId="26" type="noConversion"/>
  </si>
  <si>
    <t>PP-90-16oz</t>
    <phoneticPr fontId="26" type="noConversion"/>
  </si>
  <si>
    <t>PP-90-22oz</t>
    <phoneticPr fontId="26" type="noConversion"/>
  </si>
  <si>
    <t>PP-Y700</t>
    <phoneticPr fontId="26" type="noConversion"/>
  </si>
  <si>
    <t>PP-Y750</t>
    <phoneticPr fontId="26" type="noConversion"/>
  </si>
  <si>
    <t>PP-M700</t>
    <phoneticPr fontId="26" type="noConversion"/>
  </si>
  <si>
    <t>PP-M750</t>
    <phoneticPr fontId="26" type="noConversion"/>
  </si>
  <si>
    <t>醬料杯-PP-1.5oz</t>
    <phoneticPr fontId="26" type="noConversion"/>
  </si>
  <si>
    <t>醬料杯-PP-2oz</t>
    <phoneticPr fontId="26" type="noConversion"/>
  </si>
  <si>
    <t>醬料杯-PP-3.25oz</t>
    <phoneticPr fontId="26" type="noConversion"/>
  </si>
  <si>
    <t>醬料杯-SPP-黑色霧面-4oz</t>
  </si>
  <si>
    <t>醬料杯-PP-5.5oz</t>
  </si>
  <si>
    <t>開機天數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</si>
  <si>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生產線503</t>
    </r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</si>
  <si>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生產線306</t>
    </r>
    <phoneticPr fontId="26" type="noConversion"/>
  </si>
  <si>
    <t>A班月統計表</t>
    <phoneticPr fontId="26" type="noConversion"/>
  </si>
  <si>
    <t>B班月統計表</t>
    <phoneticPr fontId="26" type="noConversion"/>
  </si>
  <si>
    <t>上班總時數</t>
    <phoneticPr fontId="26" type="noConversion"/>
  </si>
  <si>
    <t>生產總時數</t>
    <phoneticPr fontId="26" type="noConversion"/>
  </si>
  <si>
    <t>上工率</t>
    <phoneticPr fontId="26" type="noConversion"/>
  </si>
  <si>
    <t>停機總時數</t>
    <phoneticPr fontId="26" type="noConversion"/>
  </si>
  <si>
    <r>
      <t>德暘成型機生產日報表-</t>
    </r>
    <r>
      <rPr>
        <sz val="16"/>
        <color indexed="30"/>
        <rFont val="微軟正黑體"/>
        <family val="2"/>
        <charset val="136"/>
      </rPr>
      <t>生產線502</t>
    </r>
    <phoneticPr fontId="26" type="noConversion"/>
  </si>
  <si>
    <t>PET-98平蓋-Winsight箱</t>
    <phoneticPr fontId="26" type="noConversion"/>
  </si>
  <si>
    <t>杯飲-PET-98凸蓋-Winsight箱</t>
    <phoneticPr fontId="26" type="noConversion"/>
  </si>
  <si>
    <t>板材-PET-0.3*900</t>
    <phoneticPr fontId="26" type="noConversion"/>
  </si>
  <si>
    <t>PET-107平蓋-Winsight箱</t>
    <phoneticPr fontId="26" type="noConversion"/>
  </si>
  <si>
    <t>PET-107凸蓋-Winsight箱</t>
    <phoneticPr fontId="26" type="noConversion"/>
  </si>
  <si>
    <t>板材-PP-0.34*800</t>
    <phoneticPr fontId="26" type="noConversion"/>
  </si>
  <si>
    <t>湯杯蓋-PP520-Wellcare箱</t>
    <phoneticPr fontId="26" type="noConversion"/>
  </si>
  <si>
    <t>板材-PET-0.48*870</t>
    <phoneticPr fontId="26" type="noConversion"/>
  </si>
  <si>
    <t>板材-PET-0.45*870</t>
    <phoneticPr fontId="26" type="noConversion"/>
  </si>
  <si>
    <t>板材-PET-0.34*720</t>
    <phoneticPr fontId="26" type="noConversion"/>
  </si>
  <si>
    <t>湯杯蓋-PP520--公版箱</t>
    <phoneticPr fontId="26" type="noConversion"/>
  </si>
  <si>
    <t>板材-PET-0.36*680</t>
    <phoneticPr fontId="26" type="noConversion"/>
  </si>
  <si>
    <t>PET-92凸平蓋-karat箱</t>
    <phoneticPr fontId="26" type="noConversion"/>
  </si>
  <si>
    <t>板材-PP-0.5*780</t>
    <phoneticPr fontId="26" type="noConversion"/>
  </si>
  <si>
    <t>板材-PP-0.55*830</t>
    <phoneticPr fontId="26" type="noConversion"/>
  </si>
  <si>
    <t>咖啡杯蓋-PP90-黑+516B+KARAT箱+平口式</t>
    <phoneticPr fontId="26" type="noConversion"/>
  </si>
  <si>
    <t>咖啡杯蓋-PP90-白+GREEN箱+掀蓋式</t>
    <phoneticPr fontId="26" type="noConversion"/>
  </si>
  <si>
    <t>咖啡杯蓋-PP90-黑+Wellcare箱+掀蓋式</t>
    <phoneticPr fontId="26" type="noConversion"/>
  </si>
  <si>
    <t>板材-PET-0.25*920</t>
    <phoneticPr fontId="26" type="noConversion"/>
  </si>
  <si>
    <t>餐盒-PET-蛋盒第一套</t>
    <phoneticPr fontId="26" type="noConversion"/>
  </si>
  <si>
    <t>板材-PET-0.28*920</t>
    <phoneticPr fontId="26" type="noConversion"/>
  </si>
  <si>
    <t>PET-98平蓋</t>
    <phoneticPr fontId="26" type="noConversion"/>
  </si>
  <si>
    <t>湯杯蓋-PP850-VB箱</t>
    <phoneticPr fontId="26" type="noConversion"/>
  </si>
  <si>
    <t>PP-165湯杯蓋-公版箱</t>
    <phoneticPr fontId="26" type="noConversion"/>
  </si>
  <si>
    <t>PET-板材1.88*715</t>
    <phoneticPr fontId="26" type="noConversion"/>
  </si>
  <si>
    <t>PET-板材-0.8*715</t>
    <phoneticPr fontId="26" type="noConversion"/>
  </si>
  <si>
    <t>PP-板材0.8*715</t>
    <phoneticPr fontId="26" type="noConversion"/>
  </si>
  <si>
    <t>杯飲-PP-Deli-117-8oz-Karat箱</t>
    <phoneticPr fontId="26" type="noConversion"/>
  </si>
  <si>
    <t>PP-板材1.15*715</t>
    <phoneticPr fontId="26" type="noConversion"/>
  </si>
  <si>
    <t>杯飲-PP-Deli-117-16oz-Karat箱</t>
    <phoneticPr fontId="26" type="noConversion"/>
  </si>
  <si>
    <t>杯飲-PP-Deli-117-24oz-Karat箱</t>
    <phoneticPr fontId="26" type="noConversion"/>
  </si>
  <si>
    <t>PP-板材0.78*715</t>
    <phoneticPr fontId="26" type="noConversion"/>
  </si>
  <si>
    <t>PP-板材0.72*715</t>
    <phoneticPr fontId="26" type="noConversion"/>
  </si>
  <si>
    <t>PP-板材1.0*715</t>
    <phoneticPr fontId="26" type="noConversion"/>
  </si>
  <si>
    <t>杯飲-PP-Y360-公版箱</t>
    <phoneticPr fontId="26" type="noConversion"/>
  </si>
  <si>
    <t>杯飲-PP-Y500-公版箱</t>
    <phoneticPr fontId="26" type="noConversion"/>
  </si>
  <si>
    <t>PP-板材1.0*730</t>
    <phoneticPr fontId="26" type="noConversion"/>
  </si>
  <si>
    <t>PP-板材1.36*715</t>
    <phoneticPr fontId="26" type="noConversion"/>
  </si>
  <si>
    <t>杯飲-PP-Q700-空白箱-未裝袋</t>
    <phoneticPr fontId="26" type="noConversion"/>
  </si>
  <si>
    <t>PP-板材1.22*715</t>
    <phoneticPr fontId="26" type="noConversion"/>
  </si>
  <si>
    <t>杯飲-PP-M700-公版箱</t>
    <phoneticPr fontId="26" type="noConversion"/>
  </si>
  <si>
    <t>杯飲-PP-Y750-公版箱</t>
    <phoneticPr fontId="26" type="noConversion"/>
  </si>
  <si>
    <t>杯飲-PP-M750-公版箱</t>
    <phoneticPr fontId="26" type="noConversion"/>
  </si>
  <si>
    <t>醬料杯-PP-1.5oz</t>
  </si>
  <si>
    <t>醬料杯-PP-2oz</t>
  </si>
  <si>
    <t>醬料杯-PP-3.25oz</t>
  </si>
  <si>
    <t>PET-98-12oz</t>
  </si>
  <si>
    <t>PET-98-16oz</t>
  </si>
  <si>
    <t>PET-98-20oz</t>
  </si>
  <si>
    <t>PET-98-24oz</t>
  </si>
  <si>
    <t>杯飲-PP透360-2000入</t>
  </si>
  <si>
    <t>杯飲-PP透500-2000入</t>
  </si>
  <si>
    <t>杯飲-PET透-92-20</t>
    <phoneticPr fontId="26" type="noConversion"/>
  </si>
  <si>
    <t>杯飲-PET透-107-32-300入</t>
  </si>
  <si>
    <t>杯飲-PP透360-1000入</t>
  </si>
  <si>
    <r>
      <t>德暘成型機生產日報表-</t>
    </r>
    <r>
      <rPr>
        <sz val="16"/>
        <color indexed="30"/>
        <rFont val="微軟正黑體"/>
        <family val="2"/>
        <charset val="136"/>
      </rPr>
      <t>生產線501</t>
    </r>
    <phoneticPr fontId="26" type="noConversion"/>
  </si>
  <si>
    <t>PP-1.5oz-醬料杯</t>
  </si>
  <si>
    <t>PP-2oz-醬料杯</t>
  </si>
  <si>
    <t>PET-92-9oz</t>
  </si>
  <si>
    <t>PET-92-12oz</t>
  </si>
  <si>
    <t>PP-90-16oz</t>
  </si>
  <si>
    <t>PP-Y700</t>
  </si>
  <si>
    <t>PP-Y750</t>
  </si>
  <si>
    <t>PP-M700</t>
  </si>
  <si>
    <t>PP-M750</t>
  </si>
  <si>
    <t>SPP</t>
    <phoneticPr fontId="26" type="noConversion"/>
  </si>
  <si>
    <t>板材-PET-0.25*900</t>
    <phoneticPr fontId="26" type="noConversion"/>
  </si>
  <si>
    <t>PP-165凸蓋-空白箱</t>
    <phoneticPr fontId="26" type="noConversion"/>
  </si>
  <si>
    <t>杯飲-PET-78-8oz</t>
  </si>
  <si>
    <t>杯飲-PET-78-10oz</t>
    <phoneticPr fontId="26" type="noConversion"/>
  </si>
  <si>
    <t>杯飲-PET-92-9oz-空白箱</t>
    <phoneticPr fontId="26" type="noConversion"/>
  </si>
  <si>
    <t>杯飲-PET-92-9oz</t>
  </si>
  <si>
    <t>杯飲-PET-92-9oz</t>
    <phoneticPr fontId="26" type="noConversion"/>
  </si>
  <si>
    <t>杯飲-PET-92-11oz</t>
  </si>
  <si>
    <t>杯飲-PET-92-12oz-SPC杯型+DK箱+未裝袋</t>
    <phoneticPr fontId="26" type="noConversion"/>
  </si>
  <si>
    <t>杯飲-PET-92-12oz</t>
  </si>
  <si>
    <t>杯飲-PET-98-16oz</t>
    <phoneticPr fontId="26" type="noConversion"/>
  </si>
  <si>
    <t>杯飲-PET-92-12oz</t>
    <phoneticPr fontId="26" type="noConversion"/>
  </si>
  <si>
    <t>PET-板材1.38*715</t>
    <phoneticPr fontId="26" type="noConversion"/>
  </si>
  <si>
    <t>杯飲-PET-98-16oz-</t>
    <phoneticPr fontId="26" type="noConversion"/>
  </si>
  <si>
    <t>杯飲-PET-92-11oz</t>
    <phoneticPr fontId="26" type="noConversion"/>
  </si>
  <si>
    <t>杯飲-PET-92-16oz</t>
    <phoneticPr fontId="26" type="noConversion"/>
  </si>
  <si>
    <t>杯飲-PET-92-20oz</t>
    <phoneticPr fontId="26" type="noConversion"/>
  </si>
  <si>
    <t>杯飲-PET-78-8oz</t>
    <phoneticPr fontId="26" type="noConversion"/>
  </si>
  <si>
    <t>杯飲-PET-78-9oz</t>
    <phoneticPr fontId="26" type="noConversion"/>
  </si>
  <si>
    <t>杯飲-PP-Y25</t>
    <phoneticPr fontId="26" type="noConversion"/>
  </si>
  <si>
    <t>杯飲-PP-Y33</t>
    <phoneticPr fontId="26" type="noConversion"/>
  </si>
  <si>
    <t>杯飲-PP-Y360</t>
    <phoneticPr fontId="26" type="noConversion"/>
  </si>
  <si>
    <t>杯飲-PP-Y500</t>
    <phoneticPr fontId="26" type="noConversion"/>
  </si>
  <si>
    <t>杯飲-PP-Y700</t>
    <phoneticPr fontId="26" type="noConversion"/>
  </si>
  <si>
    <t>杯飲-PP-Q360</t>
    <phoneticPr fontId="26" type="noConversion"/>
  </si>
  <si>
    <t>杯飲-PP-Q500</t>
    <phoneticPr fontId="26" type="noConversion"/>
  </si>
  <si>
    <t>杯飲-PP-Q700</t>
    <phoneticPr fontId="26" type="noConversion"/>
  </si>
  <si>
    <t>杯飲-PP-M500</t>
    <phoneticPr fontId="26" type="noConversion"/>
  </si>
  <si>
    <t>杯飲-PP-M700</t>
    <phoneticPr fontId="26" type="noConversion"/>
  </si>
  <si>
    <t>杯飲-PP-Y750</t>
    <phoneticPr fontId="26" type="noConversion"/>
  </si>
  <si>
    <t>杯飲-PP-M750</t>
    <phoneticPr fontId="26" type="noConversion"/>
  </si>
  <si>
    <t>杯飲-PP-Deli-117-8oz</t>
    <phoneticPr fontId="26" type="noConversion"/>
  </si>
  <si>
    <t>杯飲-PP-Deli-117-16oz</t>
    <phoneticPr fontId="26" type="noConversion"/>
  </si>
  <si>
    <t>杯飲-PP-Deli-117-24oz</t>
    <phoneticPr fontId="26" type="noConversion"/>
  </si>
  <si>
    <t>杯飲-PP-0.75oz</t>
    <phoneticPr fontId="26" type="noConversion"/>
  </si>
  <si>
    <t>杯飲-PET-107-32oz</t>
    <phoneticPr fontId="26" type="noConversion"/>
  </si>
  <si>
    <t>杯飲-PET-107-32oz-空白模+空白箱</t>
    <phoneticPr fontId="26" type="noConversion"/>
  </si>
  <si>
    <t>杯飲-PET-92-16oz-空白模+空白箱</t>
    <phoneticPr fontId="26" type="noConversion"/>
  </si>
  <si>
    <t>杯飲-PET-92-20oz-空白模+空白箱</t>
    <phoneticPr fontId="26" type="noConversion"/>
  </si>
  <si>
    <t>湯匙-PP-白湯匙</t>
    <phoneticPr fontId="26" type="noConversion"/>
  </si>
  <si>
    <t>咖啡杯蓋-PP80-黑</t>
    <phoneticPr fontId="26" type="noConversion"/>
  </si>
  <si>
    <t>湯杯蓋-PP2632</t>
    <phoneticPr fontId="26" type="noConversion"/>
  </si>
  <si>
    <t>湯杯蓋-PP520</t>
    <phoneticPr fontId="26" type="noConversion"/>
  </si>
  <si>
    <t>PET-PL200-2oz平蓋</t>
    <phoneticPr fontId="26" type="noConversion"/>
  </si>
  <si>
    <t>咖啡杯蓋-PP90-白</t>
    <phoneticPr fontId="26" type="noConversion"/>
  </si>
  <si>
    <t>咖啡杯蓋-PP90-黑</t>
    <phoneticPr fontId="26" type="noConversion"/>
  </si>
  <si>
    <t>PET-92平蓋</t>
    <phoneticPr fontId="26" type="noConversion"/>
  </si>
  <si>
    <t>PET-92凸平蓋</t>
    <phoneticPr fontId="26" type="noConversion"/>
  </si>
  <si>
    <t>杯飲-PET-98凸蓋</t>
    <phoneticPr fontId="26" type="noConversion"/>
  </si>
  <si>
    <t>湯杯蓋-PP850</t>
    <phoneticPr fontId="26" type="noConversion"/>
  </si>
  <si>
    <t>PP-Deli-117蓋</t>
    <phoneticPr fontId="26" type="noConversion"/>
  </si>
  <si>
    <t>PP-透-KDL96蓋</t>
    <phoneticPr fontId="26" type="noConversion"/>
  </si>
  <si>
    <t>湯杯蓋-PP750</t>
    <phoneticPr fontId="26" type="noConversion"/>
  </si>
  <si>
    <t>湯杯蓋-PP390</t>
    <phoneticPr fontId="26" type="noConversion"/>
  </si>
  <si>
    <t>PP-165湯杯蓋</t>
    <phoneticPr fontId="26" type="noConversion"/>
  </si>
  <si>
    <t>PET-62醬料杯蓋</t>
    <phoneticPr fontId="26" type="noConversion"/>
  </si>
  <si>
    <t>PET-75平蓋</t>
    <phoneticPr fontId="26" type="noConversion"/>
  </si>
  <si>
    <t>杯飲-PET-92平蓋</t>
    <phoneticPr fontId="26" type="noConversion"/>
  </si>
  <si>
    <t>杯飲-PET-92凸蓋</t>
    <phoneticPr fontId="26" type="noConversion"/>
  </si>
  <si>
    <t>PET-98就口杯蓋</t>
    <phoneticPr fontId="26" type="noConversion"/>
  </si>
  <si>
    <t>PET-90平蓋</t>
    <phoneticPr fontId="26" type="noConversion"/>
  </si>
  <si>
    <t>PET-45平蓋</t>
    <phoneticPr fontId="26" type="noConversion"/>
  </si>
  <si>
    <t>PET-107平蓋</t>
    <phoneticPr fontId="26" type="noConversion"/>
  </si>
  <si>
    <t>PET-107凸蓋</t>
    <phoneticPr fontId="26" type="noConversion"/>
  </si>
  <si>
    <t>PET-105平蓋-十字孔</t>
    <phoneticPr fontId="26" type="noConversion"/>
  </si>
  <si>
    <t>杯飲-PP-1oz-醬料杯-透</t>
    <phoneticPr fontId="26" type="noConversion"/>
  </si>
  <si>
    <t>杯飲-PP-0.75oz-醬料杯-透</t>
    <phoneticPr fontId="26" type="noConversion"/>
  </si>
  <si>
    <t>杯飲-PP-Deli-32oz-透</t>
    <phoneticPr fontId="26" type="noConversion"/>
  </si>
  <si>
    <t>蛋盒-PET蛋盒</t>
  </si>
  <si>
    <t>蛋盒-PET蛋盒</t>
    <phoneticPr fontId="26" type="noConversion"/>
  </si>
  <si>
    <t>湯杯蓋-PP520</t>
  </si>
  <si>
    <t>湯杯蓋-PP520</t>
    <phoneticPr fontId="26" type="noConversion"/>
  </si>
  <si>
    <t>湯杯蓋-PP850</t>
  </si>
  <si>
    <t>PP-165湯杯蓋</t>
  </si>
  <si>
    <t>PP-165凸蓋</t>
  </si>
  <si>
    <t>PP-165凸蓋</t>
    <phoneticPr fontId="26" type="noConversion"/>
  </si>
  <si>
    <t>湯杯蓋-PP750</t>
  </si>
  <si>
    <t>湯杯蓋-PP750</t>
    <phoneticPr fontId="26" type="noConversion"/>
  </si>
  <si>
    <t>餐盒-PET-蕃茄盒</t>
    <phoneticPr fontId="26" type="noConversion"/>
  </si>
  <si>
    <t>杯飲-PET透-92-9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</si>
</sst>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76" formatCode="m/d;@"/>
    <numFmt numFmtId="177" formatCode="0_ "/>
    <numFmt numFmtId="178" formatCode="#,##0_ "/>
    <numFmt numFmtId="179" formatCode="#,##0.00_ "/>
    <numFmt numFmtId="180" formatCode="0.00_ "/>
    <numFmt numFmtId="181" formatCode="&quot;$&quot;#,##0"/>
    <numFmt numFmtId="182" formatCode="#,##0_);[Red]\(#,##0\)"/>
    <numFmt numFmtId="183" formatCode="0.00_);[Red]\(0.00\)"/>
    <numFmt numFmtId="184" formatCode="0.0_);[Red]\(0.0\)"/>
    <numFmt numFmtId="185" formatCode="0_);[Red]\(0\)"/>
    <numFmt numFmtId="186" formatCode="_-* #,##0_-;\-* #,##0_-;_-* &quot;-&quot;??_-;_-@_-"/>
    <numFmt numFmtId="187" formatCode="0.0%"/>
    <numFmt numFmtId="188" formatCode="_-* #,##0.0_-;\-* #,##0.0_-;_-* &quot;-&quot;??_-;_-@_-"/>
    <numFmt numFmtId="189" formatCode="0.0_ "/>
    <numFmt numFmtId="190" formatCode="yyyy/m/d;@"/>
    <numFmt numFmtId="191" formatCode="yyyy&quot;年&quot;m&quot;月&quot;d&quot;日&quot;;@"/>
    <numFmt numFmtId="192" formatCode="0;[Red]0"/>
    <numFmt numFmtId="193" formatCode="General&quot;支&quot;"/>
    <numFmt numFmtId="194" formatCode="_-&quot;$&quot;* #,##0_-;\-&quot;$&quot;* #,##0_-;_-&quot;$&quot;* &quot;-&quot;??_-;_-@_-"/>
  </numFmts>
  <fonts count="66"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8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1"/>
      <name val="新細明體"/>
      <family val="1"/>
      <charset val="136"/>
    </font>
    <font>
      <sz val="10"/>
      <color indexed="8"/>
      <name val="新細明體"/>
      <family val="1"/>
      <charset val="136"/>
    </font>
    <font>
      <sz val="10"/>
      <name val="新細明體"/>
      <family val="1"/>
      <charset val="136"/>
    </font>
    <font>
      <sz val="12"/>
      <color indexed="30"/>
      <name val="新細明體"/>
      <family val="1"/>
      <charset val="136"/>
    </font>
    <font>
      <sz val="18"/>
      <name val="標楷體"/>
      <family val="4"/>
      <charset val="136"/>
    </font>
    <font>
      <sz val="14"/>
      <name val="新細明體"/>
      <family val="1"/>
      <charset val="136"/>
    </font>
    <font>
      <b/>
      <sz val="12"/>
      <name val="新細明體"/>
      <family val="1"/>
      <charset val="136"/>
    </font>
    <font>
      <sz val="16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29"/>
      <name val="新細明體"/>
      <family val="1"/>
      <charset val="136"/>
    </font>
    <font>
      <b/>
      <sz val="11"/>
      <name val="新細明體"/>
      <family val="1"/>
      <charset val="136"/>
    </font>
    <font>
      <b/>
      <sz val="24"/>
      <name val="新細明體"/>
      <family val="1"/>
      <charset val="136"/>
    </font>
    <font>
      <sz val="10"/>
      <color indexed="18"/>
      <name val="新細明體"/>
      <family val="1"/>
      <charset val="136"/>
    </font>
    <font>
      <sz val="12"/>
      <color indexed="23"/>
      <name val="新細明體"/>
      <family val="1"/>
      <charset val="136"/>
    </font>
    <font>
      <b/>
      <sz val="14"/>
      <color indexed="10"/>
      <name val="新細明體"/>
      <family val="1"/>
      <charset val="136"/>
    </font>
    <font>
      <b/>
      <sz val="12"/>
      <color indexed="17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b/>
      <sz val="14"/>
      <name val="新細明體"/>
      <family val="1"/>
      <charset val="136"/>
    </font>
    <font>
      <sz val="10"/>
      <color indexed="10"/>
      <name val="新細明體"/>
      <family val="1"/>
      <charset val="136"/>
    </font>
    <font>
      <b/>
      <sz val="10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6"/>
      <color indexed="30"/>
      <name val="新細明體"/>
      <family val="1"/>
      <charset val="136"/>
    </font>
    <font>
      <sz val="9"/>
      <name val="宋体"/>
    </font>
    <font>
      <sz val="12"/>
      <name val="新細明體"/>
      <family val="1"/>
      <charset val="136"/>
    </font>
    <font>
      <sz val="9"/>
      <color indexed="81"/>
      <name val="新細明體"/>
      <family val="1"/>
      <charset val="136"/>
    </font>
    <font>
      <b/>
      <sz val="9"/>
      <color indexed="81"/>
      <name val="新細明體"/>
      <family val="1"/>
      <charset val="136"/>
    </font>
    <font>
      <sz val="12"/>
      <name val="微軟正黑體"/>
      <family val="2"/>
      <charset val="136"/>
    </font>
    <font>
      <sz val="16"/>
      <name val="微軟正黑體"/>
      <family val="2"/>
      <charset val="136"/>
    </font>
    <font>
      <sz val="16"/>
      <color indexed="30"/>
      <name val="微軟正黑體"/>
      <family val="2"/>
      <charset val="136"/>
    </font>
    <font>
      <sz val="12"/>
      <color indexed="8"/>
      <name val="微軟正黑體"/>
      <family val="2"/>
      <charset val="136"/>
    </font>
    <font>
      <sz val="11"/>
      <name val="微軟正黑體"/>
      <family val="2"/>
      <charset val="136"/>
    </font>
    <font>
      <sz val="10"/>
      <name val="微軟正黑體"/>
      <family val="2"/>
      <charset val="136"/>
    </font>
    <font>
      <sz val="12"/>
      <color indexed="10"/>
      <name val="微軟正黑體"/>
      <family val="2"/>
      <charset val="136"/>
    </font>
    <font>
      <sz val="9"/>
      <color indexed="81"/>
      <name val="宋体"/>
    </font>
    <font>
      <b/>
      <sz val="9"/>
      <color indexed="81"/>
      <name val="宋体"/>
    </font>
    <font>
      <sz val="12"/>
      <color indexed="17"/>
      <name val="微軟正黑體"/>
      <family val="2"/>
      <charset val="136"/>
    </font>
    <font>
      <sz val="14"/>
      <name val="微軟正黑體"/>
      <family val="2"/>
      <charset val="136"/>
    </font>
    <font>
      <b/>
      <sz val="24"/>
      <name val="微軟正黑體"/>
      <family val="2"/>
      <charset val="136"/>
    </font>
    <font>
      <sz val="10"/>
      <color indexed="18"/>
      <name val="微軟正黑體"/>
      <family val="2"/>
      <charset val="136"/>
    </font>
    <font>
      <sz val="12"/>
      <color indexed="62"/>
      <name val="微軟正黑體"/>
      <family val="2"/>
      <charset val="136"/>
    </font>
    <font>
      <sz val="12"/>
      <color indexed="18"/>
      <name val="微軟正黑體"/>
      <family val="2"/>
      <charset val="136"/>
    </font>
    <font>
      <sz val="12"/>
      <color indexed="12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color indexed="23"/>
      <name val="微軟正黑體"/>
      <family val="2"/>
      <charset val="136"/>
    </font>
    <font>
      <b/>
      <sz val="14"/>
      <color indexed="10"/>
      <name val="微軟正黑體"/>
      <family val="2"/>
      <charset val="136"/>
    </font>
    <font>
      <b/>
      <sz val="12"/>
      <color indexed="10"/>
      <name val="微軟正黑體"/>
      <family val="2"/>
      <charset val="136"/>
    </font>
    <font>
      <b/>
      <sz val="12"/>
      <color indexed="17"/>
      <name val="微軟正黑體"/>
      <family val="2"/>
      <charset val="136"/>
    </font>
    <font>
      <b/>
      <sz val="14"/>
      <name val="微軟正黑體"/>
      <family val="2"/>
      <charset val="136"/>
    </font>
    <font>
      <sz val="12"/>
      <color indexed="9"/>
      <name val="微軟正黑體"/>
      <family val="2"/>
      <charset val="136"/>
    </font>
    <font>
      <sz val="12"/>
      <name val="Microsoft JhengHei"/>
      <family val="2"/>
      <charset val="136"/>
    </font>
    <font>
      <sz val="11"/>
      <color theme="1"/>
      <name val="新細明體"/>
      <family val="1"/>
      <charset val="136"/>
      <scheme val="minor"/>
    </font>
    <font>
      <sz val="10"/>
      <color theme="1"/>
      <name val="新細明體"/>
      <family val="1"/>
      <charset val="136"/>
    </font>
    <font>
      <sz val="11"/>
      <color theme="1"/>
      <name val="新細明體"/>
      <family val="1"/>
      <charset val="136"/>
    </font>
    <font>
      <sz val="12"/>
      <color rgb="FFFF0000"/>
      <name val="微軟正黑體"/>
      <family val="2"/>
      <charset val="136"/>
    </font>
    <font>
      <sz val="12"/>
      <color theme="1"/>
      <name val="新細明體"/>
      <family val="1"/>
      <charset val="136"/>
    </font>
    <font>
      <sz val="12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1"/>
      <color theme="1"/>
      <name val="微軟正黑體"/>
      <family val="2"/>
      <charset val="136"/>
    </font>
  </fonts>
  <fills count="2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52"/>
      </right>
      <top style="medium">
        <color indexed="52"/>
      </top>
      <bottom style="medium">
        <color indexed="5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48"/>
      </right>
      <top style="thick">
        <color indexed="48"/>
      </top>
      <bottom/>
      <diagonal/>
    </border>
    <border>
      <left/>
      <right style="thick">
        <color indexed="48"/>
      </right>
      <top style="thick">
        <color indexed="48"/>
      </top>
      <bottom style="thin">
        <color indexed="64"/>
      </bottom>
      <diagonal/>
    </border>
    <border>
      <left/>
      <right style="thick">
        <color indexed="48"/>
      </right>
      <top/>
      <bottom style="thick">
        <color indexed="48"/>
      </bottom>
      <diagonal/>
    </border>
    <border>
      <left/>
      <right style="thick">
        <color indexed="48"/>
      </right>
      <top style="double">
        <color indexed="64"/>
      </top>
      <bottom style="thick">
        <color indexed="48"/>
      </bottom>
      <diagonal/>
    </border>
    <border>
      <left style="medium">
        <color indexed="52"/>
      </left>
      <right style="medium">
        <color indexed="52"/>
      </right>
      <top style="medium">
        <color indexed="52"/>
      </top>
      <bottom style="medium">
        <color indexed="52"/>
      </bottom>
      <diagonal/>
    </border>
    <border>
      <left/>
      <right style="thick">
        <color indexed="17"/>
      </right>
      <top style="thick">
        <color indexed="17"/>
      </top>
      <bottom style="thin">
        <color indexed="64"/>
      </bottom>
      <diagonal/>
    </border>
    <border>
      <left/>
      <right style="thick">
        <color indexed="17"/>
      </right>
      <top style="thin">
        <color indexed="64"/>
      </top>
      <bottom style="double">
        <color indexed="64"/>
      </bottom>
      <diagonal/>
    </border>
    <border>
      <left/>
      <right style="thick">
        <color indexed="17"/>
      </right>
      <top style="double">
        <color indexed="64"/>
      </top>
      <bottom style="thick">
        <color indexed="17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ck">
        <color indexed="48"/>
      </right>
      <top style="thin">
        <color indexed="64"/>
      </top>
      <bottom style="double">
        <color indexed="64"/>
      </bottom>
      <diagonal/>
    </border>
    <border>
      <left style="medium">
        <color indexed="52"/>
      </left>
      <right/>
      <top style="medium">
        <color indexed="52"/>
      </top>
      <bottom style="medium">
        <color indexed="52"/>
      </bottom>
      <diagonal/>
    </border>
    <border>
      <left/>
      <right/>
      <top style="medium">
        <color indexed="52"/>
      </top>
      <bottom style="medium">
        <color indexed="5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48"/>
      </right>
      <top style="thin">
        <color indexed="64"/>
      </top>
      <bottom style="thin">
        <color indexed="64"/>
      </bottom>
      <diagonal/>
    </border>
    <border>
      <left style="thick">
        <color indexed="48"/>
      </left>
      <right/>
      <top style="double">
        <color indexed="64"/>
      </top>
      <bottom style="thick">
        <color indexed="48"/>
      </bottom>
      <diagonal/>
    </border>
    <border>
      <left/>
      <right/>
      <top style="double">
        <color indexed="64"/>
      </top>
      <bottom style="thick">
        <color indexed="48"/>
      </bottom>
      <diagonal/>
    </border>
    <border>
      <left style="thick">
        <color indexed="17"/>
      </left>
      <right/>
      <top style="double">
        <color indexed="64"/>
      </top>
      <bottom style="thick">
        <color indexed="17"/>
      </bottom>
      <diagonal/>
    </border>
    <border>
      <left/>
      <right/>
      <top style="double">
        <color indexed="64"/>
      </top>
      <bottom style="thick">
        <color indexed="17"/>
      </bottom>
      <diagonal/>
    </border>
    <border>
      <left style="thick">
        <color indexed="17"/>
      </left>
      <right/>
      <top style="thick">
        <color indexed="17"/>
      </top>
      <bottom style="thin">
        <color indexed="64"/>
      </bottom>
      <diagonal/>
    </border>
    <border>
      <left/>
      <right/>
      <top style="thick">
        <color indexed="17"/>
      </top>
      <bottom style="thin">
        <color indexed="64"/>
      </bottom>
      <diagonal/>
    </border>
    <border>
      <left style="thick">
        <color indexed="48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ck">
        <color indexed="17"/>
      </left>
      <right/>
      <top style="thin">
        <color indexed="64"/>
      </top>
      <bottom style="double">
        <color indexed="64"/>
      </bottom>
      <diagonal/>
    </border>
    <border>
      <left style="thick">
        <color indexed="48"/>
      </left>
      <right/>
      <top style="thick">
        <color indexed="48"/>
      </top>
      <bottom style="thin">
        <color indexed="64"/>
      </bottom>
      <diagonal/>
    </border>
    <border>
      <left/>
      <right/>
      <top style="thick">
        <color indexed="48"/>
      </top>
      <bottom style="thin">
        <color indexed="64"/>
      </bottom>
      <diagonal/>
    </border>
    <border>
      <left style="thick">
        <color indexed="48"/>
      </left>
      <right/>
      <top style="thick">
        <color indexed="48"/>
      </top>
      <bottom/>
      <diagonal/>
    </border>
    <border>
      <left/>
      <right/>
      <top style="thick">
        <color indexed="48"/>
      </top>
      <bottom/>
      <diagonal/>
    </border>
    <border>
      <left style="thick">
        <color indexed="48"/>
      </left>
      <right/>
      <top/>
      <bottom style="thick">
        <color indexed="48"/>
      </bottom>
      <diagonal/>
    </border>
    <border>
      <left/>
      <right/>
      <top/>
      <bottom style="thick">
        <color indexed="4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9">
    <xf numFmtId="0" fontId="0" fillId="0" borderId="0"/>
    <xf numFmtId="0" fontId="31" fillId="0" borderId="0"/>
    <xf numFmtId="0" fontId="2" fillId="0" borderId="0">
      <alignment vertical="center"/>
    </xf>
    <xf numFmtId="0" fontId="1" fillId="0" borderId="0">
      <alignment vertical="center"/>
    </xf>
    <xf numFmtId="0" fontId="31" fillId="0" borderId="0"/>
    <xf numFmtId="0" fontId="2" fillId="0" borderId="0">
      <alignment vertical="center"/>
    </xf>
    <xf numFmtId="0" fontId="1" fillId="0" borderId="0">
      <alignment vertical="center"/>
    </xf>
    <xf numFmtId="0" fontId="58" fillId="0" borderId="0"/>
    <xf numFmtId="0" fontId="58" fillId="0" borderId="0"/>
    <xf numFmtId="0" fontId="31" fillId="0" borderId="0">
      <alignment vertical="center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/>
    <xf numFmtId="0" fontId="12" fillId="8" borderId="0" applyNumberFormat="0" applyBorder="0" applyAlignment="0" applyProtection="0">
      <alignment vertical="center"/>
    </xf>
    <xf numFmtId="9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0" fontId="27" fillId="11" borderId="0" applyNumberFormat="0" applyBorder="0" applyAlignment="0" applyProtection="0">
      <alignment vertical="center"/>
    </xf>
  </cellStyleXfs>
  <cellXfs count="1896">
    <xf numFmtId="0" fontId="0" fillId="0" borderId="0" xfId="0"/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0" fontId="2" fillId="9" borderId="0" xfId="0" applyFont="1" applyFill="1" applyAlignment="1">
      <alignment vertical="center"/>
    </xf>
    <xf numFmtId="176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76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vertical="center"/>
    </xf>
    <xf numFmtId="0" fontId="2" fillId="12" borderId="1" xfId="0" applyFont="1" applyFill="1" applyBorder="1" applyAlignment="1">
      <alignment horizontal="center" vertical="center"/>
    </xf>
    <xf numFmtId="177" fontId="2" fillId="1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176" fontId="2" fillId="9" borderId="1" xfId="0" applyNumberFormat="1" applyFont="1" applyFill="1" applyBorder="1" applyAlignment="1">
      <alignment horizontal="left" vertical="center"/>
    </xf>
    <xf numFmtId="0" fontId="4" fillId="9" borderId="1" xfId="9" applyFont="1" applyFill="1" applyBorder="1" applyAlignment="1" applyProtection="1">
      <alignment horizontal="left" vertical="center"/>
      <protection locked="0"/>
    </xf>
    <xf numFmtId="0" fontId="2" fillId="9" borderId="1" xfId="0" applyFont="1" applyFill="1" applyBorder="1" applyAlignment="1">
      <alignment horizontal="center" vertical="center"/>
    </xf>
    <xf numFmtId="177" fontId="2" fillId="9" borderId="1" xfId="0" applyNumberFormat="1" applyFont="1" applyFill="1" applyBorder="1" applyAlignment="1">
      <alignment horizontal="center" vertical="center"/>
    </xf>
    <xf numFmtId="10" fontId="2" fillId="9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left" vertical="center"/>
    </xf>
    <xf numFmtId="0" fontId="4" fillId="9" borderId="1" xfId="9" applyFont="1" applyFill="1" applyBorder="1" applyProtection="1">
      <alignment vertical="center"/>
      <protection locked="0"/>
    </xf>
    <xf numFmtId="0" fontId="2" fillId="0" borderId="1" xfId="0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6" fontId="2" fillId="9" borderId="0" xfId="0" applyNumberFormat="1" applyFont="1" applyFill="1" applyAlignment="1">
      <alignment vertical="center"/>
    </xf>
    <xf numFmtId="0" fontId="2" fillId="9" borderId="0" xfId="0" applyFont="1" applyFill="1" applyAlignment="1">
      <alignment horizontal="center" vertical="center"/>
    </xf>
    <xf numFmtId="177" fontId="2" fillId="9" borderId="0" xfId="0" applyNumberFormat="1" applyFont="1" applyFill="1" applyAlignment="1">
      <alignment horizontal="center" vertical="center"/>
    </xf>
    <xf numFmtId="10" fontId="2" fillId="9" borderId="0" xfId="0" applyNumberFormat="1" applyFont="1" applyFill="1" applyAlignment="1">
      <alignment horizontal="center" vertical="center"/>
    </xf>
    <xf numFmtId="176" fontId="2" fillId="4" borderId="1" xfId="0" applyNumberFormat="1" applyFont="1" applyFill="1" applyBorder="1" applyAlignment="1">
      <alignment horizontal="left" vertical="center"/>
    </xf>
    <xf numFmtId="0" fontId="0" fillId="4" borderId="1" xfId="9" applyFont="1" applyFill="1" applyBorder="1" applyAlignment="1" applyProtection="1">
      <alignment horizontal="left" vertical="center"/>
      <protection locked="0"/>
    </xf>
    <xf numFmtId="0" fontId="2" fillId="4" borderId="1" xfId="0" applyFont="1" applyFill="1" applyBorder="1" applyAlignment="1">
      <alignment horizontal="center" vertical="center"/>
    </xf>
    <xf numFmtId="177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0" fontId="0" fillId="9" borderId="1" xfId="9" applyFont="1" applyFill="1" applyBorder="1" applyAlignment="1" applyProtection="1">
      <alignment horizontal="left" vertical="center"/>
      <protection locked="0"/>
    </xf>
    <xf numFmtId="176" fontId="2" fillId="9" borderId="1" xfId="0" applyNumberFormat="1" applyFont="1" applyFill="1" applyBorder="1" applyAlignment="1">
      <alignment vertical="center"/>
    </xf>
    <xf numFmtId="0" fontId="0" fillId="9" borderId="0" xfId="9" applyFont="1" applyFill="1" applyProtection="1">
      <alignment vertical="center"/>
      <protection locked="0"/>
    </xf>
    <xf numFmtId="0" fontId="4" fillId="9" borderId="1" xfId="9" applyFont="1" applyFill="1" applyBorder="1" applyAlignment="1" applyProtection="1">
      <alignment horizontal="center" vertical="center" wrapText="1"/>
      <protection locked="0"/>
    </xf>
    <xf numFmtId="10" fontId="2" fillId="0" borderId="1" xfId="0" applyNumberFormat="1" applyFont="1" applyBorder="1" applyAlignment="1">
      <alignment horizontal="center" vertical="center"/>
    </xf>
    <xf numFmtId="0" fontId="2" fillId="9" borderId="1" xfId="9" applyFont="1" applyFill="1" applyBorder="1" applyAlignment="1" applyProtection="1">
      <alignment horizontal="left" vertical="center"/>
      <protection locked="0"/>
    </xf>
    <xf numFmtId="58" fontId="2" fillId="9" borderId="0" xfId="0" applyNumberFormat="1" applyFont="1" applyFill="1" applyAlignment="1">
      <alignment vertical="center"/>
    </xf>
    <xf numFmtId="0" fontId="4" fillId="9" borderId="1" xfId="9" applyFont="1" applyFill="1" applyBorder="1" applyAlignment="1" applyProtection="1">
      <alignment vertical="center" wrapText="1"/>
      <protection locked="0"/>
    </xf>
    <xf numFmtId="10" fontId="2" fillId="9" borderId="0" xfId="0" applyNumberFormat="1" applyFont="1" applyFill="1" applyAlignment="1">
      <alignment horizontal="left" vertical="center"/>
    </xf>
    <xf numFmtId="0" fontId="5" fillId="9" borderId="1" xfId="9" applyFont="1" applyFill="1" applyBorder="1" applyProtection="1">
      <alignment vertical="center"/>
      <protection locked="0"/>
    </xf>
    <xf numFmtId="0" fontId="6" fillId="9" borderId="1" xfId="9" applyFont="1" applyFill="1" applyBorder="1" applyAlignment="1" applyProtection="1">
      <alignment vertical="center" wrapText="1"/>
      <protection locked="0"/>
    </xf>
    <xf numFmtId="0" fontId="6" fillId="9" borderId="1" xfId="9" applyFont="1" applyFill="1" applyBorder="1" applyAlignment="1" applyProtection="1">
      <alignment horizontal="left" vertical="center" wrapText="1"/>
      <protection locked="0"/>
    </xf>
    <xf numFmtId="0" fontId="4" fillId="9" borderId="2" xfId="9" applyFont="1" applyFill="1" applyBorder="1" applyAlignment="1" applyProtection="1">
      <alignment vertical="center" wrapText="1"/>
      <protection locked="0"/>
    </xf>
    <xf numFmtId="0" fontId="0" fillId="9" borderId="1" xfId="9" applyFont="1" applyFill="1" applyBorder="1" applyAlignment="1" applyProtection="1">
      <alignment vertical="center" wrapText="1"/>
      <protection locked="0"/>
    </xf>
    <xf numFmtId="0" fontId="0" fillId="9" borderId="3" xfId="9" applyFont="1" applyFill="1" applyBorder="1" applyProtection="1">
      <alignment vertical="center"/>
      <protection locked="0"/>
    </xf>
    <xf numFmtId="0" fontId="4" fillId="9" borderId="1" xfId="0" applyFont="1" applyFill="1" applyBorder="1" applyAlignment="1">
      <alignment horizontal="left" vertical="center"/>
    </xf>
    <xf numFmtId="0" fontId="7" fillId="9" borderId="0" xfId="0" applyFont="1" applyFill="1" applyAlignment="1">
      <alignment vertical="center"/>
    </xf>
    <xf numFmtId="0" fontId="4" fillId="9" borderId="1" xfId="0" applyFont="1" applyFill="1" applyBorder="1" applyAlignment="1">
      <alignment vertical="center"/>
    </xf>
    <xf numFmtId="0" fontId="6" fillId="9" borderId="1" xfId="9" applyFont="1" applyFill="1" applyBorder="1" applyProtection="1">
      <alignment vertical="center"/>
      <protection locked="0"/>
    </xf>
    <xf numFmtId="176" fontId="3" fillId="0" borderId="0" xfId="0" applyNumberFormat="1" applyFont="1" applyAlignment="1">
      <alignment vertical="center"/>
    </xf>
    <xf numFmtId="177" fontId="2" fillId="9" borderId="0" xfId="0" applyNumberFormat="1" applyFont="1" applyFill="1" applyAlignment="1">
      <alignment vertical="center"/>
    </xf>
    <xf numFmtId="10" fontId="2" fillId="9" borderId="0" xfId="0" applyNumberFormat="1" applyFont="1" applyFill="1" applyAlignment="1">
      <alignment vertical="center"/>
    </xf>
    <xf numFmtId="0" fontId="0" fillId="0" borderId="0" xfId="0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78" fontId="0" fillId="0" borderId="1" xfId="0" applyNumberFormat="1" applyBorder="1"/>
    <xf numFmtId="179" fontId="0" fillId="0" borderId="1" xfId="0" applyNumberFormat="1" applyBorder="1"/>
    <xf numFmtId="180" fontId="0" fillId="0" borderId="1" xfId="0" applyNumberFormat="1" applyBorder="1"/>
    <xf numFmtId="177" fontId="0" fillId="0" borderId="1" xfId="0" applyNumberFormat="1" applyBorder="1"/>
    <xf numFmtId="0" fontId="0" fillId="4" borderId="1" xfId="0" applyFill="1" applyBorder="1" applyAlignment="1">
      <alignment horizontal="center"/>
    </xf>
    <xf numFmtId="178" fontId="0" fillId="4" borderId="1" xfId="0" applyNumberFormat="1" applyFill="1" applyBorder="1"/>
    <xf numFmtId="179" fontId="0" fillId="4" borderId="1" xfId="0" applyNumberFormat="1" applyFill="1" applyBorder="1"/>
    <xf numFmtId="180" fontId="0" fillId="4" borderId="1" xfId="0" applyNumberFormat="1" applyFill="1" applyBorder="1"/>
    <xf numFmtId="177" fontId="0" fillId="4" borderId="1" xfId="0" applyNumberFormat="1" applyFill="1" applyBorder="1"/>
    <xf numFmtId="178" fontId="0" fillId="13" borderId="0" xfId="0" applyNumberFormat="1" applyFill="1"/>
    <xf numFmtId="178" fontId="0" fillId="0" borderId="0" xfId="0" applyNumberFormat="1"/>
    <xf numFmtId="181" fontId="0" fillId="0" borderId="1" xfId="0" applyNumberFormat="1" applyBorder="1"/>
    <xf numFmtId="0" fontId="0" fillId="0" borderId="1" xfId="0" applyBorder="1"/>
    <xf numFmtId="181" fontId="0" fillId="4" borderId="1" xfId="0" applyNumberFormat="1" applyFill="1" applyBorder="1"/>
    <xf numFmtId="0" fontId="0" fillId="4" borderId="1" xfId="0" applyFill="1" applyBorder="1"/>
    <xf numFmtId="181" fontId="0" fillId="13" borderId="0" xfId="0" applyNumberFormat="1" applyFill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82" fontId="0" fillId="0" borderId="0" xfId="0" applyNumberFormat="1" applyAlignment="1">
      <alignment vertical="center"/>
    </xf>
    <xf numFmtId="0" fontId="0" fillId="0" borderId="0" xfId="0" applyAlignment="1">
      <alignment horizontal="left" vertical="center" shrinkToFit="1"/>
    </xf>
    <xf numFmtId="0" fontId="0" fillId="0" borderId="0" xfId="0" applyAlignment="1">
      <alignment horizontal="center" vertical="center" shrinkToFit="1"/>
    </xf>
    <xf numFmtId="183" fontId="0" fillId="0" borderId="0" xfId="0" applyNumberFormat="1" applyAlignment="1">
      <alignment horizontal="center" vertical="center"/>
    </xf>
    <xf numFmtId="43" fontId="0" fillId="0" borderId="0" xfId="0" applyNumberFormat="1" applyAlignment="1">
      <alignment vertical="center"/>
    </xf>
    <xf numFmtId="18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85" fontId="0" fillId="9" borderId="0" xfId="0" applyNumberFormat="1" applyFill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3" fontId="0" fillId="5" borderId="1" xfId="0" applyNumberFormat="1" applyFill="1" applyBorder="1" applyAlignment="1">
      <alignment horizontal="center" vertical="center" wrapText="1"/>
    </xf>
    <xf numFmtId="18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3" fontId="0" fillId="0" borderId="0" xfId="0" applyNumberFormat="1" applyAlignment="1">
      <alignment vertical="center" wrapText="1"/>
    </xf>
    <xf numFmtId="185" fontId="0" fillId="0" borderId="0" xfId="0" applyNumberFormat="1" applyAlignment="1">
      <alignment vertical="center" wrapText="1"/>
    </xf>
    <xf numFmtId="0" fontId="0" fillId="9" borderId="2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1" xfId="0" applyFill="1" applyBorder="1" applyAlignment="1">
      <alignment vertical="center"/>
    </xf>
    <xf numFmtId="43" fontId="0" fillId="6" borderId="1" xfId="0" applyNumberFormat="1" applyFill="1" applyBorder="1" applyAlignment="1">
      <alignment horizontal="center" vertical="center" wrapText="1"/>
    </xf>
    <xf numFmtId="185" fontId="0" fillId="6" borderId="1" xfId="0" applyNumberFormat="1" applyFill="1" applyBorder="1" applyAlignment="1">
      <alignment vertical="center" wrapText="1"/>
    </xf>
    <xf numFmtId="49" fontId="0" fillId="9" borderId="0" xfId="0" applyNumberFormat="1" applyFill="1" applyAlignment="1">
      <alignment horizontal="left" vertical="center"/>
    </xf>
    <xf numFmtId="184" fontId="0" fillId="5" borderId="1" xfId="11" applyNumberFormat="1" applyFont="1" applyFill="1" applyBorder="1" applyAlignment="1">
      <alignment vertical="center"/>
    </xf>
    <xf numFmtId="187" fontId="0" fillId="5" borderId="1" xfId="11" applyNumberFormat="1" applyFont="1" applyFill="1" applyBorder="1" applyAlignment="1">
      <alignment horizontal="center" vertical="center"/>
    </xf>
    <xf numFmtId="185" fontId="0" fillId="6" borderId="0" xfId="0" applyNumberFormat="1" applyFill="1" applyAlignment="1">
      <alignment vertical="center" wrapText="1"/>
    </xf>
    <xf numFmtId="0" fontId="0" fillId="5" borderId="0" xfId="0" applyFill="1" applyAlignment="1">
      <alignment horizontal="center" vertical="center"/>
    </xf>
    <xf numFmtId="184" fontId="0" fillId="5" borderId="0" xfId="0" applyNumberFormat="1" applyFill="1" applyAlignment="1">
      <alignment vertical="center"/>
    </xf>
    <xf numFmtId="0" fontId="15" fillId="5" borderId="0" xfId="0" applyFont="1" applyFill="1" applyAlignment="1">
      <alignment horizontal="center" vertical="center"/>
    </xf>
    <xf numFmtId="187" fontId="0" fillId="5" borderId="0" xfId="0" applyNumberFormat="1" applyFill="1" applyAlignment="1">
      <alignment horizontal="center" vertical="center"/>
    </xf>
    <xf numFmtId="43" fontId="0" fillId="5" borderId="0" xfId="0" applyNumberFormat="1" applyFill="1" applyAlignment="1">
      <alignment horizontal="center" vertical="center"/>
    </xf>
    <xf numFmtId="49" fontId="0" fillId="5" borderId="0" xfId="0" applyNumberFormat="1" applyFill="1" applyAlignment="1">
      <alignment horizontal="center" vertical="center"/>
    </xf>
    <xf numFmtId="184" fontId="0" fillId="0" borderId="0" xfId="0" applyNumberFormat="1" applyAlignment="1">
      <alignment vertical="center"/>
    </xf>
    <xf numFmtId="43" fontId="0" fillId="9" borderId="0" xfId="0" applyNumberFormat="1" applyFill="1" applyAlignment="1">
      <alignment horizontal="center" vertical="center"/>
    </xf>
    <xf numFmtId="49" fontId="0" fillId="9" borderId="0" xfId="0" applyNumberFormat="1" applyFill="1" applyAlignment="1">
      <alignment horizontal="center" vertical="center"/>
    </xf>
    <xf numFmtId="43" fontId="0" fillId="5" borderId="2" xfId="0" applyNumberFormat="1" applyFill="1" applyBorder="1" applyAlignment="1">
      <alignment horizontal="center" vertical="center" wrapText="1"/>
    </xf>
    <xf numFmtId="43" fontId="0" fillId="5" borderId="0" xfId="0" applyNumberFormat="1" applyFill="1" applyAlignment="1">
      <alignment horizontal="center" vertical="center" wrapText="1"/>
    </xf>
    <xf numFmtId="43" fontId="0" fillId="5" borderId="3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11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80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left" vertical="center"/>
    </xf>
    <xf numFmtId="9" fontId="0" fillId="0" borderId="0" xfId="0" applyNumberFormat="1" applyAlignment="1">
      <alignment vertical="center" wrapText="1"/>
    </xf>
    <xf numFmtId="0" fontId="0" fillId="8" borderId="5" xfId="0" applyFill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178" fontId="0" fillId="6" borderId="6" xfId="0" applyNumberFormat="1" applyFill="1" applyBorder="1" applyAlignment="1">
      <alignment vertical="center" wrapText="1"/>
    </xf>
    <xf numFmtId="178" fontId="0" fillId="0" borderId="6" xfId="0" applyNumberFormat="1" applyBorder="1" applyAlignment="1">
      <alignment vertical="center" wrapText="1"/>
    </xf>
    <xf numFmtId="178" fontId="0" fillId="0" borderId="0" xfId="0" applyNumberFormat="1" applyAlignment="1">
      <alignment vertical="center" wrapText="1"/>
    </xf>
    <xf numFmtId="180" fontId="0" fillId="0" borderId="6" xfId="0" applyNumberFormat="1" applyBorder="1" applyAlignment="1">
      <alignment vertical="center" wrapText="1"/>
    </xf>
    <xf numFmtId="183" fontId="0" fillId="6" borderId="6" xfId="0" applyNumberFormat="1" applyFill="1" applyBorder="1" applyAlignment="1">
      <alignment vertical="center" wrapText="1"/>
    </xf>
    <xf numFmtId="0" fontId="4" fillId="0" borderId="1" xfId="0" applyFont="1" applyBorder="1" applyAlignment="1">
      <alignment horizontal="left" vertical="top" wrapText="1"/>
    </xf>
    <xf numFmtId="180" fontId="0" fillId="0" borderId="0" xfId="0" applyNumberFormat="1" applyAlignment="1">
      <alignment vertical="center" wrapText="1"/>
    </xf>
    <xf numFmtId="183" fontId="0" fillId="0" borderId="0" xfId="0" applyNumberFormat="1" applyAlignment="1">
      <alignment vertical="center" wrapText="1"/>
    </xf>
    <xf numFmtId="0" fontId="0" fillId="9" borderId="0" xfId="0" applyFill="1" applyAlignment="1">
      <alignment vertical="center"/>
    </xf>
    <xf numFmtId="0" fontId="0" fillId="10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14" fillId="9" borderId="1" xfId="0" applyFont="1" applyFill="1" applyBorder="1" applyAlignment="1">
      <alignment vertical="center"/>
    </xf>
    <xf numFmtId="0" fontId="2" fillId="9" borderId="1" xfId="0" applyFont="1" applyFill="1" applyBorder="1" applyAlignment="1">
      <alignment horizontal="center" vertical="center" wrapText="1"/>
    </xf>
    <xf numFmtId="182" fontId="0" fillId="9" borderId="1" xfId="0" applyNumberFormat="1" applyFill="1" applyBorder="1" applyAlignment="1">
      <alignment horizontal="center" vertical="center" wrapText="1"/>
    </xf>
    <xf numFmtId="182" fontId="0" fillId="9" borderId="0" xfId="0" applyNumberFormat="1" applyFill="1" applyAlignment="1">
      <alignment vertical="center" wrapText="1"/>
    </xf>
    <xf numFmtId="0" fontId="0" fillId="9" borderId="1" xfId="9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86" fontId="0" fillId="9" borderId="1" xfId="11" applyNumberFormat="1" applyFont="1" applyFill="1" applyBorder="1" applyAlignment="1">
      <alignment horizontal="center" vertical="center"/>
    </xf>
    <xf numFmtId="186" fontId="0" fillId="10" borderId="1" xfId="11" applyNumberFormat="1" applyFont="1" applyFill="1" applyBorder="1" applyAlignment="1">
      <alignment horizontal="center" vertical="center"/>
    </xf>
    <xf numFmtId="0" fontId="4" fillId="9" borderId="0" xfId="9" applyFont="1" applyFill="1" applyProtection="1">
      <alignment vertical="center"/>
      <protection locked="0"/>
    </xf>
    <xf numFmtId="0" fontId="0" fillId="0" borderId="0" xfId="0" applyAlignment="1">
      <alignment horizontal="center" vertical="center" wrapText="1"/>
    </xf>
    <xf numFmtId="186" fontId="0" fillId="0" borderId="0" xfId="0" applyNumberFormat="1" applyAlignment="1">
      <alignment horizontal="center" vertical="center" wrapText="1"/>
    </xf>
    <xf numFmtId="186" fontId="0" fillId="6" borderId="7" xfId="0" applyNumberFormat="1" applyFill="1" applyBorder="1" applyAlignment="1">
      <alignment horizontal="center" vertical="center" wrapText="1"/>
    </xf>
    <xf numFmtId="186" fontId="0" fillId="9" borderId="0" xfId="0" applyNumberFormat="1" applyFill="1" applyAlignment="1">
      <alignment horizontal="center" vertical="center" wrapText="1"/>
    </xf>
    <xf numFmtId="186" fontId="0" fillId="10" borderId="0" xfId="0" applyNumberFormat="1" applyFill="1" applyAlignment="1">
      <alignment horizontal="center" vertical="center" wrapText="1"/>
    </xf>
    <xf numFmtId="0" fontId="0" fillId="9" borderId="0" xfId="0" applyFill="1" applyAlignment="1">
      <alignment horizontal="left" vertical="center" shrinkToFit="1"/>
    </xf>
    <xf numFmtId="0" fontId="0" fillId="9" borderId="0" xfId="0" applyFill="1" applyAlignment="1">
      <alignment horizontal="center" vertical="center" shrinkToFit="1"/>
    </xf>
    <xf numFmtId="186" fontId="0" fillId="0" borderId="0" xfId="10" applyNumberFormat="1" applyFont="1" applyFill="1" applyBorder="1" applyAlignment="1">
      <alignment horizontal="center" vertical="center"/>
    </xf>
    <xf numFmtId="186" fontId="0" fillId="10" borderId="0" xfId="10" applyNumberFormat="1" applyFont="1" applyFill="1" applyBorder="1" applyAlignment="1">
      <alignment horizontal="center" vertical="center"/>
    </xf>
    <xf numFmtId="185" fontId="0" fillId="4" borderId="3" xfId="0" applyNumberFormat="1" applyFill="1" applyBorder="1" applyAlignment="1">
      <alignment horizontal="center" vertical="center" wrapText="1"/>
    </xf>
    <xf numFmtId="183" fontId="0" fillId="9" borderId="1" xfId="11" applyNumberFormat="1" applyFont="1" applyFill="1" applyBorder="1" applyAlignment="1">
      <alignment horizontal="center" vertical="center"/>
    </xf>
    <xf numFmtId="185" fontId="0" fillId="4" borderId="1" xfId="0" applyNumberFormat="1" applyFill="1" applyBorder="1" applyAlignment="1">
      <alignment horizontal="center" vertical="center" wrapText="1"/>
    </xf>
    <xf numFmtId="184" fontId="0" fillId="9" borderId="1" xfId="11" applyNumberFormat="1" applyFont="1" applyFill="1" applyBorder="1" applyAlignment="1">
      <alignment horizontal="center" vertical="center"/>
    </xf>
    <xf numFmtId="186" fontId="2" fillId="9" borderId="1" xfId="11" applyNumberFormat="1" applyFont="1" applyFill="1" applyBorder="1" applyAlignment="1">
      <alignment horizontal="center" vertical="center"/>
    </xf>
    <xf numFmtId="183" fontId="0" fillId="12" borderId="0" xfId="0" applyNumberFormat="1" applyFill="1" applyAlignment="1">
      <alignment horizontal="center" vertical="center" wrapText="1"/>
    </xf>
    <xf numFmtId="185" fontId="0" fillId="0" borderId="0" xfId="0" applyNumberFormat="1" applyAlignment="1">
      <alignment horizontal="center" vertical="center" wrapText="1"/>
    </xf>
    <xf numFmtId="186" fontId="0" fillId="5" borderId="0" xfId="0" applyNumberFormat="1" applyFill="1" applyAlignment="1">
      <alignment horizontal="center" vertical="center" wrapText="1"/>
    </xf>
    <xf numFmtId="186" fontId="0" fillId="5" borderId="8" xfId="11" applyNumberFormat="1" applyFont="1" applyFill="1" applyBorder="1" applyAlignment="1">
      <alignment vertical="center"/>
    </xf>
    <xf numFmtId="184" fontId="0" fillId="5" borderId="8" xfId="11" applyNumberFormat="1" applyFont="1" applyFill="1" applyBorder="1" applyAlignment="1">
      <alignment vertical="center"/>
    </xf>
    <xf numFmtId="186" fontId="15" fillId="5" borderId="8" xfId="11" applyNumberFormat="1" applyFont="1" applyFill="1" applyBorder="1" applyAlignment="1">
      <alignment horizontal="center" vertical="center"/>
    </xf>
    <xf numFmtId="183" fontId="0" fillId="0" borderId="0" xfId="1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186" fontId="0" fillId="5" borderId="1" xfId="11" applyNumberFormat="1" applyFont="1" applyFill="1" applyBorder="1" applyAlignment="1">
      <alignment horizontal="center" vertical="center"/>
    </xf>
    <xf numFmtId="186" fontId="15" fillId="5" borderId="1" xfId="11" applyNumberFormat="1" applyFont="1" applyFill="1" applyBorder="1" applyAlignment="1">
      <alignment horizontal="center" vertical="center"/>
    </xf>
    <xf numFmtId="184" fontId="0" fillId="5" borderId="2" xfId="11" applyNumberFormat="1" applyFont="1" applyFill="1" applyBorder="1" applyAlignment="1">
      <alignment vertical="center"/>
    </xf>
    <xf numFmtId="186" fontId="15" fillId="5" borderId="2" xfId="11" applyNumberFormat="1" applyFont="1" applyFill="1" applyBorder="1" applyAlignment="1">
      <alignment horizontal="center" vertical="center"/>
    </xf>
    <xf numFmtId="186" fontId="0" fillId="5" borderId="1" xfId="11" applyNumberFormat="1" applyFont="1" applyFill="1" applyBorder="1" applyAlignment="1">
      <alignment vertical="center"/>
    </xf>
    <xf numFmtId="186" fontId="15" fillId="5" borderId="1" xfId="11" applyNumberFormat="1" applyFont="1" applyFill="1" applyBorder="1" applyAlignment="1">
      <alignment vertical="center"/>
    </xf>
    <xf numFmtId="186" fontId="2" fillId="5" borderId="1" xfId="11" applyNumberFormat="1" applyFont="1" applyFill="1" applyBorder="1" applyAlignment="1">
      <alignment horizontal="center" vertical="center"/>
    </xf>
    <xf numFmtId="186" fontId="0" fillId="5" borderId="8" xfId="10" applyNumberFormat="1" applyFont="1" applyFill="1" applyBorder="1" applyAlignment="1">
      <alignment vertical="center"/>
    </xf>
    <xf numFmtId="186" fontId="15" fillId="5" borderId="3" xfId="11" applyNumberFormat="1" applyFont="1" applyFill="1" applyBorder="1" applyAlignment="1">
      <alignment horizontal="center" vertical="center"/>
    </xf>
    <xf numFmtId="186" fontId="0" fillId="5" borderId="2" xfId="10" applyNumberFormat="1" applyFont="1" applyFill="1" applyBorder="1" applyAlignment="1">
      <alignment horizontal="center" vertical="center"/>
    </xf>
    <xf numFmtId="186" fontId="15" fillId="5" borderId="2" xfId="11" applyNumberFormat="1" applyFont="1" applyFill="1" applyBorder="1" applyAlignment="1">
      <alignment horizontal="right" vertical="center"/>
    </xf>
    <xf numFmtId="186" fontId="0" fillId="5" borderId="1" xfId="10" applyNumberFormat="1" applyFont="1" applyFill="1" applyBorder="1" applyAlignment="1">
      <alignment vertical="center"/>
    </xf>
    <xf numFmtId="186" fontId="15" fillId="5" borderId="3" xfId="11" applyNumberFormat="1" applyFont="1" applyFill="1" applyBorder="1" applyAlignment="1">
      <alignment horizontal="right" vertical="center"/>
    </xf>
    <xf numFmtId="43" fontId="0" fillId="5" borderId="9" xfId="0" applyNumberFormat="1" applyFill="1" applyBorder="1" applyAlignment="1">
      <alignment horizontal="center" vertical="center" wrapText="1"/>
    </xf>
    <xf numFmtId="187" fontId="0" fillId="9" borderId="1" xfId="11" applyNumberFormat="1" applyFont="1" applyFill="1" applyBorder="1" applyAlignment="1">
      <alignment horizontal="center" vertical="center"/>
    </xf>
    <xf numFmtId="43" fontId="0" fillId="9" borderId="1" xfId="0" applyNumberFormat="1" applyFill="1" applyBorder="1" applyAlignment="1">
      <alignment horizontal="center" vertical="center" wrapText="1"/>
    </xf>
    <xf numFmtId="185" fontId="0" fillId="9" borderId="1" xfId="0" applyNumberFormat="1" applyFill="1" applyBorder="1" applyAlignment="1">
      <alignment horizontal="center" vertical="center" wrapText="1"/>
    </xf>
    <xf numFmtId="20" fontId="6" fillId="9" borderId="8" xfId="0" applyNumberFormat="1" applyFont="1" applyFill="1" applyBorder="1" applyAlignment="1">
      <alignment horizontal="left" vertical="top" wrapText="1"/>
    </xf>
    <xf numFmtId="187" fontId="0" fillId="5" borderId="8" xfId="11" applyNumberFormat="1" applyFont="1" applyFill="1" applyBorder="1" applyAlignment="1">
      <alignment horizontal="center" vertical="center"/>
    </xf>
    <xf numFmtId="43" fontId="0" fillId="5" borderId="8" xfId="0" applyNumberFormat="1" applyFill="1" applyBorder="1" applyAlignment="1">
      <alignment vertical="center" wrapText="1"/>
    </xf>
    <xf numFmtId="0" fontId="0" fillId="5" borderId="8" xfId="0" applyFill="1" applyBorder="1" applyAlignment="1">
      <alignment vertical="center" wrapText="1"/>
    </xf>
    <xf numFmtId="185" fontId="0" fillId="5" borderId="8" xfId="0" applyNumberFormat="1" applyFill="1" applyBorder="1" applyAlignment="1">
      <alignment vertical="center" wrapText="1"/>
    </xf>
    <xf numFmtId="43" fontId="0" fillId="0" borderId="0" xfId="0" applyNumberFormat="1" applyAlignment="1">
      <alignment horizontal="left" vertical="center" wrapText="1"/>
    </xf>
    <xf numFmtId="185" fontId="0" fillId="5" borderId="1" xfId="0" applyNumberFormat="1" applyFill="1" applyBorder="1" applyAlignment="1">
      <alignment horizontal="center" vertical="center" wrapText="1"/>
    </xf>
    <xf numFmtId="187" fontId="0" fillId="5" borderId="2" xfId="11" applyNumberFormat="1" applyFont="1" applyFill="1" applyBorder="1" applyAlignment="1">
      <alignment horizontal="center" vertical="center"/>
    </xf>
    <xf numFmtId="185" fontId="0" fillId="5" borderId="2" xfId="0" applyNumberFormat="1" applyFill="1" applyBorder="1" applyAlignment="1">
      <alignment horizontal="center" vertical="center" wrapText="1"/>
    </xf>
    <xf numFmtId="43" fontId="0" fillId="5" borderId="8" xfId="0" applyNumberFormat="1" applyFill="1" applyBorder="1" applyAlignment="1">
      <alignment horizontal="center" vertical="center" wrapText="1"/>
    </xf>
    <xf numFmtId="185" fontId="0" fillId="5" borderId="8" xfId="0" applyNumberFormat="1" applyFill="1" applyBorder="1" applyAlignment="1">
      <alignment horizontal="center" vertical="center" wrapText="1"/>
    </xf>
    <xf numFmtId="187" fontId="0" fillId="5" borderId="3" xfId="11" applyNumberFormat="1" applyFont="1" applyFill="1" applyBorder="1" applyAlignment="1">
      <alignment horizontal="center" vertical="center"/>
    </xf>
    <xf numFmtId="185" fontId="6" fillId="5" borderId="10" xfId="0" applyNumberFormat="1" applyFont="1" applyFill="1" applyBorder="1" applyAlignment="1">
      <alignment vertical="center" wrapText="1"/>
    </xf>
    <xf numFmtId="43" fontId="0" fillId="5" borderId="1" xfId="0" applyNumberFormat="1" applyFill="1" applyBorder="1" applyAlignment="1">
      <alignment vertical="center" wrapText="1"/>
    </xf>
    <xf numFmtId="186" fontId="15" fillId="5" borderId="8" xfId="11" applyNumberFormat="1" applyFont="1" applyFill="1" applyBorder="1" applyAlignment="1">
      <alignment horizontal="right" vertical="center"/>
    </xf>
    <xf numFmtId="186" fontId="0" fillId="5" borderId="2" xfId="10" applyNumberFormat="1" applyFont="1" applyFill="1" applyBorder="1" applyAlignment="1">
      <alignment horizontal="right" vertical="center"/>
    </xf>
    <xf numFmtId="186" fontId="0" fillId="5" borderId="1" xfId="10" applyNumberFormat="1" applyFont="1" applyFill="1" applyBorder="1" applyAlignment="1">
      <alignment horizontal="center" vertical="center"/>
    </xf>
    <xf numFmtId="186" fontId="15" fillId="5" borderId="1" xfId="11" applyNumberFormat="1" applyFont="1" applyFill="1" applyBorder="1" applyAlignment="1">
      <alignment horizontal="left" vertical="center"/>
    </xf>
    <xf numFmtId="186" fontId="15" fillId="5" borderId="2" xfId="11" applyNumberFormat="1" applyFont="1" applyFill="1" applyBorder="1" applyAlignment="1">
      <alignment horizontal="left" vertical="center"/>
    </xf>
    <xf numFmtId="186" fontId="0" fillId="5" borderId="2" xfId="10" applyNumberFormat="1" applyFont="1" applyFill="1" applyBorder="1" applyAlignment="1">
      <alignment horizontal="left" vertical="center"/>
    </xf>
    <xf numFmtId="186" fontId="15" fillId="5" borderId="11" xfId="11" applyNumberFormat="1" applyFont="1" applyFill="1" applyBorder="1" applyAlignment="1">
      <alignment vertical="center"/>
    </xf>
    <xf numFmtId="186" fontId="0" fillId="5" borderId="11" xfId="10" applyNumberFormat="1" applyFont="1" applyFill="1" applyBorder="1" applyAlignment="1">
      <alignment vertical="center"/>
    </xf>
    <xf numFmtId="184" fontId="0" fillId="5" borderId="12" xfId="10" applyNumberFormat="1" applyFont="1" applyFill="1" applyBorder="1" applyAlignment="1">
      <alignment vertical="center"/>
    </xf>
    <xf numFmtId="186" fontId="15" fillId="5" borderId="13" xfId="11" applyNumberFormat="1" applyFont="1" applyFill="1" applyBorder="1" applyAlignment="1">
      <alignment vertical="center"/>
    </xf>
    <xf numFmtId="186" fontId="15" fillId="5" borderId="0" xfId="0" applyNumberFormat="1" applyFont="1" applyFill="1" applyAlignment="1">
      <alignment horizontal="center" vertical="center" wrapText="1"/>
    </xf>
    <xf numFmtId="43" fontId="0" fillId="5" borderId="2" xfId="0" applyNumberFormat="1" applyFill="1" applyBorder="1" applyAlignment="1">
      <alignment horizontal="right" vertical="center" wrapText="1"/>
    </xf>
    <xf numFmtId="43" fontId="0" fillId="5" borderId="1" xfId="0" applyNumberFormat="1" applyFill="1" applyBorder="1" applyAlignment="1">
      <alignment horizontal="right" vertical="center" wrapText="1"/>
    </xf>
    <xf numFmtId="43" fontId="0" fillId="5" borderId="2" xfId="0" applyNumberFormat="1" applyFill="1" applyBorder="1" applyAlignment="1">
      <alignment horizontal="left" vertical="center" wrapText="1"/>
    </xf>
    <xf numFmtId="187" fontId="0" fillId="5" borderId="14" xfId="11" applyNumberFormat="1" applyFont="1" applyFill="1" applyBorder="1" applyAlignment="1">
      <alignment horizontal="center" vertical="center"/>
    </xf>
    <xf numFmtId="187" fontId="0" fillId="5" borderId="15" xfId="11" applyNumberFormat="1" applyFont="1" applyFill="1" applyBorder="1" applyAlignment="1">
      <alignment horizontal="center" vertical="center"/>
    </xf>
    <xf numFmtId="187" fontId="0" fillId="5" borderId="0" xfId="0" applyNumberFormat="1" applyFill="1" applyAlignment="1">
      <alignment horizontal="center" vertical="center" wrapText="1"/>
    </xf>
    <xf numFmtId="184" fontId="0" fillId="5" borderId="16" xfId="10" applyNumberFormat="1" applyFont="1" applyFill="1" applyBorder="1" applyAlignment="1">
      <alignment vertical="center"/>
    </xf>
    <xf numFmtId="184" fontId="0" fillId="5" borderId="0" xfId="0" applyNumberFormat="1" applyFill="1" applyAlignment="1">
      <alignment vertical="center" wrapText="1"/>
    </xf>
    <xf numFmtId="0" fontId="0" fillId="6" borderId="5" xfId="0" applyFill="1" applyBorder="1" applyAlignment="1">
      <alignment horizontal="center" vertical="center" wrapText="1"/>
    </xf>
    <xf numFmtId="180" fontId="0" fillId="0" borderId="6" xfId="0" applyNumberFormat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 wrapText="1"/>
    </xf>
    <xf numFmtId="178" fontId="0" fillId="6" borderId="0" xfId="0" applyNumberFormat="1" applyFill="1" applyAlignment="1">
      <alignment vertical="center" wrapText="1"/>
    </xf>
    <xf numFmtId="0" fontId="0" fillId="2" borderId="0" xfId="0" applyFill="1" applyAlignment="1">
      <alignment vertical="center" wrapText="1"/>
    </xf>
    <xf numFmtId="185" fontId="0" fillId="6" borderId="5" xfId="0" applyNumberFormat="1" applyFill="1" applyBorder="1" applyAlignment="1">
      <alignment horizontal="center" vertical="center" wrapText="1"/>
    </xf>
    <xf numFmtId="180" fontId="12" fillId="0" borderId="6" xfId="0" applyNumberFormat="1" applyFont="1" applyBorder="1" applyAlignment="1">
      <alignment vertical="center" wrapText="1"/>
    </xf>
    <xf numFmtId="180" fontId="12" fillId="0" borderId="0" xfId="0" applyNumberFormat="1" applyFont="1" applyAlignment="1">
      <alignment vertical="center" wrapText="1"/>
    </xf>
    <xf numFmtId="183" fontId="0" fillId="6" borderId="0" xfId="0" applyNumberFormat="1" applyFill="1" applyAlignment="1">
      <alignment vertical="center" wrapText="1"/>
    </xf>
    <xf numFmtId="0" fontId="4" fillId="0" borderId="0" xfId="0" applyFont="1" applyAlignment="1">
      <alignment vertical="top" wrapText="1"/>
    </xf>
    <xf numFmtId="0" fontId="0" fillId="0" borderId="0" xfId="0" applyAlignment="1">
      <alignment horizontal="left" vertical="center" wrapText="1"/>
    </xf>
    <xf numFmtId="180" fontId="0" fillId="0" borderId="1" xfId="0" applyNumberFormat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83" fontId="0" fillId="2" borderId="6" xfId="0" applyNumberFormat="1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0" xfId="0" applyAlignment="1">
      <alignment vertical="center" shrinkToFit="1"/>
    </xf>
    <xf numFmtId="0" fontId="0" fillId="0" borderId="19" xfId="0" applyBorder="1" applyAlignment="1">
      <alignment vertical="center"/>
    </xf>
    <xf numFmtId="190" fontId="0" fillId="6" borderId="19" xfId="0" applyNumberFormat="1" applyFill="1" applyBorder="1" applyAlignment="1">
      <alignment horizontal="left" vertical="center"/>
    </xf>
    <xf numFmtId="191" fontId="0" fillId="6" borderId="19" xfId="0" applyNumberFormat="1" applyFill="1" applyBorder="1" applyAlignment="1">
      <alignment horizontal="right" vertical="center"/>
    </xf>
    <xf numFmtId="0" fontId="0" fillId="6" borderId="0" xfId="0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178" fontId="10" fillId="6" borderId="1" xfId="0" applyNumberFormat="1" applyFont="1" applyFill="1" applyBorder="1" applyAlignment="1">
      <alignment vertical="center"/>
    </xf>
    <xf numFmtId="0" fontId="0" fillId="0" borderId="20" xfId="0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" fontId="19" fillId="6" borderId="1" xfId="0" applyNumberFormat="1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1" fontId="19" fillId="0" borderId="1" xfId="0" applyNumberFormat="1" applyFont="1" applyBorder="1" applyAlignment="1">
      <alignment vertical="center"/>
    </xf>
    <xf numFmtId="1" fontId="19" fillId="9" borderId="1" xfId="0" applyNumberFormat="1" applyFont="1" applyFill="1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2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178" fontId="10" fillId="0" borderId="1" xfId="0" applyNumberFormat="1" applyFont="1" applyBorder="1" applyAlignment="1">
      <alignment vertical="center"/>
    </xf>
    <xf numFmtId="41" fontId="0" fillId="0" borderId="0" xfId="0" applyNumberFormat="1" applyAlignment="1">
      <alignment vertical="center"/>
    </xf>
    <xf numFmtId="178" fontId="0" fillId="13" borderId="21" xfId="0" applyNumberFormat="1" applyFill="1" applyBorder="1" applyAlignment="1">
      <alignment vertical="center"/>
    </xf>
    <xf numFmtId="3" fontId="0" fillId="0" borderId="0" xfId="0" applyNumberFormat="1" applyAlignment="1">
      <alignment vertical="center" shrinkToFit="1"/>
    </xf>
    <xf numFmtId="0" fontId="13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178" fontId="10" fillId="0" borderId="1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78" fontId="10" fillId="4" borderId="1" xfId="0" applyNumberFormat="1" applyFon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92" fontId="0" fillId="9" borderId="1" xfId="0" applyNumberFormat="1" applyFill="1" applyBorder="1" applyAlignment="1">
      <alignment horizontal="center" vertical="center"/>
    </xf>
    <xf numFmtId="178" fontId="10" fillId="9" borderId="1" xfId="0" applyNumberFormat="1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78" fontId="10" fillId="4" borderId="1" xfId="0" applyNumberFormat="1" applyFont="1" applyFill="1" applyBorder="1" applyAlignment="1">
      <alignment horizontal="center" vertical="center" wrapText="1"/>
    </xf>
    <xf numFmtId="178" fontId="0" fillId="4" borderId="1" xfId="0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7" xfId="0" applyBorder="1" applyAlignment="1">
      <alignment vertical="center"/>
    </xf>
    <xf numFmtId="1" fontId="0" fillId="0" borderId="2" xfId="0" applyNumberFormat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8" xfId="0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1" fontId="0" fillId="4" borderId="2" xfId="0" applyNumberFormat="1" applyFill="1" applyBorder="1" applyAlignment="1">
      <alignment horizontal="center" vertical="center"/>
    </xf>
    <xf numFmtId="185" fontId="0" fillId="0" borderId="17" xfId="0" applyNumberFormat="1" applyBorder="1" applyAlignment="1">
      <alignment vertical="center"/>
    </xf>
    <xf numFmtId="58" fontId="0" fillId="4" borderId="17" xfId="0" applyNumberFormat="1" applyFill="1" applyBorder="1" applyAlignment="1">
      <alignment vertical="center"/>
    </xf>
    <xf numFmtId="0" fontId="0" fillId="0" borderId="22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horizontal="left" shrinkToFit="1"/>
    </xf>
    <xf numFmtId="0" fontId="6" fillId="0" borderId="18" xfId="0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/>
    </xf>
    <xf numFmtId="180" fontId="0" fillId="4" borderId="1" xfId="0" applyNumberFormat="1" applyFill="1" applyBorder="1" applyAlignment="1">
      <alignment horizontal="center" vertical="center"/>
    </xf>
    <xf numFmtId="178" fontId="0" fillId="9" borderId="1" xfId="0" applyNumberFormat="1" applyFill="1" applyBorder="1" applyAlignment="1">
      <alignment horizontal="center" vertical="center"/>
    </xf>
    <xf numFmtId="180" fontId="0" fillId="9" borderId="1" xfId="0" applyNumberFormat="1" applyFill="1" applyBorder="1" applyAlignment="1">
      <alignment horizontal="center" vertical="center"/>
    </xf>
    <xf numFmtId="178" fontId="0" fillId="4" borderId="1" xfId="0" applyNumberFormat="1" applyFill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8" fontId="16" fillId="0" borderId="1" xfId="0" applyNumberFormat="1" applyFont="1" applyBorder="1" applyAlignment="1">
      <alignment horizontal="center" vertical="center"/>
    </xf>
    <xf numFmtId="187" fontId="0" fillId="0" borderId="1" xfId="0" applyNumberForma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center"/>
    </xf>
    <xf numFmtId="178" fontId="16" fillId="4" borderId="1" xfId="0" applyNumberFormat="1" applyFont="1" applyFill="1" applyBorder="1" applyAlignment="1">
      <alignment horizontal="center" vertical="center"/>
    </xf>
    <xf numFmtId="187" fontId="0" fillId="4" borderId="1" xfId="0" applyNumberFormat="1" applyFill="1" applyBorder="1" applyAlignment="1">
      <alignment horizontal="center" vertical="center"/>
    </xf>
    <xf numFmtId="183" fontId="0" fillId="4" borderId="1" xfId="0" applyNumberFormat="1" applyFill="1" applyBorder="1" applyAlignment="1">
      <alignment horizontal="center" vertical="center"/>
    </xf>
    <xf numFmtId="178" fontId="25" fillId="0" borderId="1" xfId="0" applyNumberFormat="1" applyFont="1" applyBorder="1" applyAlignment="1">
      <alignment horizontal="center" vertical="center"/>
    </xf>
    <xf numFmtId="178" fontId="25" fillId="4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189" fontId="0" fillId="9" borderId="1" xfId="0" applyNumberFormat="1" applyFill="1" applyBorder="1" applyAlignment="1">
      <alignment horizontal="center" vertical="center"/>
    </xf>
    <xf numFmtId="189" fontId="0" fillId="9" borderId="2" xfId="0" applyNumberFormat="1" applyFill="1" applyBorder="1" applyAlignment="1">
      <alignment horizontal="center" vertical="center"/>
    </xf>
    <xf numFmtId="189" fontId="0" fillId="4" borderId="2" xfId="0" applyNumberFormat="1" applyFill="1" applyBorder="1" applyAlignment="1">
      <alignment horizontal="center" vertical="center"/>
    </xf>
    <xf numFmtId="20" fontId="5" fillId="9" borderId="23" xfId="0" applyNumberFormat="1" applyFont="1" applyFill="1" applyBorder="1" applyAlignment="1">
      <alignment horizontal="center" vertical="top" wrapText="1" shrinkToFit="1"/>
    </xf>
    <xf numFmtId="20" fontId="5" fillId="9" borderId="11" xfId="0" applyNumberFormat="1" applyFont="1" applyFill="1" applyBorder="1" applyAlignment="1">
      <alignment horizontal="center" vertical="top" wrapText="1" shrinkToFit="1"/>
    </xf>
    <xf numFmtId="20" fontId="5" fillId="9" borderId="24" xfId="0" applyNumberFormat="1" applyFont="1" applyFill="1" applyBorder="1" applyAlignment="1">
      <alignment horizontal="center" vertical="top" wrapText="1" shrinkToFit="1"/>
    </xf>
    <xf numFmtId="177" fontId="10" fillId="0" borderId="1" xfId="0" applyNumberFormat="1" applyFon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top" wrapText="1" shrinkToFit="1"/>
    </xf>
    <xf numFmtId="183" fontId="0" fillId="0" borderId="1" xfId="0" applyNumberFormat="1" applyBorder="1" applyAlignment="1">
      <alignment horizontal="center" vertical="center" wrapText="1" shrinkToFit="1"/>
    </xf>
    <xf numFmtId="0" fontId="0" fillId="0" borderId="8" xfId="0" applyBorder="1" applyAlignment="1">
      <alignment horizontal="center" vertical="center"/>
    </xf>
    <xf numFmtId="177" fontId="25" fillId="0" borderId="1" xfId="0" applyNumberFormat="1" applyFont="1" applyBorder="1" applyAlignment="1">
      <alignment horizontal="center" vertical="center"/>
    </xf>
    <xf numFmtId="178" fontId="10" fillId="4" borderId="2" xfId="0" applyNumberFormat="1" applyFont="1" applyFill="1" applyBorder="1" applyAlignment="1">
      <alignment horizontal="center" vertical="center"/>
    </xf>
    <xf numFmtId="20" fontId="5" fillId="9" borderId="18" xfId="0" applyNumberFormat="1" applyFont="1" applyFill="1" applyBorder="1" applyAlignment="1">
      <alignment horizontal="left" vertical="top" wrapText="1" shrinkToFit="1"/>
    </xf>
    <xf numFmtId="20" fontId="5" fillId="9" borderId="22" xfId="0" applyNumberFormat="1" applyFont="1" applyFill="1" applyBorder="1" applyAlignment="1">
      <alignment horizontal="left" vertical="top" wrapText="1" shrinkToFit="1"/>
    </xf>
    <xf numFmtId="20" fontId="5" fillId="9" borderId="17" xfId="0" applyNumberFormat="1" applyFont="1" applyFill="1" applyBorder="1" applyAlignment="1">
      <alignment horizontal="left" vertical="top" wrapText="1" shrinkToFit="1"/>
    </xf>
    <xf numFmtId="183" fontId="0" fillId="4" borderId="17" xfId="0" applyNumberForma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78" fontId="10" fillId="0" borderId="2" xfId="0" applyNumberFormat="1" applyFont="1" applyBorder="1" applyAlignment="1">
      <alignment horizontal="center" vertical="center"/>
    </xf>
    <xf numFmtId="180" fontId="6" fillId="0" borderId="18" xfId="0" applyNumberFormat="1" applyFont="1" applyBorder="1" applyAlignment="1">
      <alignment horizontal="left" vertical="top" wrapText="1" shrinkToFit="1"/>
    </xf>
    <xf numFmtId="180" fontId="6" fillId="0" borderId="22" xfId="0" applyNumberFormat="1" applyFont="1" applyBorder="1" applyAlignment="1">
      <alignment horizontal="left" vertical="top" wrapText="1" shrinkToFit="1"/>
    </xf>
    <xf numFmtId="180" fontId="6" fillId="0" borderId="17" xfId="0" applyNumberFormat="1" applyFont="1" applyBorder="1" applyAlignment="1">
      <alignment horizontal="left" vertical="top" wrapText="1" shrinkToFit="1"/>
    </xf>
    <xf numFmtId="177" fontId="0" fillId="0" borderId="1" xfId="0" applyNumberFormat="1" applyBorder="1" applyAlignment="1">
      <alignment horizontal="center" vertical="center"/>
    </xf>
    <xf numFmtId="9" fontId="0" fillId="0" borderId="1" xfId="29" applyFont="1" applyBorder="1" applyAlignment="1">
      <alignment horizontal="center" vertical="center"/>
    </xf>
    <xf numFmtId="180" fontId="0" fillId="9" borderId="2" xfId="0" applyNumberFormat="1" applyFill="1" applyBorder="1" applyAlignment="1">
      <alignment horizontal="center" vertical="center"/>
    </xf>
    <xf numFmtId="178" fontId="25" fillId="4" borderId="1" xfId="0" applyNumberFormat="1" applyFont="1" applyFill="1" applyBorder="1" applyAlignment="1">
      <alignment horizontal="center" vertical="center"/>
    </xf>
    <xf numFmtId="178" fontId="10" fillId="0" borderId="1" xfId="0" applyNumberFormat="1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 wrapText="1"/>
    </xf>
    <xf numFmtId="189" fontId="0" fillId="4" borderId="1" xfId="0" applyNumberForma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192" fontId="0" fillId="4" borderId="1" xfId="0" applyNumberFormat="1" applyFill="1" applyBorder="1" applyAlignment="1">
      <alignment horizontal="center" vertical="center"/>
    </xf>
    <xf numFmtId="49" fontId="0" fillId="0" borderId="2" xfId="10" applyNumberFormat="1" applyFont="1" applyBorder="1" applyAlignment="1">
      <alignment horizontal="center" vertical="center"/>
    </xf>
    <xf numFmtId="186" fontId="0" fillId="4" borderId="2" xfId="10" applyNumberFormat="1" applyFont="1" applyFill="1" applyBorder="1" applyAlignment="1">
      <alignment horizontal="center" vertical="center"/>
    </xf>
    <xf numFmtId="186" fontId="0" fillId="0" borderId="2" xfId="10" applyNumberFormat="1" applyFont="1" applyBorder="1" applyAlignment="1">
      <alignment horizontal="center" vertical="center"/>
    </xf>
    <xf numFmtId="58" fontId="0" fillId="0" borderId="17" xfId="0" applyNumberFormat="1" applyBorder="1" applyAlignment="1">
      <alignment vertical="center"/>
    </xf>
    <xf numFmtId="186" fontId="0" fillId="0" borderId="2" xfId="10" applyNumberFormat="1" applyFont="1" applyFill="1" applyBorder="1" applyAlignment="1">
      <alignment horizontal="center" vertical="center"/>
    </xf>
    <xf numFmtId="184" fontId="0" fillId="0" borderId="17" xfId="0" applyNumberFormat="1" applyBorder="1" applyAlignment="1">
      <alignment vertical="center"/>
    </xf>
    <xf numFmtId="186" fontId="0" fillId="0" borderId="2" xfId="10" applyNumberFormat="1" applyFont="1" applyBorder="1" applyAlignment="1">
      <alignment horizontal="right" vertical="center"/>
    </xf>
    <xf numFmtId="189" fontId="0" fillId="4" borderId="17" xfId="0" applyNumberFormat="1" applyFill="1" applyBorder="1" applyAlignment="1">
      <alignment vertical="center"/>
    </xf>
    <xf numFmtId="177" fontId="0" fillId="4" borderId="2" xfId="0" applyNumberFormat="1" applyFill="1" applyBorder="1" applyAlignment="1">
      <alignment horizontal="right" vertical="center"/>
    </xf>
    <xf numFmtId="186" fontId="0" fillId="9" borderId="2" xfId="10" applyNumberFormat="1" applyFont="1" applyFill="1" applyBorder="1" applyAlignment="1">
      <alignment horizontal="right" vertical="center"/>
    </xf>
    <xf numFmtId="0" fontId="0" fillId="4" borderId="2" xfId="0" applyFill="1" applyBorder="1" applyAlignment="1">
      <alignment vertical="center"/>
    </xf>
    <xf numFmtId="178" fontId="10" fillId="0" borderId="1" xfId="0" applyNumberFormat="1" applyFont="1" applyBorder="1" applyAlignment="1">
      <alignment horizontal="right" vertical="center"/>
    </xf>
    <xf numFmtId="10" fontId="0" fillId="0" borderId="1" xfId="0" applyNumberFormat="1" applyBorder="1" applyAlignment="1">
      <alignment horizontal="center" vertical="center"/>
    </xf>
    <xf numFmtId="178" fontId="10" fillId="4" borderId="1" xfId="0" applyNumberFormat="1" applyFont="1" applyFill="1" applyBorder="1" applyAlignment="1">
      <alignment horizontal="right" vertical="center"/>
    </xf>
    <xf numFmtId="10" fontId="0" fillId="4" borderId="1" xfId="0" applyNumberFormat="1" applyFill="1" applyBorder="1" applyAlignment="1">
      <alignment horizontal="center" vertical="center"/>
    </xf>
    <xf numFmtId="178" fontId="10" fillId="4" borderId="2" xfId="0" applyNumberFormat="1" applyFont="1" applyFill="1" applyBorder="1" applyAlignment="1">
      <alignment horizontal="right" vertical="center"/>
    </xf>
    <xf numFmtId="187" fontId="0" fillId="4" borderId="2" xfId="0" applyNumberFormat="1" applyFill="1" applyBorder="1" applyAlignment="1">
      <alignment horizontal="center" vertical="center"/>
    </xf>
    <xf numFmtId="183" fontId="0" fillId="4" borderId="2" xfId="0" applyNumberForma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178" fontId="0" fillId="0" borderId="2" xfId="0" applyNumberForma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8" fontId="6" fillId="4" borderId="2" xfId="0" applyNumberFormat="1" applyFont="1" applyFill="1" applyBorder="1" applyAlignment="1">
      <alignment horizontal="center" vertical="center"/>
    </xf>
    <xf numFmtId="180" fontId="0" fillId="4" borderId="2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177" fontId="0" fillId="4" borderId="1" xfId="0" applyNumberFormat="1" applyFill="1" applyBorder="1" applyAlignment="1">
      <alignment horizontal="center" vertical="center" wrapText="1"/>
    </xf>
    <xf numFmtId="178" fontId="25" fillId="4" borderId="1" xfId="0" applyNumberFormat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8" fontId="25" fillId="9" borderId="1" xfId="0" applyNumberFormat="1" applyFont="1" applyFill="1" applyBorder="1" applyAlignment="1">
      <alignment horizontal="center" vertical="center"/>
    </xf>
    <xf numFmtId="187" fontId="0" fillId="9" borderId="1" xfId="0" applyNumberFormat="1" applyFill="1" applyBorder="1" applyAlignment="1">
      <alignment horizontal="center" vertical="center"/>
    </xf>
    <xf numFmtId="0" fontId="0" fillId="0" borderId="25" xfId="0" applyBorder="1" applyAlignment="1">
      <alignment vertical="center"/>
    </xf>
    <xf numFmtId="178" fontId="25" fillId="0" borderId="1" xfId="0" applyNumberFormat="1" applyFont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85" fontId="0" fillId="0" borderId="17" xfId="0" applyNumberFormat="1" applyBorder="1" applyAlignment="1">
      <alignment horizontal="center" vertical="center"/>
    </xf>
    <xf numFmtId="58" fontId="0" fillId="4" borderId="17" xfId="0" applyNumberForma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178" fontId="1" fillId="14" borderId="26" xfId="0" applyNumberFormat="1" applyFont="1" applyFill="1" applyBorder="1" applyAlignment="1">
      <alignment vertical="center" shrinkToFit="1"/>
    </xf>
    <xf numFmtId="178" fontId="1" fillId="14" borderId="27" xfId="0" applyNumberFormat="1" applyFont="1" applyFill="1" applyBorder="1" applyAlignment="1">
      <alignment vertical="center" shrinkToFit="1"/>
    </xf>
    <xf numFmtId="178" fontId="1" fillId="8" borderId="28" xfId="0" applyNumberFormat="1" applyFont="1" applyFill="1" applyBorder="1" applyAlignment="1">
      <alignment vertical="center" shrinkToFit="1"/>
    </xf>
    <xf numFmtId="178" fontId="1" fillId="8" borderId="29" xfId="0" applyNumberFormat="1" applyFont="1" applyFill="1" applyBorder="1" applyAlignment="1">
      <alignment vertical="center" shrinkToFit="1"/>
    </xf>
    <xf numFmtId="185" fontId="0" fillId="0" borderId="1" xfId="0" applyNumberFormat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20" fontId="0" fillId="0" borderId="1" xfId="0" applyNumberFormat="1" applyBorder="1" applyAlignment="1">
      <alignment vertical="top" wrapText="1" shrinkToFit="1"/>
    </xf>
    <xf numFmtId="0" fontId="6" fillId="2" borderId="1" xfId="0" applyFont="1" applyFill="1" applyBorder="1" applyAlignment="1">
      <alignment horizontal="center" vertical="center" shrinkToFit="1"/>
    </xf>
    <xf numFmtId="178" fontId="0" fillId="13" borderId="30" xfId="0" applyNumberFormat="1" applyFill="1" applyBorder="1" applyAlignment="1">
      <alignment vertical="center"/>
    </xf>
    <xf numFmtId="181" fontId="1" fillId="14" borderId="31" xfId="0" applyNumberFormat="1" applyFont="1" applyFill="1" applyBorder="1" applyAlignment="1">
      <alignment horizontal="left" vertical="center" shrinkToFit="1"/>
    </xf>
    <xf numFmtId="178" fontId="0" fillId="0" borderId="32" xfId="0" applyNumberFormat="1" applyBorder="1" applyAlignment="1">
      <alignment horizontal="left" vertical="center" shrinkToFit="1"/>
    </xf>
    <xf numFmtId="181" fontId="1" fillId="2" borderId="33" xfId="0" applyNumberFormat="1" applyFont="1" applyFill="1" applyBorder="1" applyAlignment="1">
      <alignment horizontal="left" vertical="center" shrinkToFit="1"/>
    </xf>
    <xf numFmtId="0" fontId="0" fillId="7" borderId="2" xfId="0" applyFill="1" applyBorder="1" applyAlignment="1">
      <alignment horizontal="center" vertical="center"/>
    </xf>
    <xf numFmtId="178" fontId="10" fillId="9" borderId="1" xfId="0" applyNumberFormat="1" applyFont="1" applyFill="1" applyBorder="1" applyAlignment="1">
      <alignment vertical="center"/>
    </xf>
    <xf numFmtId="186" fontId="31" fillId="9" borderId="1" xfId="10" applyNumberFormat="1" applyFont="1" applyFill="1" applyBorder="1" applyAlignment="1">
      <alignment vertical="center"/>
    </xf>
    <xf numFmtId="186" fontId="31" fillId="6" borderId="1" xfId="10" applyNumberFormat="1" applyFont="1" applyFill="1" applyBorder="1" applyAlignment="1">
      <alignment vertical="center"/>
    </xf>
    <xf numFmtId="186" fontId="31" fillId="0" borderId="1" xfId="10" applyNumberFormat="1" applyFont="1" applyFill="1" applyBorder="1" applyAlignment="1">
      <alignment vertical="center"/>
    </xf>
    <xf numFmtId="186" fontId="31" fillId="0" borderId="1" xfId="10" applyNumberFormat="1" applyFont="1" applyBorder="1" applyAlignment="1">
      <alignment vertical="center"/>
    </xf>
    <xf numFmtId="0" fontId="31" fillId="7" borderId="1" xfId="0" applyFont="1" applyFill="1" applyBorder="1" applyAlignment="1">
      <alignment horizontal="center" vertical="center"/>
    </xf>
    <xf numFmtId="183" fontId="0" fillId="0" borderId="0" xfId="0" applyNumberFormat="1" applyAlignment="1">
      <alignment vertical="center"/>
    </xf>
    <xf numFmtId="0" fontId="0" fillId="6" borderId="6" xfId="0" applyFill="1" applyBorder="1" applyAlignment="1">
      <alignment vertical="center" wrapText="1"/>
    </xf>
    <xf numFmtId="9" fontId="0" fillId="0" borderId="6" xfId="0" applyNumberFormat="1" applyBorder="1" applyAlignment="1">
      <alignment vertical="center" wrapText="1"/>
    </xf>
    <xf numFmtId="185" fontId="0" fillId="6" borderId="34" xfId="0" applyNumberFormat="1" applyFill="1" applyBorder="1" applyAlignment="1">
      <alignment vertical="center" wrapText="1"/>
    </xf>
    <xf numFmtId="186" fontId="31" fillId="0" borderId="1" xfId="1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 vertical="center"/>
    </xf>
    <xf numFmtId="0" fontId="0" fillId="0" borderId="35" xfId="0" applyBorder="1" applyAlignment="1">
      <alignment vertical="center"/>
    </xf>
    <xf numFmtId="0" fontId="0" fillId="0" borderId="35" xfId="0" applyBorder="1" applyAlignment="1">
      <alignment vertical="center" wrapText="1"/>
    </xf>
    <xf numFmtId="178" fontId="0" fillId="2" borderId="0" xfId="0" applyNumberFormat="1" applyFill="1" applyAlignment="1">
      <alignment vertical="center" wrapText="1"/>
    </xf>
    <xf numFmtId="0" fontId="6" fillId="11" borderId="1" xfId="0" applyFont="1" applyFill="1" applyBorder="1" applyAlignment="1">
      <alignment horizontal="center" vertical="center" wrapText="1"/>
    </xf>
    <xf numFmtId="178" fontId="6" fillId="11" borderId="2" xfId="0" applyNumberFormat="1" applyFont="1" applyFill="1" applyBorder="1" applyAlignment="1">
      <alignment horizontal="center" vertical="center" wrapText="1"/>
    </xf>
    <xf numFmtId="0" fontId="6" fillId="0" borderId="8" xfId="0" applyFont="1" applyBorder="1" applyAlignment="1">
      <alignment vertical="top" wrapText="1"/>
    </xf>
    <xf numFmtId="180" fontId="0" fillId="0" borderId="36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0" fontId="60" fillId="7" borderId="2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 wrapText="1"/>
    </xf>
    <xf numFmtId="0" fontId="59" fillId="11" borderId="2" xfId="0" applyFont="1" applyFill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6" xfId="0" applyBorder="1" applyAlignment="1">
      <alignment vertical="center" wrapText="1"/>
    </xf>
    <xf numFmtId="43" fontId="31" fillId="0" borderId="1" xfId="10" applyFont="1" applyFill="1" applyBorder="1" applyAlignment="1">
      <alignment vertical="center"/>
    </xf>
    <xf numFmtId="186" fontId="10" fillId="15" borderId="1" xfId="10" applyNumberFormat="1" applyFont="1" applyFill="1" applyBorder="1" applyAlignment="1">
      <alignment horizontal="right" vertical="center"/>
    </xf>
    <xf numFmtId="0" fontId="4" fillId="15" borderId="1" xfId="0" applyFont="1" applyFill="1" applyBorder="1" applyAlignment="1">
      <alignment horizontal="center" vertical="center" shrinkToFit="1"/>
    </xf>
    <xf numFmtId="193" fontId="0" fillId="16" borderId="1" xfId="0" applyNumberFormat="1" applyFill="1" applyBorder="1" applyAlignment="1">
      <alignment horizontal="right" vertical="center"/>
    </xf>
    <xf numFmtId="3" fontId="0" fillId="6" borderId="19" xfId="0" applyNumberFormat="1" applyFill="1" applyBorder="1" applyAlignment="1">
      <alignment horizontal="right" vertical="center"/>
    </xf>
    <xf numFmtId="180" fontId="0" fillId="16" borderId="1" xfId="0" applyNumberFormat="1" applyFill="1" applyBorder="1" applyAlignment="1">
      <alignment horizontal="right" vertical="center"/>
    </xf>
    <xf numFmtId="180" fontId="0" fillId="16" borderId="1" xfId="0" applyNumberFormat="1" applyFill="1" applyBorder="1" applyAlignment="1">
      <alignment vertical="center"/>
    </xf>
    <xf numFmtId="9" fontId="0" fillId="16" borderId="1" xfId="0" applyNumberFormat="1" applyFill="1" applyBorder="1" applyAlignment="1">
      <alignment vertical="center"/>
    </xf>
    <xf numFmtId="178" fontId="0" fillId="16" borderId="1" xfId="0" applyNumberFormat="1" applyFill="1" applyBorder="1" applyAlignment="1">
      <alignment vertical="center"/>
    </xf>
    <xf numFmtId="0" fontId="0" fillId="16" borderId="1" xfId="0" applyFill="1" applyBorder="1" applyAlignment="1">
      <alignment horizontal="right" vertical="center" shrinkToFit="1"/>
    </xf>
    <xf numFmtId="10" fontId="31" fillId="0" borderId="1" xfId="10" applyNumberFormat="1" applyFont="1" applyFill="1" applyBorder="1" applyAlignment="1">
      <alignment horizontal="right" vertical="center"/>
    </xf>
    <xf numFmtId="182" fontId="10" fillId="16" borderId="1" xfId="0" applyNumberFormat="1" applyFont="1" applyFill="1" applyBorder="1" applyAlignment="1">
      <alignment horizontal="right" vertical="center" shrinkToFit="1"/>
    </xf>
    <xf numFmtId="182" fontId="10" fillId="15" borderId="1" xfId="10" applyNumberFormat="1" applyFont="1" applyFill="1" applyBorder="1" applyAlignment="1">
      <alignment horizontal="right" vertical="center"/>
    </xf>
    <xf numFmtId="43" fontId="31" fillId="17" borderId="1" xfId="10" applyFont="1" applyFill="1" applyBorder="1" applyAlignment="1">
      <alignment vertical="center"/>
    </xf>
    <xf numFmtId="0" fontId="34" fillId="0" borderId="1" xfId="9" applyFont="1" applyBorder="1" applyProtection="1">
      <alignment vertical="center"/>
      <protection locked="0"/>
    </xf>
    <xf numFmtId="0" fontId="34" fillId="0" borderId="0" xfId="9" applyFont="1" applyProtection="1">
      <alignment vertical="center"/>
      <protection locked="0"/>
    </xf>
    <xf numFmtId="0" fontId="38" fillId="0" borderId="0" xfId="9" applyFont="1" applyProtection="1">
      <alignment vertical="center"/>
      <protection locked="0"/>
    </xf>
    <xf numFmtId="185" fontId="34" fillId="0" borderId="0" xfId="0" applyNumberFormat="1" applyFont="1" applyAlignment="1" applyProtection="1">
      <alignment horizontal="center" vertical="center"/>
      <protection locked="0"/>
    </xf>
    <xf numFmtId="0" fontId="34" fillId="0" borderId="0" xfId="0" applyFont="1" applyProtection="1">
      <protection locked="0"/>
    </xf>
    <xf numFmtId="0" fontId="34" fillId="0" borderId="1" xfId="0" applyFont="1" applyBorder="1" applyAlignment="1" applyProtection="1">
      <alignment horizontal="center" vertical="center"/>
      <protection locked="0"/>
    </xf>
    <xf numFmtId="0" fontId="37" fillId="0" borderId="1" xfId="0" applyFont="1" applyBorder="1" applyAlignment="1" applyProtection="1">
      <alignment vertical="center" wrapText="1"/>
      <protection locked="0"/>
    </xf>
    <xf numFmtId="0" fontId="37" fillId="0" borderId="1" xfId="0" applyFont="1" applyBorder="1" applyAlignment="1" applyProtection="1">
      <alignment horizontal="center" vertical="center" wrapText="1"/>
      <protection locked="0"/>
    </xf>
    <xf numFmtId="0" fontId="34" fillId="0" borderId="2" xfId="0" applyFont="1" applyBorder="1" applyAlignment="1" applyProtection="1">
      <alignment vertical="center" wrapText="1"/>
      <protection locked="0"/>
    </xf>
    <xf numFmtId="0" fontId="34" fillId="0" borderId="1" xfId="0" applyFont="1" applyBorder="1" applyAlignment="1" applyProtection="1">
      <alignment vertical="center"/>
      <protection locked="0"/>
    </xf>
    <xf numFmtId="0" fontId="34" fillId="0" borderId="0" xfId="0" applyFont="1" applyAlignment="1" applyProtection="1">
      <alignment vertical="center"/>
      <protection locked="0"/>
    </xf>
    <xf numFmtId="0" fontId="34" fillId="0" borderId="0" xfId="0" applyFont="1"/>
    <xf numFmtId="184" fontId="34" fillId="0" borderId="0" xfId="0" applyNumberFormat="1" applyFont="1"/>
    <xf numFmtId="10" fontId="34" fillId="0" borderId="1" xfId="29" applyNumberFormat="1" applyFont="1" applyFill="1" applyBorder="1" applyAlignment="1" applyProtection="1">
      <alignment vertical="center"/>
    </xf>
    <xf numFmtId="3" fontId="34" fillId="0" borderId="1" xfId="0" applyNumberFormat="1" applyFont="1" applyBorder="1" applyAlignment="1">
      <alignment vertical="center"/>
    </xf>
    <xf numFmtId="186" fontId="34" fillId="0" borderId="1" xfId="11" applyNumberFormat="1" applyFont="1" applyFill="1" applyBorder="1" applyAlignment="1" applyProtection="1">
      <alignment horizontal="center" vertical="center"/>
    </xf>
    <xf numFmtId="43" fontId="34" fillId="0" borderId="0" xfId="0" applyNumberFormat="1" applyFont="1" applyAlignment="1">
      <alignment vertical="center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4" xfId="0" applyFont="1" applyBorder="1" applyAlignment="1" applyProtection="1">
      <alignment horizontal="center" vertical="center"/>
      <protection locked="0"/>
    </xf>
    <xf numFmtId="0" fontId="37" fillId="0" borderId="0" xfId="0" applyFont="1" applyAlignment="1" applyProtection="1">
      <alignment vertical="center" wrapText="1"/>
      <protection locked="0"/>
    </xf>
    <xf numFmtId="0" fontId="34" fillId="0" borderId="0" xfId="0" applyFont="1" applyAlignment="1" applyProtection="1">
      <alignment horizontal="left" vertical="center" shrinkToFit="1"/>
      <protection locked="0"/>
    </xf>
    <xf numFmtId="0" fontId="34" fillId="0" borderId="0" xfId="0" applyFont="1" applyAlignment="1" applyProtection="1">
      <alignment horizontal="center" vertical="center" shrinkToFit="1"/>
      <protection locked="0"/>
    </xf>
    <xf numFmtId="49" fontId="34" fillId="0" borderId="0" xfId="0" applyNumberFormat="1" applyFont="1" applyAlignment="1" applyProtection="1">
      <alignment horizontal="left" vertical="center"/>
      <protection locked="0"/>
    </xf>
    <xf numFmtId="0" fontId="34" fillId="0" borderId="0" xfId="0" applyFont="1" applyAlignment="1" applyProtection="1">
      <alignment vertical="center" wrapText="1"/>
      <protection locked="0"/>
    </xf>
    <xf numFmtId="186" fontId="34" fillId="0" borderId="0" xfId="0" applyNumberFormat="1" applyFont="1" applyAlignment="1" applyProtection="1">
      <alignment horizontal="center" vertical="center"/>
      <protection locked="0"/>
    </xf>
    <xf numFmtId="182" fontId="34" fillId="0" borderId="0" xfId="0" applyNumberFormat="1" applyFont="1" applyAlignment="1" applyProtection="1">
      <alignment vertical="center"/>
      <protection locked="0"/>
    </xf>
    <xf numFmtId="184" fontId="34" fillId="0" borderId="0" xfId="0" applyNumberFormat="1" applyFont="1" applyAlignment="1" applyProtection="1">
      <alignment horizontal="center" vertical="center"/>
      <protection locked="0"/>
    </xf>
    <xf numFmtId="0" fontId="34" fillId="0" borderId="0" xfId="0" applyFont="1" applyAlignment="1">
      <alignment horizontal="center" vertical="center"/>
    </xf>
    <xf numFmtId="3" fontId="34" fillId="0" borderId="0" xfId="0" applyNumberFormat="1" applyFont="1" applyAlignment="1">
      <alignment vertical="center"/>
    </xf>
    <xf numFmtId="186" fontId="34" fillId="0" borderId="0" xfId="11" applyNumberFormat="1" applyFont="1" applyFill="1" applyBorder="1" applyAlignment="1" applyProtection="1">
      <alignment horizontal="center" vertical="center"/>
    </xf>
    <xf numFmtId="43" fontId="34" fillId="0" borderId="0" xfId="0" applyNumberFormat="1" applyFont="1" applyAlignment="1">
      <alignment horizontal="center" vertical="center" wrapText="1"/>
    </xf>
    <xf numFmtId="184" fontId="61" fillId="0" borderId="1" xfId="11" applyNumberFormat="1" applyFont="1" applyFill="1" applyBorder="1" applyAlignment="1" applyProtection="1">
      <alignment vertical="center"/>
      <protection locked="0"/>
    </xf>
    <xf numFmtId="184" fontId="34" fillId="0" borderId="1" xfId="11" applyNumberFormat="1" applyFont="1" applyFill="1" applyBorder="1" applyAlignment="1" applyProtection="1">
      <alignment vertical="center"/>
      <protection locked="0"/>
    </xf>
    <xf numFmtId="0" fontId="34" fillId="0" borderId="1" xfId="11" applyNumberFormat="1" applyFont="1" applyFill="1" applyBorder="1" applyAlignment="1" applyProtection="1">
      <alignment vertical="center"/>
      <protection locked="0"/>
    </xf>
    <xf numFmtId="185" fontId="34" fillId="0" borderId="1" xfId="11" applyNumberFormat="1" applyFont="1" applyFill="1" applyBorder="1" applyAlignment="1" applyProtection="1">
      <alignment vertical="center"/>
      <protection locked="0"/>
    </xf>
    <xf numFmtId="0" fontId="34" fillId="0" borderId="1" xfId="0" applyFont="1" applyBorder="1" applyAlignment="1" applyProtection="1">
      <alignment vertical="center" wrapText="1"/>
      <protection locked="0"/>
    </xf>
    <xf numFmtId="0" fontId="34" fillId="0" borderId="1" xfId="0" applyFont="1" applyBorder="1" applyProtection="1">
      <protection locked="0"/>
    </xf>
    <xf numFmtId="184" fontId="34" fillId="0" borderId="0" xfId="11" applyNumberFormat="1" applyFont="1" applyFill="1" applyBorder="1" applyAlignment="1" applyProtection="1">
      <alignment vertical="center"/>
      <protection locked="0"/>
    </xf>
    <xf numFmtId="0" fontId="34" fillId="0" borderId="0" xfId="11" applyNumberFormat="1" applyFont="1" applyFill="1" applyBorder="1" applyAlignment="1" applyProtection="1">
      <alignment vertical="center"/>
      <protection locked="0"/>
    </xf>
    <xf numFmtId="185" fontId="34" fillId="0" borderId="0" xfId="11" applyNumberFormat="1" applyFont="1" applyFill="1" applyBorder="1" applyAlignment="1" applyProtection="1">
      <alignment vertical="center"/>
      <protection locked="0"/>
    </xf>
    <xf numFmtId="0" fontId="34" fillId="0" borderId="0" xfId="0" applyFont="1" applyAlignment="1" applyProtection="1">
      <alignment wrapText="1"/>
      <protection locked="0"/>
    </xf>
    <xf numFmtId="184" fontId="34" fillId="0" borderId="0" xfId="0" applyNumberFormat="1" applyFont="1" applyAlignment="1" applyProtection="1">
      <alignment vertical="center"/>
      <protection locked="0"/>
    </xf>
    <xf numFmtId="185" fontId="34" fillId="0" borderId="0" xfId="0" applyNumberFormat="1" applyFont="1" applyAlignment="1" applyProtection="1">
      <alignment vertical="center"/>
      <protection locked="0"/>
    </xf>
    <xf numFmtId="3" fontId="34" fillId="0" borderId="0" xfId="0" applyNumberFormat="1" applyFont="1" applyAlignment="1">
      <alignment horizontal="center" vertical="center"/>
    </xf>
    <xf numFmtId="184" fontId="34" fillId="0" borderId="1" xfId="11" applyNumberFormat="1" applyFont="1" applyFill="1" applyBorder="1" applyAlignment="1" applyProtection="1">
      <alignment horizontal="right" vertical="center"/>
      <protection locked="0"/>
    </xf>
    <xf numFmtId="185" fontId="34" fillId="0" borderId="1" xfId="11" applyNumberFormat="1" applyFont="1" applyFill="1" applyBorder="1" applyAlignment="1" applyProtection="1">
      <alignment horizontal="right" vertical="center"/>
      <protection locked="0"/>
    </xf>
    <xf numFmtId="184" fontId="34" fillId="0" borderId="0" xfId="0" applyNumberFormat="1" applyFont="1" applyAlignment="1" applyProtection="1">
      <alignment horizontal="right" vertical="center"/>
      <protection locked="0"/>
    </xf>
    <xf numFmtId="185" fontId="34" fillId="0" borderId="0" xfId="0" applyNumberFormat="1" applyFont="1" applyAlignment="1" applyProtection="1">
      <alignment horizontal="right" vertical="center"/>
      <protection locked="0"/>
    </xf>
    <xf numFmtId="184" fontId="34" fillId="0" borderId="1" xfId="0" applyNumberFormat="1" applyFont="1" applyBorder="1" applyAlignment="1">
      <alignment vertical="center"/>
    </xf>
    <xf numFmtId="189" fontId="34" fillId="0" borderId="1" xfId="0" applyNumberFormat="1" applyFont="1" applyBorder="1" applyAlignment="1">
      <alignment vertical="center"/>
    </xf>
    <xf numFmtId="0" fontId="34" fillId="0" borderId="0" xfId="0" applyFont="1" applyAlignment="1" applyProtection="1">
      <alignment horizontal="center" vertical="center" wrapText="1"/>
      <protection locked="0"/>
    </xf>
    <xf numFmtId="0" fontId="34" fillId="0" borderId="8" xfId="0" applyFont="1" applyBorder="1" applyAlignment="1" applyProtection="1">
      <alignment vertical="center"/>
      <protection locked="0"/>
    </xf>
    <xf numFmtId="0" fontId="0" fillId="0" borderId="1" xfId="0" applyBorder="1" applyAlignment="1">
      <alignment vertical="center" shrinkToFit="1"/>
    </xf>
    <xf numFmtId="185" fontId="34" fillId="0" borderId="1" xfId="0" applyNumberFormat="1" applyFont="1" applyBorder="1" applyAlignment="1" applyProtection="1">
      <alignment vertical="center"/>
      <protection locked="0"/>
    </xf>
    <xf numFmtId="184" fontId="34" fillId="0" borderId="1" xfId="0" applyNumberFormat="1" applyFont="1" applyBorder="1" applyAlignment="1" applyProtection="1">
      <alignment vertical="center"/>
      <protection locked="0"/>
    </xf>
    <xf numFmtId="10" fontId="34" fillId="0" borderId="1" xfId="0" applyNumberFormat="1" applyFont="1" applyBorder="1" applyAlignment="1">
      <alignment vertical="center"/>
    </xf>
    <xf numFmtId="10" fontId="34" fillId="0" borderId="1" xfId="11" applyNumberFormat="1" applyFont="1" applyFill="1" applyBorder="1" applyAlignment="1" applyProtection="1">
      <alignment vertical="center"/>
    </xf>
    <xf numFmtId="184" fontId="34" fillId="0" borderId="0" xfId="0" applyNumberFormat="1" applyFont="1" applyAlignment="1">
      <alignment vertical="center"/>
    </xf>
    <xf numFmtId="10" fontId="34" fillId="0" borderId="0" xfId="11" applyNumberFormat="1" applyFont="1" applyFill="1" applyBorder="1" applyAlignment="1" applyProtection="1">
      <alignment vertical="center"/>
    </xf>
    <xf numFmtId="189" fontId="34" fillId="0" borderId="0" xfId="0" applyNumberFormat="1" applyFont="1" applyAlignment="1">
      <alignment vertical="center"/>
    </xf>
    <xf numFmtId="185" fontId="34" fillId="0" borderId="0" xfId="0" applyNumberFormat="1" applyFont="1" applyAlignment="1" applyProtection="1">
      <alignment vertical="center" wrapText="1"/>
      <protection locked="0"/>
    </xf>
    <xf numFmtId="185" fontId="34" fillId="0" borderId="1" xfId="0" applyNumberFormat="1" applyFont="1" applyBorder="1" applyAlignment="1" applyProtection="1">
      <alignment horizontal="center" vertical="center"/>
      <protection locked="0"/>
    </xf>
    <xf numFmtId="185" fontId="34" fillId="16" borderId="2" xfId="0" applyNumberFormat="1" applyFont="1" applyFill="1" applyBorder="1" applyAlignment="1" applyProtection="1">
      <alignment horizontal="center" vertical="center" wrapText="1"/>
      <protection locked="0"/>
    </xf>
    <xf numFmtId="3" fontId="34" fillId="0" borderId="8" xfId="0" applyNumberFormat="1" applyFont="1" applyBorder="1" applyAlignment="1">
      <alignment vertical="center"/>
    </xf>
    <xf numFmtId="10" fontId="34" fillId="0" borderId="8" xfId="29" applyNumberFormat="1" applyFont="1" applyFill="1" applyBorder="1" applyAlignment="1" applyProtection="1">
      <alignment vertical="center"/>
    </xf>
    <xf numFmtId="186" fontId="34" fillId="0" borderId="8" xfId="11" applyNumberFormat="1" applyFont="1" applyFill="1" applyBorder="1" applyAlignment="1" applyProtection="1">
      <alignment horizontal="center" vertical="center"/>
    </xf>
    <xf numFmtId="189" fontId="34" fillId="0" borderId="8" xfId="0" applyNumberFormat="1" applyFont="1" applyBorder="1" applyAlignment="1">
      <alignment vertical="center"/>
    </xf>
    <xf numFmtId="0" fontId="34" fillId="0" borderId="9" xfId="0" applyFont="1" applyBorder="1" applyAlignment="1" applyProtection="1">
      <alignment horizontal="center" vertical="center"/>
      <protection locked="0"/>
    </xf>
    <xf numFmtId="0" fontId="37" fillId="0" borderId="9" xfId="0" applyFont="1" applyBorder="1" applyAlignment="1" applyProtection="1">
      <alignment vertical="center" wrapText="1"/>
      <protection locked="0"/>
    </xf>
    <xf numFmtId="0" fontId="34" fillId="0" borderId="9" xfId="9" applyFont="1" applyBorder="1" applyProtection="1">
      <alignment vertical="center"/>
      <protection locked="0"/>
    </xf>
    <xf numFmtId="0" fontId="34" fillId="0" borderId="9" xfId="0" applyFont="1" applyBorder="1" applyAlignment="1" applyProtection="1">
      <alignment vertical="center"/>
      <protection locked="0"/>
    </xf>
    <xf numFmtId="0" fontId="34" fillId="0" borderId="9" xfId="0" applyFont="1" applyBorder="1" applyAlignment="1" applyProtection="1">
      <alignment vertical="center" wrapText="1"/>
      <protection locked="0"/>
    </xf>
    <xf numFmtId="3" fontId="34" fillId="0" borderId="9" xfId="0" applyNumberFormat="1" applyFont="1" applyBorder="1" applyAlignment="1">
      <alignment vertical="center"/>
    </xf>
    <xf numFmtId="184" fontId="34" fillId="0" borderId="9" xfId="0" applyNumberFormat="1" applyFont="1" applyBorder="1" applyAlignment="1">
      <alignment vertical="center"/>
    </xf>
    <xf numFmtId="10" fontId="34" fillId="0" borderId="9" xfId="29" applyNumberFormat="1" applyFont="1" applyFill="1" applyBorder="1" applyAlignment="1" applyProtection="1">
      <alignment vertical="center"/>
    </xf>
    <xf numFmtId="185" fontId="34" fillId="0" borderId="9" xfId="11" applyNumberFormat="1" applyFont="1" applyFill="1" applyBorder="1" applyAlignment="1" applyProtection="1">
      <alignment vertical="center"/>
      <protection locked="0"/>
    </xf>
    <xf numFmtId="184" fontId="34" fillId="0" borderId="9" xfId="0" applyNumberFormat="1" applyFont="1" applyBorder="1" applyAlignment="1" applyProtection="1">
      <alignment vertical="center"/>
      <protection locked="0"/>
    </xf>
    <xf numFmtId="186" fontId="34" fillId="0" borderId="9" xfId="11" applyNumberFormat="1" applyFont="1" applyFill="1" applyBorder="1" applyAlignment="1" applyProtection="1">
      <alignment horizontal="center" vertical="center"/>
    </xf>
    <xf numFmtId="10" fontId="34" fillId="0" borderId="9" xfId="11" applyNumberFormat="1" applyFont="1" applyFill="1" applyBorder="1" applyAlignment="1" applyProtection="1">
      <alignment vertical="center"/>
    </xf>
    <xf numFmtId="189" fontId="34" fillId="0" borderId="9" xfId="0" applyNumberFormat="1" applyFont="1" applyBorder="1" applyAlignment="1">
      <alignment vertical="center"/>
    </xf>
    <xf numFmtId="185" fontId="34" fillId="0" borderId="9" xfId="0" applyNumberFormat="1" applyFont="1" applyBorder="1" applyAlignment="1" applyProtection="1">
      <alignment vertical="center"/>
      <protection locked="0"/>
    </xf>
    <xf numFmtId="0" fontId="37" fillId="0" borderId="9" xfId="0" applyFont="1" applyBorder="1" applyAlignment="1" applyProtection="1">
      <alignment horizontal="center" vertical="center" wrapText="1"/>
      <protection locked="0"/>
    </xf>
    <xf numFmtId="185" fontId="34" fillId="0" borderId="9" xfId="11" applyNumberFormat="1" applyFont="1" applyFill="1" applyBorder="1" applyAlignment="1" applyProtection="1">
      <alignment horizontal="right" vertical="center"/>
      <protection locked="0"/>
    </xf>
    <xf numFmtId="184" fontId="34" fillId="0" borderId="9" xfId="11" applyNumberFormat="1" applyFont="1" applyFill="1" applyBorder="1" applyAlignment="1" applyProtection="1">
      <alignment horizontal="right" vertical="center"/>
      <protection locked="0"/>
    </xf>
    <xf numFmtId="0" fontId="34" fillId="0" borderId="1" xfId="11" applyNumberFormat="1" applyFont="1" applyFill="1" applyBorder="1" applyAlignment="1" applyProtection="1">
      <alignment horizontal="right" vertical="center"/>
      <protection locked="0"/>
    </xf>
    <xf numFmtId="0" fontId="34" fillId="0" borderId="9" xfId="11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Alignment="1" applyProtection="1">
      <alignment horizontal="right" vertical="center"/>
      <protection locked="0"/>
    </xf>
    <xf numFmtId="182" fontId="34" fillId="2" borderId="1" xfId="0" applyNumberFormat="1" applyFont="1" applyFill="1" applyBorder="1" applyAlignment="1">
      <alignment vertical="center"/>
    </xf>
    <xf numFmtId="0" fontId="34" fillId="0" borderId="0" xfId="9" applyFont="1" applyAlignment="1" applyProtection="1">
      <alignment vertical="center" wrapText="1"/>
      <protection locked="0"/>
    </xf>
    <xf numFmtId="0" fontId="38" fillId="0" borderId="0" xfId="9" applyFont="1" applyAlignment="1" applyProtection="1">
      <alignment vertical="center" wrapText="1"/>
      <protection locked="0"/>
    </xf>
    <xf numFmtId="186" fontId="34" fillId="0" borderId="0" xfId="11" applyNumberFormat="1" applyFont="1" applyFill="1" applyBorder="1" applyAlignment="1" applyProtection="1">
      <alignment horizontal="center" vertical="center" wrapText="1"/>
    </xf>
    <xf numFmtId="184" fontId="34" fillId="0" borderId="0" xfId="11" applyNumberFormat="1" applyFont="1" applyFill="1" applyBorder="1" applyAlignment="1" applyProtection="1">
      <alignment vertical="center" wrapText="1"/>
      <protection locked="0"/>
    </xf>
    <xf numFmtId="0" fontId="34" fillId="0" borderId="0" xfId="11" applyNumberFormat="1" applyFont="1" applyFill="1" applyBorder="1" applyAlignment="1" applyProtection="1">
      <alignment horizontal="center" vertical="center" wrapText="1"/>
      <protection locked="0"/>
    </xf>
    <xf numFmtId="186" fontId="34" fillId="2" borderId="1" xfId="0" applyNumberFormat="1" applyFont="1" applyFill="1" applyBorder="1" applyAlignment="1" applyProtection="1">
      <alignment horizontal="center" vertical="center"/>
      <protection locked="0"/>
    </xf>
    <xf numFmtId="186" fontId="34" fillId="2" borderId="1" xfId="0" applyNumberFormat="1" applyFont="1" applyFill="1" applyBorder="1" applyAlignment="1">
      <alignment horizontal="center" vertical="center"/>
    </xf>
    <xf numFmtId="3" fontId="34" fillId="16" borderId="1" xfId="0" applyNumberFormat="1" applyFont="1" applyFill="1" applyBorder="1" applyAlignment="1">
      <alignment horizontal="center" vertical="center" wrapText="1"/>
    </xf>
    <xf numFmtId="3" fontId="34" fillId="16" borderId="2" xfId="0" applyNumberFormat="1" applyFont="1" applyFill="1" applyBorder="1" applyAlignment="1">
      <alignment horizontal="center" vertical="center" wrapText="1"/>
    </xf>
    <xf numFmtId="186" fontId="34" fillId="16" borderId="1" xfId="11" applyNumberFormat="1" applyFont="1" applyFill="1" applyBorder="1" applyAlignment="1" applyProtection="1">
      <alignment horizontal="center" vertical="center" wrapText="1"/>
    </xf>
    <xf numFmtId="0" fontId="34" fillId="0" borderId="1" xfId="11" applyNumberFormat="1" applyFont="1" applyFill="1" applyBorder="1" applyAlignment="1" applyProtection="1">
      <alignment vertical="center"/>
    </xf>
    <xf numFmtId="184" fontId="34" fillId="0" borderId="9" xfId="11" applyNumberFormat="1" applyFont="1" applyFill="1" applyBorder="1" applyAlignment="1" applyProtection="1">
      <alignment vertical="center"/>
      <protection locked="0"/>
    </xf>
    <xf numFmtId="20" fontId="34" fillId="0" borderId="9" xfId="0" applyNumberFormat="1" applyFont="1" applyBorder="1" applyAlignment="1" applyProtection="1">
      <alignment wrapText="1"/>
      <protection locked="0"/>
    </xf>
    <xf numFmtId="0" fontId="34" fillId="0" borderId="1" xfId="9" applyFont="1" applyBorder="1" applyAlignment="1" applyProtection="1">
      <alignment horizontal="left" vertical="center"/>
      <protection locked="0"/>
    </xf>
    <xf numFmtId="0" fontId="34" fillId="0" borderId="1" xfId="0" applyFont="1" applyBorder="1" applyAlignment="1" applyProtection="1">
      <alignment horizontal="left" vertical="center" wrapText="1"/>
      <protection locked="0"/>
    </xf>
    <xf numFmtId="0" fontId="34" fillId="0" borderId="8" xfId="0" applyFont="1" applyBorder="1" applyAlignment="1" applyProtection="1">
      <alignment vertical="center" wrapText="1"/>
      <protection locked="0"/>
    </xf>
    <xf numFmtId="0" fontId="34" fillId="0" borderId="0" xfId="0" applyFont="1" applyAlignment="1">
      <alignment vertical="center"/>
    </xf>
    <xf numFmtId="0" fontId="34" fillId="0" borderId="1" xfId="0" applyFont="1" applyBorder="1" applyAlignment="1">
      <alignment vertical="center"/>
    </xf>
    <xf numFmtId="0" fontId="34" fillId="0" borderId="2" xfId="9" applyFont="1" applyBorder="1" applyProtection="1">
      <alignment vertical="center"/>
      <protection locked="0"/>
    </xf>
    <xf numFmtId="20" fontId="34" fillId="0" borderId="1" xfId="0" applyNumberFormat="1" applyFont="1" applyBorder="1" applyAlignment="1" applyProtection="1">
      <alignment wrapText="1"/>
      <protection locked="0"/>
    </xf>
    <xf numFmtId="184" fontId="34" fillId="0" borderId="1" xfId="0" applyNumberFormat="1" applyFont="1" applyBorder="1" applyAlignment="1" applyProtection="1">
      <alignment horizontal="right" vertical="center"/>
      <protection locked="0"/>
    </xf>
    <xf numFmtId="185" fontId="34" fillId="0" borderId="0" xfId="0" applyNumberFormat="1" applyFont="1" applyAlignment="1" applyProtection="1">
      <alignment horizontal="center" vertical="center" wrapText="1"/>
      <protection locked="0"/>
    </xf>
    <xf numFmtId="0" fontId="34" fillId="0" borderId="2" xfId="0" applyFont="1" applyBorder="1" applyAlignment="1" applyProtection="1">
      <alignment vertical="center"/>
      <protection locked="0"/>
    </xf>
    <xf numFmtId="184" fontId="34" fillId="0" borderId="2" xfId="11" applyNumberFormat="1" applyFont="1" applyFill="1" applyBorder="1" applyAlignment="1" applyProtection="1">
      <alignment vertical="center"/>
      <protection locked="0"/>
    </xf>
    <xf numFmtId="0" fontId="34" fillId="0" borderId="3" xfId="0" applyFont="1" applyBorder="1" applyAlignment="1" applyProtection="1">
      <alignment horizontal="center" vertical="center"/>
      <protection locked="0"/>
    </xf>
    <xf numFmtId="0" fontId="37" fillId="0" borderId="3" xfId="0" applyFont="1" applyBorder="1" applyAlignment="1" applyProtection="1">
      <alignment vertical="center" wrapText="1"/>
      <protection locked="0"/>
    </xf>
    <xf numFmtId="0" fontId="34" fillId="0" borderId="3" xfId="0" applyFont="1" applyBorder="1" applyAlignment="1" applyProtection="1">
      <alignment vertical="center" wrapText="1"/>
      <protection locked="0"/>
    </xf>
    <xf numFmtId="0" fontId="34" fillId="0" borderId="3" xfId="9" applyFont="1" applyBorder="1" applyProtection="1">
      <alignment vertical="center"/>
      <protection locked="0"/>
    </xf>
    <xf numFmtId="0" fontId="34" fillId="0" borderId="3" xfId="0" applyFont="1" applyBorder="1" applyAlignment="1" applyProtection="1">
      <alignment vertical="center"/>
      <protection locked="0"/>
    </xf>
    <xf numFmtId="185" fontId="34" fillId="0" borderId="3" xfId="0" applyNumberFormat="1" applyFont="1" applyBorder="1" applyAlignment="1" applyProtection="1">
      <alignment vertical="center"/>
      <protection locked="0"/>
    </xf>
    <xf numFmtId="184" fontId="34" fillId="0" borderId="3" xfId="0" applyNumberFormat="1" applyFont="1" applyBorder="1" applyAlignment="1" applyProtection="1">
      <alignment vertical="center"/>
      <protection locked="0"/>
    </xf>
    <xf numFmtId="20" fontId="34" fillId="0" borderId="3" xfId="0" applyNumberFormat="1" applyFont="1" applyBorder="1" applyAlignment="1" applyProtection="1">
      <alignment wrapText="1"/>
      <protection locked="0"/>
    </xf>
    <xf numFmtId="0" fontId="34" fillId="0" borderId="38" xfId="0" applyFont="1" applyBorder="1" applyAlignment="1" applyProtection="1">
      <alignment horizontal="center" vertical="center"/>
      <protection locked="0"/>
    </xf>
    <xf numFmtId="0" fontId="34" fillId="0" borderId="8" xfId="11" applyNumberFormat="1" applyFont="1" applyFill="1" applyBorder="1" applyAlignment="1" applyProtection="1">
      <alignment vertical="center"/>
    </xf>
    <xf numFmtId="0" fontId="34" fillId="0" borderId="9" xfId="11" applyNumberFormat="1" applyFont="1" applyFill="1" applyBorder="1" applyAlignment="1" applyProtection="1">
      <alignment vertical="center"/>
    </xf>
    <xf numFmtId="185" fontId="34" fillId="0" borderId="9" xfId="0" applyNumberFormat="1" applyFont="1" applyBorder="1" applyAlignment="1" applyProtection="1">
      <alignment horizontal="center" vertical="center"/>
      <protection locked="0"/>
    </xf>
    <xf numFmtId="185" fontId="34" fillId="0" borderId="8" xfId="0" applyNumberFormat="1" applyFont="1" applyBorder="1" applyAlignment="1" applyProtection="1">
      <alignment horizontal="center" vertical="center"/>
      <protection locked="0"/>
    </xf>
    <xf numFmtId="1" fontId="34" fillId="0" borderId="1" xfId="0" applyNumberFormat="1" applyFont="1" applyBorder="1" applyAlignment="1" applyProtection="1">
      <alignment vertical="center" wrapText="1"/>
      <protection locked="0"/>
    </xf>
    <xf numFmtId="0" fontId="35" fillId="0" borderId="0" xfId="0" applyFont="1" applyAlignment="1">
      <alignment vertical="center"/>
    </xf>
    <xf numFmtId="0" fontId="34" fillId="6" borderId="5" xfId="0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wrapText="1"/>
    </xf>
    <xf numFmtId="185" fontId="34" fillId="6" borderId="5" xfId="0" applyNumberFormat="1" applyFont="1" applyFill="1" applyBorder="1" applyAlignment="1">
      <alignment horizontal="center" vertical="center" wrapText="1"/>
    </xf>
    <xf numFmtId="0" fontId="38" fillId="0" borderId="1" xfId="0" applyFont="1" applyBorder="1" applyAlignment="1">
      <alignment horizontal="left" vertical="top" wrapText="1"/>
    </xf>
    <xf numFmtId="180" fontId="34" fillId="0" borderId="0" xfId="0" applyNumberFormat="1" applyFont="1" applyAlignment="1">
      <alignment horizontal="center" vertical="center"/>
    </xf>
    <xf numFmtId="0" fontId="34" fillId="0" borderId="0" xfId="0" applyFont="1" applyAlignment="1">
      <alignment vertical="center" wrapText="1"/>
    </xf>
    <xf numFmtId="178" fontId="34" fillId="0" borderId="0" xfId="0" applyNumberFormat="1" applyFont="1" applyAlignment="1">
      <alignment vertical="center" wrapText="1"/>
    </xf>
    <xf numFmtId="180" fontId="43" fillId="0" borderId="0" xfId="0" applyNumberFormat="1" applyFont="1" applyAlignment="1">
      <alignment vertical="center" wrapText="1"/>
    </xf>
    <xf numFmtId="180" fontId="34" fillId="0" borderId="0" xfId="0" applyNumberFormat="1" applyFont="1" applyAlignment="1">
      <alignment vertical="center" wrapText="1"/>
    </xf>
    <xf numFmtId="0" fontId="38" fillId="0" borderId="0" xfId="0" applyFont="1" applyAlignment="1">
      <alignment vertical="top" wrapText="1"/>
    </xf>
    <xf numFmtId="183" fontId="34" fillId="0" borderId="0" xfId="0" applyNumberFormat="1" applyFont="1" applyAlignment="1">
      <alignment vertical="center" wrapText="1"/>
    </xf>
    <xf numFmtId="185" fontId="34" fillId="0" borderId="0" xfId="0" applyNumberFormat="1" applyFont="1" applyAlignment="1">
      <alignment vertical="center" wrapText="1"/>
    </xf>
    <xf numFmtId="0" fontId="34" fillId="0" borderId="0" xfId="0" applyFont="1" applyAlignment="1">
      <alignment horizontal="left" vertical="center" wrapText="1"/>
    </xf>
    <xf numFmtId="0" fontId="39" fillId="0" borderId="0" xfId="0" applyFont="1" applyAlignment="1">
      <alignment horizontal="center" vertical="center"/>
    </xf>
    <xf numFmtId="183" fontId="34" fillId="0" borderId="0" xfId="0" applyNumberFormat="1" applyFont="1" applyAlignment="1">
      <alignment vertical="center"/>
    </xf>
    <xf numFmtId="185" fontId="34" fillId="0" borderId="0" xfId="0" applyNumberFormat="1" applyFont="1" applyAlignment="1">
      <alignment horizontal="center" vertical="center"/>
    </xf>
    <xf numFmtId="183" fontId="34" fillId="0" borderId="0" xfId="0" applyNumberFormat="1" applyFont="1" applyAlignment="1">
      <alignment horizontal="left" vertical="center"/>
    </xf>
    <xf numFmtId="9" fontId="34" fillId="0" borderId="0" xfId="0" applyNumberFormat="1" applyFont="1" applyAlignment="1">
      <alignment horizontal="right" vertical="center" wrapText="1"/>
    </xf>
    <xf numFmtId="0" fontId="39" fillId="0" borderId="0" xfId="0" applyFont="1" applyAlignment="1">
      <alignment horizontal="right" vertical="center"/>
    </xf>
    <xf numFmtId="0" fontId="34" fillId="0" borderId="0" xfId="0" applyFont="1" applyAlignment="1">
      <alignment horizontal="right" vertical="center" wrapText="1"/>
    </xf>
    <xf numFmtId="183" fontId="34" fillId="0" borderId="6" xfId="0" applyNumberFormat="1" applyFont="1" applyBorder="1" applyAlignment="1">
      <alignment vertical="center" wrapText="1"/>
    </xf>
    <xf numFmtId="185" fontId="34" fillId="0" borderId="1" xfId="0" applyNumberFormat="1" applyFont="1" applyBorder="1" applyAlignment="1">
      <alignment vertical="center" wrapText="1"/>
    </xf>
    <xf numFmtId="0" fontId="34" fillId="16" borderId="5" xfId="0" applyFont="1" applyFill="1" applyBorder="1" applyAlignment="1">
      <alignment horizontal="center" vertical="center" wrapText="1"/>
    </xf>
    <xf numFmtId="180" fontId="34" fillId="0" borderId="0" xfId="0" applyNumberFormat="1" applyFont="1" applyAlignment="1">
      <alignment vertical="center"/>
    </xf>
    <xf numFmtId="0" fontId="34" fillId="0" borderId="2" xfId="0" applyFont="1" applyBorder="1" applyAlignment="1">
      <alignment vertical="center"/>
    </xf>
    <xf numFmtId="0" fontId="34" fillId="0" borderId="1" xfId="0" applyFont="1" applyBorder="1" applyAlignment="1">
      <alignment horizontal="center" vertical="center"/>
    </xf>
    <xf numFmtId="180" fontId="34" fillId="0" borderId="1" xfId="0" applyNumberFormat="1" applyFont="1" applyBorder="1" applyAlignment="1">
      <alignment horizontal="center" vertical="center"/>
    </xf>
    <xf numFmtId="9" fontId="34" fillId="0" borderId="1" xfId="0" applyNumberFormat="1" applyFont="1" applyBorder="1" applyAlignment="1">
      <alignment horizontal="right" vertical="center" wrapText="1"/>
    </xf>
    <xf numFmtId="0" fontId="34" fillId="0" borderId="1" xfId="0" applyFont="1" applyBorder="1" applyAlignment="1">
      <alignment horizontal="right" vertical="center" wrapText="1"/>
    </xf>
    <xf numFmtId="0" fontId="34" fillId="0" borderId="1" xfId="0" applyFont="1" applyBorder="1" applyAlignment="1">
      <alignment vertical="center" wrapText="1"/>
    </xf>
    <xf numFmtId="178" fontId="34" fillId="0" borderId="1" xfId="0" applyNumberFormat="1" applyFont="1" applyBorder="1" applyAlignment="1">
      <alignment vertical="center" wrapText="1"/>
    </xf>
    <xf numFmtId="180" fontId="43" fillId="0" borderId="1" xfId="0" applyNumberFormat="1" applyFont="1" applyBorder="1" applyAlignment="1">
      <alignment vertical="center" wrapText="1"/>
    </xf>
    <xf numFmtId="183" fontId="34" fillId="0" borderId="1" xfId="0" applyNumberFormat="1" applyFont="1" applyBorder="1" applyAlignment="1">
      <alignment vertical="center" wrapText="1"/>
    </xf>
    <xf numFmtId="180" fontId="34" fillId="0" borderId="1" xfId="0" applyNumberFormat="1" applyFont="1" applyBorder="1" applyAlignment="1">
      <alignment vertical="center" wrapText="1"/>
    </xf>
    <xf numFmtId="0" fontId="38" fillId="0" borderId="1" xfId="0" applyFont="1" applyBorder="1" applyAlignment="1">
      <alignment vertical="top" wrapText="1"/>
    </xf>
    <xf numFmtId="0" fontId="34" fillId="2" borderId="17" xfId="0" applyFont="1" applyFill="1" applyBorder="1" applyAlignment="1">
      <alignment horizontal="right" vertical="center" wrapText="1"/>
    </xf>
    <xf numFmtId="9" fontId="34" fillId="0" borderId="39" xfId="0" applyNumberFormat="1" applyFont="1" applyBorder="1" applyAlignment="1">
      <alignment horizontal="center" vertical="center" wrapText="1"/>
    </xf>
    <xf numFmtId="178" fontId="34" fillId="2" borderId="1" xfId="0" applyNumberFormat="1" applyFont="1" applyFill="1" applyBorder="1" applyAlignment="1">
      <alignment vertical="center" wrapText="1"/>
    </xf>
    <xf numFmtId="0" fontId="34" fillId="2" borderId="18" xfId="0" applyFont="1" applyFill="1" applyBorder="1" applyAlignment="1">
      <alignment horizontal="right" vertical="center" wrapText="1"/>
    </xf>
    <xf numFmtId="178" fontId="34" fillId="2" borderId="17" xfId="0" applyNumberFormat="1" applyFont="1" applyFill="1" applyBorder="1" applyAlignment="1">
      <alignment vertical="center" wrapText="1"/>
    </xf>
    <xf numFmtId="0" fontId="34" fillId="0" borderId="39" xfId="0" applyFont="1" applyBorder="1" applyAlignment="1">
      <alignment horizontal="center" vertical="center" wrapText="1"/>
    </xf>
    <xf numFmtId="178" fontId="34" fillId="0" borderId="0" xfId="0" applyNumberFormat="1" applyFont="1" applyAlignment="1">
      <alignment horizontal="center" vertical="center" wrapText="1"/>
    </xf>
    <xf numFmtId="0" fontId="34" fillId="0" borderId="40" xfId="0" applyFont="1" applyBorder="1" applyAlignment="1">
      <alignment horizontal="center" vertical="center"/>
    </xf>
    <xf numFmtId="0" fontId="34" fillId="0" borderId="41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8" xfId="0" applyFont="1" applyBorder="1" applyAlignment="1">
      <alignment vertical="center"/>
    </xf>
    <xf numFmtId="0" fontId="44" fillId="0" borderId="39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0" borderId="43" xfId="0" applyFont="1" applyBorder="1" applyAlignment="1">
      <alignment vertical="center"/>
    </xf>
    <xf numFmtId="0" fontId="34" fillId="0" borderId="19" xfId="0" applyFont="1" applyBorder="1" applyAlignment="1">
      <alignment vertical="center"/>
    </xf>
    <xf numFmtId="0" fontId="34" fillId="0" borderId="25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43" fontId="34" fillId="0" borderId="20" xfId="10" applyFont="1" applyFill="1" applyBorder="1" applyAlignment="1">
      <alignment vertical="center"/>
    </xf>
    <xf numFmtId="43" fontId="34" fillId="0" borderId="0" xfId="10" applyFont="1" applyFill="1" applyBorder="1" applyAlignment="1">
      <alignment vertical="center"/>
    </xf>
    <xf numFmtId="0" fontId="46" fillId="0" borderId="0" xfId="0" applyFont="1" applyAlignment="1">
      <alignment horizontal="left" vertical="center"/>
    </xf>
    <xf numFmtId="190" fontId="34" fillId="6" borderId="0" xfId="0" quotePrefix="1" applyNumberFormat="1" applyFont="1" applyFill="1" applyAlignment="1">
      <alignment horizontal="left" vertical="center"/>
    </xf>
    <xf numFmtId="191" fontId="34" fillId="6" borderId="0" xfId="0" applyNumberFormat="1" applyFont="1" applyFill="1" applyAlignment="1">
      <alignment horizontal="left" vertical="center"/>
    </xf>
    <xf numFmtId="190" fontId="34" fillId="0" borderId="19" xfId="0" applyNumberFormat="1" applyFont="1" applyBorder="1" applyAlignment="1">
      <alignment horizontal="left" vertical="center"/>
    </xf>
    <xf numFmtId="191" fontId="34" fillId="0" borderId="19" xfId="0" applyNumberFormat="1" applyFont="1" applyBorder="1" applyAlignment="1">
      <alignment horizontal="left" vertical="center"/>
    </xf>
    <xf numFmtId="0" fontId="46" fillId="0" borderId="22" xfId="0" applyFont="1" applyBorder="1" applyAlignment="1">
      <alignment horizontal="left" vertical="center"/>
    </xf>
    <xf numFmtId="0" fontId="34" fillId="0" borderId="19" xfId="0" applyFont="1" applyBorder="1" applyAlignment="1">
      <alignment horizontal="center" vertical="center"/>
    </xf>
    <xf numFmtId="0" fontId="43" fillId="0" borderId="19" xfId="0" applyFont="1" applyBorder="1" applyAlignment="1">
      <alignment horizontal="center" vertical="center"/>
    </xf>
    <xf numFmtId="0" fontId="34" fillId="7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0" fontId="34" fillId="7" borderId="1" xfId="0" applyFont="1" applyFill="1" applyBorder="1" applyAlignment="1">
      <alignment horizontal="center" vertical="center" wrapText="1"/>
    </xf>
    <xf numFmtId="0" fontId="34" fillId="0" borderId="2" xfId="0" applyFont="1" applyBorder="1" applyAlignment="1">
      <alignment horizontal="center" vertical="center" wrapText="1"/>
    </xf>
    <xf numFmtId="178" fontId="34" fillId="0" borderId="2" xfId="0" applyNumberFormat="1" applyFont="1" applyBorder="1" applyAlignment="1">
      <alignment vertical="center"/>
    </xf>
    <xf numFmtId="182" fontId="34" fillId="0" borderId="2" xfId="0" applyNumberFormat="1" applyFont="1" applyBorder="1" applyAlignment="1">
      <alignment vertical="center"/>
    </xf>
    <xf numFmtId="182" fontId="34" fillId="0" borderId="1" xfId="0" applyNumberFormat="1" applyFont="1" applyBorder="1" applyAlignment="1">
      <alignment vertical="center"/>
    </xf>
    <xf numFmtId="182" fontId="34" fillId="0" borderId="2" xfId="0" applyNumberFormat="1" applyFont="1" applyBorder="1" applyAlignment="1">
      <alignment horizontal="right" vertical="center"/>
    </xf>
    <xf numFmtId="182" fontId="34" fillId="8" borderId="2" xfId="0" applyNumberFormat="1" applyFont="1" applyFill="1" applyBorder="1" applyAlignment="1">
      <alignment vertical="center"/>
    </xf>
    <xf numFmtId="0" fontId="47" fillId="0" borderId="23" xfId="0" applyFont="1" applyBorder="1" applyAlignment="1">
      <alignment vertical="center"/>
    </xf>
    <xf numFmtId="0" fontId="34" fillId="0" borderId="11" xfId="0" applyFont="1" applyBorder="1" applyAlignment="1">
      <alignment horizontal="right" vertical="center" wrapText="1"/>
    </xf>
    <xf numFmtId="182" fontId="34" fillId="0" borderId="11" xfId="0" applyNumberFormat="1" applyFont="1" applyBorder="1" applyAlignment="1">
      <alignment vertical="center"/>
    </xf>
    <xf numFmtId="0" fontId="34" fillId="0" borderId="24" xfId="0" applyFont="1" applyBorder="1" applyAlignment="1">
      <alignment vertical="center"/>
    </xf>
    <xf numFmtId="0" fontId="34" fillId="0" borderId="43" xfId="0" applyFont="1" applyBorder="1" applyAlignment="1">
      <alignment horizontal="right" vertical="center" wrapText="1"/>
    </xf>
    <xf numFmtId="0" fontId="34" fillId="0" borderId="19" xfId="0" applyFont="1" applyBorder="1" applyAlignment="1">
      <alignment horizontal="right" vertical="center" wrapText="1"/>
    </xf>
    <xf numFmtId="182" fontId="34" fillId="0" borderId="19" xfId="0" applyNumberFormat="1" applyFont="1" applyBorder="1" applyAlignment="1">
      <alignment vertical="center"/>
    </xf>
    <xf numFmtId="0" fontId="34" fillId="0" borderId="25" xfId="0" applyFont="1" applyBorder="1" applyAlignment="1">
      <alignment vertical="center"/>
    </xf>
    <xf numFmtId="0" fontId="34" fillId="0" borderId="2" xfId="0" applyFont="1" applyBorder="1" applyAlignment="1">
      <alignment vertical="center" wrapText="1"/>
    </xf>
    <xf numFmtId="182" fontId="34" fillId="0" borderId="0" xfId="0" applyNumberFormat="1" applyFont="1" applyAlignment="1">
      <alignment vertical="center"/>
    </xf>
    <xf numFmtId="0" fontId="34" fillId="0" borderId="1" xfId="0" applyFont="1" applyBorder="1" applyAlignment="1">
      <alignment horizontal="right" vertical="center"/>
    </xf>
    <xf numFmtId="0" fontId="34" fillId="8" borderId="1" xfId="0" applyFont="1" applyFill="1" applyBorder="1" applyAlignment="1">
      <alignment horizontal="right" vertical="center"/>
    </xf>
    <xf numFmtId="0" fontId="34" fillId="8" borderId="1" xfId="0" applyFont="1" applyFill="1" applyBorder="1" applyAlignment="1">
      <alignment vertical="center"/>
    </xf>
    <xf numFmtId="0" fontId="48" fillId="0" borderId="1" xfId="0" applyFont="1" applyBorder="1" applyAlignment="1">
      <alignment horizontal="left" vertical="center"/>
    </xf>
    <xf numFmtId="0" fontId="0" fillId="2" borderId="1" xfId="0" applyFill="1" applyBorder="1" applyAlignment="1">
      <alignment horizontal="center" vertical="center" shrinkToFit="1"/>
    </xf>
    <xf numFmtId="0" fontId="13" fillId="2" borderId="1" xfId="0" applyFont="1" applyFill="1" applyBorder="1" applyAlignment="1">
      <alignment horizontal="center" vertical="center" shrinkToFit="1"/>
    </xf>
    <xf numFmtId="0" fontId="12" fillId="0" borderId="19" xfId="0" applyFont="1" applyBorder="1"/>
    <xf numFmtId="0" fontId="0" fillId="2" borderId="1" xfId="0" applyFill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192" fontId="0" fillId="16" borderId="1" xfId="0" applyNumberFormat="1" applyFill="1" applyBorder="1" applyAlignment="1">
      <alignment vertical="center"/>
    </xf>
    <xf numFmtId="10" fontId="0" fillId="0" borderId="1" xfId="0" applyNumberFormat="1" applyBorder="1" applyAlignment="1">
      <alignment vertical="center"/>
    </xf>
    <xf numFmtId="9" fontId="0" fillId="0" borderId="1" xfId="0" applyNumberFormat="1" applyBorder="1" applyAlignment="1">
      <alignment vertical="center"/>
    </xf>
    <xf numFmtId="180" fontId="0" fillId="0" borderId="1" xfId="0" applyNumberFormat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8" fontId="59" fillId="0" borderId="2" xfId="0" applyNumberFormat="1" applyFont="1" applyBorder="1" applyAlignment="1">
      <alignment horizontal="center" vertical="center" wrapText="1"/>
    </xf>
    <xf numFmtId="178" fontId="59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183" fontId="0" fillId="17" borderId="1" xfId="0" applyNumberFormat="1" applyFill="1" applyBorder="1" applyAlignment="1">
      <alignment vertical="center"/>
    </xf>
    <xf numFmtId="186" fontId="0" fillId="6" borderId="1" xfId="0" applyNumberFormat="1" applyFill="1" applyBorder="1" applyAlignment="1">
      <alignment vertical="center"/>
    </xf>
    <xf numFmtId="186" fontId="0" fillId="0" borderId="1" xfId="0" applyNumberFormat="1" applyBorder="1" applyAlignment="1">
      <alignment vertical="center"/>
    </xf>
    <xf numFmtId="185" fontId="0" fillId="6" borderId="1" xfId="0" applyNumberFormat="1" applyFill="1" applyBorder="1" applyAlignment="1">
      <alignment vertical="center"/>
    </xf>
    <xf numFmtId="183" fontId="0" fillId="0" borderId="1" xfId="0" applyNumberFormat="1" applyBorder="1" applyAlignment="1">
      <alignment vertical="center"/>
    </xf>
    <xf numFmtId="187" fontId="0" fillId="0" borderId="1" xfId="0" applyNumberFormat="1" applyBorder="1" applyAlignment="1">
      <alignment vertical="center"/>
    </xf>
    <xf numFmtId="186" fontId="0" fillId="16" borderId="1" xfId="0" applyNumberFormat="1" applyFill="1" applyBorder="1" applyAlignment="1">
      <alignment horizontal="right" vertical="center"/>
    </xf>
    <xf numFmtId="187" fontId="31" fillId="0" borderId="1" xfId="0" applyNumberFormat="1" applyFont="1" applyBorder="1" applyAlignment="1">
      <alignment vertical="center"/>
    </xf>
    <xf numFmtId="183" fontId="31" fillId="0" borderId="1" xfId="0" applyNumberFormat="1" applyFont="1" applyBorder="1" applyAlignment="1">
      <alignment vertical="center"/>
    </xf>
    <xf numFmtId="1" fontId="0" fillId="0" borderId="1" xfId="0" applyNumberFormat="1" applyBorder="1" applyAlignment="1">
      <alignment vertical="center"/>
    </xf>
    <xf numFmtId="1" fontId="0" fillId="16" borderId="1" xfId="0" applyNumberFormat="1" applyFill="1" applyBorder="1" applyAlignment="1">
      <alignment vertical="center"/>
    </xf>
    <xf numFmtId="0" fontId="0" fillId="0" borderId="1" xfId="0" applyBorder="1" applyAlignment="1">
      <alignment horizontal="right" vertical="center" shrinkToFit="1"/>
    </xf>
    <xf numFmtId="0" fontId="0" fillId="0" borderId="20" xfId="0" applyBorder="1" applyAlignment="1">
      <alignment vertical="top" wrapText="1" shrinkToFit="1"/>
    </xf>
    <xf numFmtId="0" fontId="0" fillId="0" borderId="0" xfId="0" applyAlignment="1">
      <alignment vertical="top" wrapText="1" shrinkToFit="1"/>
    </xf>
    <xf numFmtId="0" fontId="0" fillId="0" borderId="38" xfId="0" applyBorder="1" applyAlignment="1">
      <alignment vertical="top" wrapText="1" shrinkToFit="1"/>
    </xf>
    <xf numFmtId="0" fontId="0" fillId="0" borderId="43" xfId="0" applyBorder="1" applyAlignment="1">
      <alignment vertical="top" wrapText="1" shrinkToFit="1"/>
    </xf>
    <xf numFmtId="0" fontId="0" fillId="0" borderId="19" xfId="0" applyBorder="1" applyAlignment="1">
      <alignment vertical="top" wrapText="1" shrinkToFit="1"/>
    </xf>
    <xf numFmtId="0" fontId="0" fillId="0" borderId="25" xfId="0" applyBorder="1" applyAlignment="1">
      <alignment vertical="top" wrapText="1" shrinkToFit="1"/>
    </xf>
    <xf numFmtId="10" fontId="31" fillId="16" borderId="1" xfId="10" applyNumberFormat="1" applyFont="1" applyFill="1" applyBorder="1" applyAlignment="1">
      <alignment horizontal="right" vertical="center"/>
    </xf>
    <xf numFmtId="182" fontId="10" fillId="0" borderId="1" xfId="0" applyNumberFormat="1" applyFont="1" applyBorder="1" applyAlignment="1">
      <alignment horizontal="right" vertical="center" shrinkToFit="1"/>
    </xf>
    <xf numFmtId="178" fontId="13" fillId="18" borderId="44" xfId="0" applyNumberFormat="1" applyFont="1" applyFill="1" applyBorder="1" applyAlignment="1">
      <alignment vertical="center" shrinkToFit="1"/>
    </xf>
    <xf numFmtId="178" fontId="1" fillId="9" borderId="0" xfId="0" applyNumberFormat="1" applyFont="1" applyFill="1" applyAlignment="1">
      <alignment vertical="center" shrinkToFit="1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178" fontId="0" fillId="0" borderId="21" xfId="0" applyNumberFormat="1" applyBorder="1" applyAlignment="1">
      <alignment vertical="center"/>
    </xf>
    <xf numFmtId="0" fontId="34" fillId="2" borderId="1" xfId="0" applyFont="1" applyFill="1" applyBorder="1" applyAlignment="1">
      <alignment horizontal="center" vertical="center" shrinkToFit="1"/>
    </xf>
    <xf numFmtId="0" fontId="34" fillId="0" borderId="1" xfId="0" applyFont="1" applyBorder="1" applyAlignment="1">
      <alignment vertical="center" shrinkToFit="1"/>
    </xf>
    <xf numFmtId="190" fontId="34" fillId="6" borderId="19" xfId="0" applyNumberFormat="1" applyFont="1" applyFill="1" applyBorder="1" applyAlignment="1">
      <alignment horizontal="left" vertical="center"/>
    </xf>
    <xf numFmtId="3" fontId="34" fillId="6" borderId="19" xfId="0" applyNumberFormat="1" applyFont="1" applyFill="1" applyBorder="1" applyAlignment="1">
      <alignment horizontal="right" vertical="center"/>
    </xf>
    <xf numFmtId="0" fontId="34" fillId="6" borderId="0" xfId="0" applyFont="1" applyFill="1" applyAlignment="1">
      <alignment horizontal="center" vertical="center"/>
    </xf>
    <xf numFmtId="0" fontId="39" fillId="0" borderId="0" xfId="0" applyFont="1" applyAlignment="1">
      <alignment horizontal="center"/>
    </xf>
    <xf numFmtId="0" fontId="43" fillId="0" borderId="19" xfId="0" applyFont="1" applyBorder="1"/>
    <xf numFmtId="0" fontId="34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 wrapText="1"/>
    </xf>
    <xf numFmtId="0" fontId="39" fillId="7" borderId="1" xfId="0" applyFont="1" applyFill="1" applyBorder="1" applyAlignment="1">
      <alignment horizontal="center" vertical="center" wrapText="1"/>
    </xf>
    <xf numFmtId="0" fontId="39" fillId="11" borderId="1" xfId="0" applyFont="1" applyFill="1" applyBorder="1" applyAlignment="1">
      <alignment horizontal="center" vertical="center" wrapText="1"/>
    </xf>
    <xf numFmtId="0" fontId="39" fillId="2" borderId="1" xfId="0" applyFont="1" applyFill="1" applyBorder="1" applyAlignment="1">
      <alignment horizontal="center" vertical="center" shrinkToFit="1"/>
    </xf>
    <xf numFmtId="0" fontId="63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left" vertical="center"/>
    </xf>
    <xf numFmtId="180" fontId="34" fillId="0" borderId="1" xfId="0" applyNumberFormat="1" applyFont="1" applyBorder="1" applyAlignment="1">
      <alignment horizontal="right" vertical="center"/>
    </xf>
    <xf numFmtId="192" fontId="34" fillId="0" borderId="1" xfId="0" applyNumberFormat="1" applyFont="1" applyBorder="1" applyAlignment="1">
      <alignment vertical="center"/>
    </xf>
    <xf numFmtId="0" fontId="63" fillId="0" borderId="1" xfId="0" applyFont="1" applyBorder="1" applyAlignment="1">
      <alignment vertical="center"/>
    </xf>
    <xf numFmtId="178" fontId="63" fillId="0" borderId="1" xfId="0" applyNumberFormat="1" applyFont="1" applyBorder="1" applyAlignment="1">
      <alignment vertical="center"/>
    </xf>
    <xf numFmtId="0" fontId="34" fillId="16" borderId="1" xfId="0" applyFont="1" applyFill="1" applyBorder="1" applyAlignment="1">
      <alignment horizontal="center" vertical="center"/>
    </xf>
    <xf numFmtId="0" fontId="34" fillId="16" borderId="1" xfId="0" applyFont="1" applyFill="1" applyBorder="1" applyAlignment="1">
      <alignment vertical="center"/>
    </xf>
    <xf numFmtId="180" fontId="34" fillId="16" borderId="1" xfId="0" applyNumberFormat="1" applyFont="1" applyFill="1" applyBorder="1" applyAlignment="1">
      <alignment horizontal="right" vertical="center"/>
    </xf>
    <xf numFmtId="192" fontId="34" fillId="16" borderId="1" xfId="0" applyNumberFormat="1" applyFont="1" applyFill="1" applyBorder="1" applyAlignment="1">
      <alignment vertical="center"/>
    </xf>
    <xf numFmtId="178" fontId="34" fillId="16" borderId="1" xfId="0" applyNumberFormat="1" applyFont="1" applyFill="1" applyBorder="1" applyAlignment="1">
      <alignment vertical="center"/>
    </xf>
    <xf numFmtId="9" fontId="34" fillId="0" borderId="1" xfId="0" applyNumberFormat="1" applyFont="1" applyBorder="1" applyAlignment="1">
      <alignment vertical="center"/>
    </xf>
    <xf numFmtId="180" fontId="34" fillId="0" borderId="1" xfId="0" applyNumberFormat="1" applyFont="1" applyBorder="1" applyAlignment="1">
      <alignment vertical="center"/>
    </xf>
    <xf numFmtId="186" fontId="34" fillId="0" borderId="1" xfId="10" applyNumberFormat="1" applyFont="1" applyFill="1" applyBorder="1" applyAlignment="1">
      <alignment vertical="center"/>
    </xf>
    <xf numFmtId="178" fontId="34" fillId="0" borderId="1" xfId="0" applyNumberFormat="1" applyFont="1" applyBorder="1" applyAlignment="1">
      <alignment vertical="center"/>
    </xf>
    <xf numFmtId="20" fontId="34" fillId="0" borderId="1" xfId="0" applyNumberFormat="1" applyFont="1" applyBorder="1" applyAlignment="1">
      <alignment horizontal="left" vertical="top" wrapText="1" shrinkToFit="1"/>
    </xf>
    <xf numFmtId="9" fontId="34" fillId="16" borderId="1" xfId="0" applyNumberFormat="1" applyFont="1" applyFill="1" applyBorder="1" applyAlignment="1">
      <alignment vertical="center"/>
    </xf>
    <xf numFmtId="180" fontId="34" fillId="16" borderId="1" xfId="0" applyNumberFormat="1" applyFont="1" applyFill="1" applyBorder="1" applyAlignment="1">
      <alignment vertical="center"/>
    </xf>
    <xf numFmtId="43" fontId="34" fillId="0" borderId="1" xfId="10" applyFont="1" applyFill="1" applyBorder="1" applyAlignment="1">
      <alignment horizontal="right" vertical="center"/>
    </xf>
    <xf numFmtId="186" fontId="34" fillId="16" borderId="1" xfId="10" applyNumberFormat="1" applyFont="1" applyFill="1" applyBorder="1" applyAlignment="1">
      <alignment vertical="center"/>
    </xf>
    <xf numFmtId="178" fontId="64" fillId="0" borderId="1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0" fontId="34" fillId="9" borderId="1" xfId="0" applyFont="1" applyFill="1" applyBorder="1" applyAlignment="1">
      <alignment horizontal="center" vertical="center"/>
    </xf>
    <xf numFmtId="185" fontId="34" fillId="0" borderId="1" xfId="0" applyNumberFormat="1" applyFont="1" applyBorder="1" applyAlignment="1">
      <alignment vertical="center"/>
    </xf>
    <xf numFmtId="1" fontId="51" fillId="9" borderId="1" xfId="0" applyNumberFormat="1" applyFont="1" applyFill="1" applyBorder="1" applyAlignment="1">
      <alignment vertical="center"/>
    </xf>
    <xf numFmtId="0" fontId="34" fillId="9" borderId="1" xfId="0" applyFont="1" applyFill="1" applyBorder="1" applyAlignment="1">
      <alignment vertical="center"/>
    </xf>
    <xf numFmtId="186" fontId="34" fillId="9" borderId="1" xfId="10" applyNumberFormat="1" applyFont="1" applyFill="1" applyBorder="1" applyAlignment="1">
      <alignment vertical="center"/>
    </xf>
    <xf numFmtId="178" fontId="50" fillId="9" borderId="1" xfId="0" applyNumberFormat="1" applyFont="1" applyFill="1" applyBorder="1" applyAlignment="1">
      <alignment vertical="center"/>
    </xf>
    <xf numFmtId="1" fontId="51" fillId="6" borderId="1" xfId="0" applyNumberFormat="1" applyFont="1" applyFill="1" applyBorder="1" applyAlignment="1">
      <alignment vertical="center"/>
    </xf>
    <xf numFmtId="186" fontId="34" fillId="6" borderId="1" xfId="0" applyNumberFormat="1" applyFont="1" applyFill="1" applyBorder="1" applyAlignment="1">
      <alignment vertical="center"/>
    </xf>
    <xf numFmtId="178" fontId="50" fillId="6" borderId="1" xfId="0" applyNumberFormat="1" applyFont="1" applyFill="1" applyBorder="1" applyAlignment="1">
      <alignment vertical="center"/>
    </xf>
    <xf numFmtId="1" fontId="51" fillId="0" borderId="1" xfId="0" applyNumberFormat="1" applyFont="1" applyBorder="1" applyAlignment="1">
      <alignment vertical="center"/>
    </xf>
    <xf numFmtId="186" fontId="34" fillId="0" borderId="1" xfId="0" applyNumberFormat="1" applyFont="1" applyBorder="1" applyAlignment="1">
      <alignment vertical="center"/>
    </xf>
    <xf numFmtId="178" fontId="50" fillId="0" borderId="1" xfId="0" applyNumberFormat="1" applyFont="1" applyBorder="1" applyAlignment="1">
      <alignment vertical="center"/>
    </xf>
    <xf numFmtId="185" fontId="34" fillId="6" borderId="1" xfId="0" applyNumberFormat="1" applyFont="1" applyFill="1" applyBorder="1" applyAlignment="1">
      <alignment vertical="center"/>
    </xf>
    <xf numFmtId="186" fontId="34" fillId="0" borderId="1" xfId="10" applyNumberFormat="1" applyFont="1" applyBorder="1" applyAlignment="1">
      <alignment vertical="center"/>
    </xf>
    <xf numFmtId="193" fontId="34" fillId="9" borderId="1" xfId="0" applyNumberFormat="1" applyFont="1" applyFill="1" applyBorder="1" applyAlignment="1">
      <alignment horizontal="right" vertical="center"/>
    </xf>
    <xf numFmtId="193" fontId="34" fillId="0" borderId="1" xfId="0" applyNumberFormat="1" applyFont="1" applyBorder="1" applyAlignment="1">
      <alignment horizontal="right" vertical="center"/>
    </xf>
    <xf numFmtId="186" fontId="34" fillId="0" borderId="1" xfId="10" applyNumberFormat="1" applyFont="1" applyFill="1" applyBorder="1" applyAlignment="1">
      <alignment horizontal="right" vertical="center"/>
    </xf>
    <xf numFmtId="186" fontId="50" fillId="0" borderId="1" xfId="10" applyNumberFormat="1" applyFont="1" applyFill="1" applyBorder="1" applyAlignment="1">
      <alignment vertical="center"/>
    </xf>
    <xf numFmtId="10" fontId="34" fillId="0" borderId="1" xfId="10" applyNumberFormat="1" applyFont="1" applyFill="1" applyBorder="1" applyAlignment="1">
      <alignment vertical="center"/>
    </xf>
    <xf numFmtId="43" fontId="34" fillId="0" borderId="1" xfId="10" applyFont="1" applyFill="1" applyBorder="1" applyAlignment="1">
      <alignment vertical="center"/>
    </xf>
    <xf numFmtId="183" fontId="34" fillId="0" borderId="1" xfId="0" applyNumberFormat="1" applyFont="1" applyBorder="1" applyAlignment="1">
      <alignment vertical="center"/>
    </xf>
    <xf numFmtId="193" fontId="34" fillId="16" borderId="1" xfId="0" applyNumberFormat="1" applyFont="1" applyFill="1" applyBorder="1" applyAlignment="1">
      <alignment horizontal="right" vertical="center"/>
    </xf>
    <xf numFmtId="186" fontId="50" fillId="16" borderId="1" xfId="10" applyNumberFormat="1" applyFont="1" applyFill="1" applyBorder="1" applyAlignment="1">
      <alignment vertical="center"/>
    </xf>
    <xf numFmtId="20" fontId="34" fillId="0" borderId="1" xfId="0" applyNumberFormat="1" applyFont="1" applyBorder="1" applyAlignment="1">
      <alignment vertical="top" shrinkToFit="1"/>
    </xf>
    <xf numFmtId="187" fontId="34" fillId="0" borderId="1" xfId="0" applyNumberFormat="1" applyFont="1" applyBorder="1" applyAlignment="1">
      <alignment vertical="center"/>
    </xf>
    <xf numFmtId="0" fontId="34" fillId="0" borderId="1" xfId="0" applyFont="1" applyBorder="1" applyAlignment="1">
      <alignment horizontal="left" vertical="center" shrinkToFit="1"/>
    </xf>
    <xf numFmtId="186" fontId="34" fillId="16" borderId="1" xfId="0" applyNumberFormat="1" applyFont="1" applyFill="1" applyBorder="1" applyAlignment="1">
      <alignment horizontal="right" vertical="center"/>
    </xf>
    <xf numFmtId="186" fontId="50" fillId="16" borderId="1" xfId="0" applyNumberFormat="1" applyFont="1" applyFill="1" applyBorder="1" applyAlignment="1">
      <alignment horizontal="right" vertical="center"/>
    </xf>
    <xf numFmtId="186" fontId="34" fillId="0" borderId="1" xfId="0" applyNumberFormat="1" applyFont="1" applyBorder="1" applyAlignment="1">
      <alignment horizontal="right" vertical="center"/>
    </xf>
    <xf numFmtId="186" fontId="50" fillId="0" borderId="1" xfId="0" applyNumberFormat="1" applyFont="1" applyBorder="1" applyAlignment="1">
      <alignment horizontal="right" vertical="center"/>
    </xf>
    <xf numFmtId="1" fontId="34" fillId="6" borderId="1" xfId="0" applyNumberFormat="1" applyFont="1" applyFill="1" applyBorder="1" applyAlignment="1">
      <alignment vertical="center"/>
    </xf>
    <xf numFmtId="1" fontId="34" fillId="0" borderId="1" xfId="0" applyNumberFormat="1" applyFont="1" applyBorder="1" applyAlignment="1">
      <alignment vertical="center"/>
    </xf>
    <xf numFmtId="44" fontId="34" fillId="16" borderId="1" xfId="30" applyFont="1" applyFill="1" applyBorder="1" applyAlignment="1">
      <alignment vertical="center"/>
    </xf>
    <xf numFmtId="44" fontId="34" fillId="0" borderId="1" xfId="30" applyFont="1" applyFill="1" applyBorder="1" applyAlignment="1">
      <alignment vertical="center"/>
    </xf>
    <xf numFmtId="10" fontId="34" fillId="0" borderId="1" xfId="30" applyNumberFormat="1" applyFont="1" applyFill="1" applyBorder="1" applyAlignment="1">
      <alignment vertical="center"/>
    </xf>
    <xf numFmtId="1" fontId="34" fillId="16" borderId="1" xfId="0" applyNumberFormat="1" applyFont="1" applyFill="1" applyBorder="1" applyAlignment="1">
      <alignment vertical="center"/>
    </xf>
    <xf numFmtId="193" fontId="34" fillId="16" borderId="1" xfId="0" applyNumberFormat="1" applyFont="1" applyFill="1" applyBorder="1" applyAlignment="1">
      <alignment horizontal="center" vertical="center"/>
    </xf>
    <xf numFmtId="186" fontId="34" fillId="16" borderId="1" xfId="10" applyNumberFormat="1" applyFont="1" applyFill="1" applyBorder="1" applyAlignment="1">
      <alignment horizontal="right" vertical="center"/>
    </xf>
    <xf numFmtId="0" fontId="34" fillId="0" borderId="1" xfId="0" applyFont="1" applyBorder="1" applyAlignment="1">
      <alignment horizontal="right" vertical="center" shrinkToFit="1"/>
    </xf>
    <xf numFmtId="0" fontId="34" fillId="16" borderId="1" xfId="0" applyFont="1" applyFill="1" applyBorder="1" applyAlignment="1">
      <alignment horizontal="right" vertical="center" shrinkToFit="1"/>
    </xf>
    <xf numFmtId="0" fontId="50" fillId="16" borderId="1" xfId="0" applyFont="1" applyFill="1" applyBorder="1" applyAlignment="1">
      <alignment horizontal="right" vertical="center" shrinkToFit="1"/>
    </xf>
    <xf numFmtId="0" fontId="34" fillId="16" borderId="1" xfId="0" applyFont="1" applyFill="1" applyBorder="1" applyAlignment="1">
      <alignment vertical="center" shrinkToFit="1"/>
    </xf>
    <xf numFmtId="1" fontId="51" fillId="16" borderId="1" xfId="0" applyNumberFormat="1" applyFont="1" applyFill="1" applyBorder="1" applyAlignment="1">
      <alignment vertical="center"/>
    </xf>
    <xf numFmtId="0" fontId="38" fillId="7" borderId="1" xfId="0" applyFont="1" applyFill="1" applyBorder="1" applyAlignment="1">
      <alignment horizontal="center" vertical="center"/>
    </xf>
    <xf numFmtId="186" fontId="50" fillId="15" borderId="1" xfId="10" applyNumberFormat="1" applyFont="1" applyFill="1" applyBorder="1" applyAlignment="1">
      <alignment horizontal="right" vertical="center"/>
    </xf>
    <xf numFmtId="0" fontId="38" fillId="15" borderId="1" xfId="0" applyFont="1" applyFill="1" applyBorder="1" applyAlignment="1">
      <alignment horizontal="center" vertical="center" shrinkToFit="1"/>
    </xf>
    <xf numFmtId="10" fontId="34" fillId="0" borderId="1" xfId="10" applyNumberFormat="1" applyFont="1" applyFill="1" applyBorder="1" applyAlignment="1">
      <alignment horizontal="right" vertical="center"/>
    </xf>
    <xf numFmtId="10" fontId="34" fillId="16" borderId="1" xfId="10" applyNumberFormat="1" applyFont="1" applyFill="1" applyBorder="1" applyAlignment="1">
      <alignment horizontal="right" vertical="center"/>
    </xf>
    <xf numFmtId="182" fontId="50" fillId="16" borderId="1" xfId="10" applyNumberFormat="1" applyFont="1" applyFill="1" applyBorder="1" applyAlignment="1">
      <alignment vertical="center"/>
    </xf>
    <xf numFmtId="182" fontId="50" fillId="15" borderId="1" xfId="10" applyNumberFormat="1" applyFont="1" applyFill="1" applyBorder="1" applyAlignment="1">
      <alignment horizontal="right" vertical="center"/>
    </xf>
    <xf numFmtId="182" fontId="50" fillId="0" borderId="1" xfId="0" applyNumberFormat="1" applyFont="1" applyBorder="1" applyAlignment="1">
      <alignment horizontal="right" vertical="center" shrinkToFit="1"/>
    </xf>
    <xf numFmtId="182" fontId="50" fillId="16" borderId="1" xfId="0" applyNumberFormat="1" applyFont="1" applyFill="1" applyBorder="1" applyAlignment="1">
      <alignment horizontal="right" vertical="center" shrinkToFit="1"/>
    </xf>
    <xf numFmtId="0" fontId="52" fillId="0" borderId="0" xfId="0" applyFont="1" applyAlignment="1">
      <alignment vertical="center"/>
    </xf>
    <xf numFmtId="20" fontId="40" fillId="0" borderId="0" xfId="0" applyNumberFormat="1" applyFont="1" applyAlignment="1">
      <alignment vertical="center"/>
    </xf>
    <xf numFmtId="182" fontId="50" fillId="0" borderId="0" xfId="0" applyNumberFormat="1" applyFont="1" applyAlignment="1">
      <alignment vertical="center"/>
    </xf>
    <xf numFmtId="0" fontId="34" fillId="0" borderId="0" xfId="0" applyFont="1" applyAlignment="1">
      <alignment vertical="center" shrinkToFit="1"/>
    </xf>
    <xf numFmtId="178" fontId="37" fillId="14" borderId="26" xfId="0" applyNumberFormat="1" applyFont="1" applyFill="1" applyBorder="1" applyAlignment="1">
      <alignment vertical="center" shrinkToFit="1"/>
    </xf>
    <xf numFmtId="178" fontId="37" fillId="14" borderId="27" xfId="0" applyNumberFormat="1" applyFont="1" applyFill="1" applyBorder="1" applyAlignment="1">
      <alignment vertical="center" shrinkToFit="1"/>
    </xf>
    <xf numFmtId="178" fontId="49" fillId="18" borderId="44" xfId="0" applyNumberFormat="1" applyFont="1" applyFill="1" applyBorder="1" applyAlignment="1">
      <alignment vertical="center" shrinkToFit="1"/>
    </xf>
    <xf numFmtId="178" fontId="37" fillId="8" borderId="28" xfId="0" applyNumberFormat="1" applyFont="1" applyFill="1" applyBorder="1" applyAlignment="1">
      <alignment vertical="center" shrinkToFit="1"/>
    </xf>
    <xf numFmtId="178" fontId="37" fillId="8" borderId="29" xfId="0" applyNumberFormat="1" applyFont="1" applyFill="1" applyBorder="1" applyAlignment="1">
      <alignment vertical="center" shrinkToFit="1"/>
    </xf>
    <xf numFmtId="41" fontId="34" fillId="0" borderId="0" xfId="0" applyNumberFormat="1" applyFont="1" applyAlignment="1">
      <alignment vertical="center"/>
    </xf>
    <xf numFmtId="178" fontId="37" fillId="9" borderId="0" xfId="0" applyNumberFormat="1" applyFont="1" applyFill="1" applyAlignment="1">
      <alignment vertical="center" shrinkToFit="1"/>
    </xf>
    <xf numFmtId="0" fontId="34" fillId="0" borderId="45" xfId="0" applyFont="1" applyBorder="1" applyAlignment="1">
      <alignment vertical="center"/>
    </xf>
    <xf numFmtId="0" fontId="34" fillId="0" borderId="46" xfId="0" applyFont="1" applyBorder="1" applyAlignment="1">
      <alignment vertical="center"/>
    </xf>
    <xf numFmtId="178" fontId="34" fillId="0" borderId="21" xfId="0" applyNumberFormat="1" applyFont="1" applyBorder="1" applyAlignment="1">
      <alignment vertical="center"/>
    </xf>
    <xf numFmtId="178" fontId="34" fillId="13" borderId="21" xfId="0" applyNumberFormat="1" applyFont="1" applyFill="1" applyBorder="1" applyAlignment="1">
      <alignment vertical="center"/>
    </xf>
    <xf numFmtId="178" fontId="34" fillId="13" borderId="30" xfId="0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181" fontId="37" fillId="14" borderId="31" xfId="0" applyNumberFormat="1" applyFont="1" applyFill="1" applyBorder="1" applyAlignment="1">
      <alignment horizontal="left" vertical="center" shrinkToFit="1"/>
    </xf>
    <xf numFmtId="178" fontId="34" fillId="0" borderId="32" xfId="0" applyNumberFormat="1" applyFont="1" applyBorder="1" applyAlignment="1">
      <alignment horizontal="left" vertical="center" shrinkToFit="1"/>
    </xf>
    <xf numFmtId="181" fontId="37" fillId="2" borderId="33" xfId="0" applyNumberFormat="1" applyFont="1" applyFill="1" applyBorder="1" applyAlignment="1">
      <alignment horizontal="left" vertical="center" shrinkToFit="1"/>
    </xf>
    <xf numFmtId="0" fontId="40" fillId="0" borderId="0" xfId="0" applyFont="1" applyAlignment="1">
      <alignment vertical="center"/>
    </xf>
    <xf numFmtId="3" fontId="34" fillId="0" borderId="0" xfId="0" applyNumberFormat="1" applyFont="1" applyAlignment="1">
      <alignment vertical="center" shrinkToFit="1"/>
    </xf>
    <xf numFmtId="20" fontId="34" fillId="0" borderId="1" xfId="0" applyNumberFormat="1" applyFont="1" applyBorder="1" applyAlignment="1">
      <alignment horizontal="left" vertical="top" shrinkToFit="1"/>
    </xf>
    <xf numFmtId="20" fontId="34" fillId="0" borderId="1" xfId="0" applyNumberFormat="1" applyFont="1" applyBorder="1" applyAlignment="1">
      <alignment horizontal="left" vertical="center"/>
    </xf>
    <xf numFmtId="44" fontId="34" fillId="0" borderId="1" xfId="30" applyFont="1" applyFill="1" applyBorder="1" applyAlignment="1">
      <alignment horizontal="left" vertical="top" shrinkToFit="1"/>
    </xf>
    <xf numFmtId="0" fontId="34" fillId="0" borderId="1" xfId="0" applyFont="1" applyBorder="1" applyAlignment="1">
      <alignment vertical="top" wrapText="1" shrinkToFit="1"/>
    </xf>
    <xf numFmtId="0" fontId="34" fillId="16" borderId="1" xfId="0" applyFont="1" applyFill="1" applyBorder="1" applyAlignment="1">
      <alignment vertical="top" wrapText="1" shrinkToFit="1"/>
    </xf>
    <xf numFmtId="0" fontId="28" fillId="0" borderId="0" xfId="0" applyFont="1" applyAlignment="1">
      <alignment vertical="center"/>
    </xf>
    <xf numFmtId="0" fontId="34" fillId="9" borderId="0" xfId="0" applyFont="1" applyFill="1" applyAlignment="1">
      <alignment vertical="center"/>
    </xf>
    <xf numFmtId="0" fontId="56" fillId="0" borderId="0" xfId="0" applyFont="1" applyAlignment="1">
      <alignment vertical="center"/>
    </xf>
    <xf numFmtId="44" fontId="34" fillId="0" borderId="0" xfId="30" applyFont="1" applyFill="1" applyAlignment="1">
      <alignment vertical="center"/>
    </xf>
    <xf numFmtId="44" fontId="34" fillId="9" borderId="0" xfId="30" applyFont="1" applyFill="1" applyAlignment="1">
      <alignment vertical="center"/>
    </xf>
    <xf numFmtId="0" fontId="34" fillId="16" borderId="8" xfId="0" applyFont="1" applyFill="1" applyBorder="1" applyAlignment="1">
      <alignment horizontal="right" vertical="center" shrinkToFit="1"/>
    </xf>
    <xf numFmtId="186" fontId="34" fillId="0" borderId="8" xfId="10" applyNumberFormat="1" applyFont="1" applyFill="1" applyBorder="1" applyAlignment="1">
      <alignment horizontal="right" vertical="center"/>
    </xf>
    <xf numFmtId="3" fontId="34" fillId="0" borderId="1" xfId="0" applyNumberFormat="1" applyFont="1" applyBorder="1" applyAlignment="1">
      <alignment horizontal="left" vertical="center" shrinkToFit="1"/>
    </xf>
    <xf numFmtId="0" fontId="64" fillId="7" borderId="1" xfId="0" applyFont="1" applyFill="1" applyBorder="1" applyAlignment="1">
      <alignment horizontal="center" vertical="center" wrapText="1"/>
    </xf>
    <xf numFmtId="0" fontId="65" fillId="7" borderId="1" xfId="0" applyFont="1" applyFill="1" applyBorder="1" applyAlignment="1">
      <alignment horizontal="center" vertical="center" wrapText="1"/>
    </xf>
    <xf numFmtId="0" fontId="65" fillId="2" borderId="1" xfId="0" applyFont="1" applyFill="1" applyBorder="1" applyAlignment="1">
      <alignment horizontal="center" vertical="center" wrapText="1"/>
    </xf>
    <xf numFmtId="0" fontId="64" fillId="11" borderId="1" xfId="0" applyFont="1" applyFill="1" applyBorder="1" applyAlignment="1">
      <alignment horizontal="center" vertical="center" wrapText="1"/>
    </xf>
    <xf numFmtId="187" fontId="34" fillId="0" borderId="1" xfId="0" applyNumberFormat="1" applyFont="1" applyBorder="1" applyAlignment="1">
      <alignment horizontal="right" vertical="center"/>
    </xf>
    <xf numFmtId="20" fontId="34" fillId="9" borderId="1" xfId="0" applyNumberFormat="1" applyFont="1" applyFill="1" applyBorder="1" applyAlignment="1">
      <alignment horizontal="left" vertical="top" shrinkToFit="1"/>
    </xf>
    <xf numFmtId="178" fontId="39" fillId="11" borderId="1" xfId="0" applyNumberFormat="1" applyFont="1" applyFill="1" applyBorder="1" applyAlignment="1">
      <alignment horizontal="center" vertical="center" wrapText="1"/>
    </xf>
    <xf numFmtId="0" fontId="39" fillId="1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top" wrapText="1" shrinkToFit="1"/>
    </xf>
    <xf numFmtId="0" fontId="0" fillId="16" borderId="1" xfId="0" applyFill="1" applyBorder="1" applyAlignment="1">
      <alignment vertical="top" wrapText="1" shrinkToFit="1"/>
    </xf>
    <xf numFmtId="20" fontId="0" fillId="0" borderId="1" xfId="0" applyNumberFormat="1" applyBorder="1" applyAlignment="1">
      <alignment horizontal="left" vertical="top" shrinkToFit="1"/>
    </xf>
    <xf numFmtId="20" fontId="0" fillId="0" borderId="2" xfId="0" applyNumberFormat="1" applyBorder="1" applyAlignment="1">
      <alignment horizontal="left" vertical="top" wrapText="1" shrinkToFit="1"/>
    </xf>
    <xf numFmtId="3" fontId="0" fillId="0" borderId="1" xfId="0" applyNumberFormat="1" applyBorder="1" applyAlignment="1">
      <alignment horizontal="right" vertical="center" shrinkToFit="1"/>
    </xf>
    <xf numFmtId="178" fontId="0" fillId="19" borderId="1" xfId="0" applyNumberFormat="1" applyFill="1" applyBorder="1" applyAlignment="1">
      <alignment vertical="center"/>
    </xf>
    <xf numFmtId="0" fontId="0" fillId="19" borderId="1" xfId="0" applyFill="1" applyBorder="1" applyAlignment="1">
      <alignment vertical="center"/>
    </xf>
    <xf numFmtId="187" fontId="0" fillId="19" borderId="1" xfId="0" applyNumberFormat="1" applyFill="1" applyBorder="1" applyAlignment="1">
      <alignment vertical="center"/>
    </xf>
    <xf numFmtId="183" fontId="0" fillId="19" borderId="1" xfId="0" applyNumberFormat="1" applyFill="1" applyBorder="1" applyAlignment="1">
      <alignment vertical="center"/>
    </xf>
    <xf numFmtId="43" fontId="31" fillId="19" borderId="1" xfId="10" applyFont="1" applyFill="1" applyBorder="1" applyAlignment="1">
      <alignment vertical="center"/>
    </xf>
    <xf numFmtId="0" fontId="34" fillId="20" borderId="1" xfId="0" applyFont="1" applyFill="1" applyBorder="1" applyAlignment="1">
      <alignment vertical="center"/>
    </xf>
    <xf numFmtId="10" fontId="0" fillId="0" borderId="2" xfId="0" applyNumberFormat="1" applyBorder="1" applyAlignment="1">
      <alignment horizontal="right" vertical="center"/>
    </xf>
    <xf numFmtId="20" fontId="0" fillId="0" borderId="1" xfId="0" applyNumberFormat="1" applyBorder="1" applyAlignment="1">
      <alignment horizontal="left" vertical="center" shrinkToFit="1"/>
    </xf>
    <xf numFmtId="20" fontId="0" fillId="0" borderId="1" xfId="0" applyNumberFormat="1" applyBorder="1" applyAlignment="1">
      <alignment vertical="center" wrapText="1" shrinkToFit="1"/>
    </xf>
    <xf numFmtId="20" fontId="0" fillId="0" borderId="1" xfId="0" applyNumberFormat="1" applyBorder="1" applyAlignment="1">
      <alignment vertical="center" shrinkToFit="1"/>
    </xf>
    <xf numFmtId="0" fontId="62" fillId="16" borderId="1" xfId="0" applyFont="1" applyFill="1" applyBorder="1" applyAlignment="1">
      <alignment horizontal="left" vertical="center"/>
    </xf>
    <xf numFmtId="0" fontId="62" fillId="16" borderId="1" xfId="0" applyFont="1" applyFill="1" applyBorder="1" applyAlignment="1">
      <alignment vertical="center"/>
    </xf>
    <xf numFmtId="178" fontId="62" fillId="16" borderId="1" xfId="0" applyNumberFormat="1" applyFont="1" applyFill="1" applyBorder="1" applyAlignment="1">
      <alignment vertical="center"/>
    </xf>
    <xf numFmtId="193" fontId="0" fillId="19" borderId="1" xfId="0" applyNumberFormat="1" applyFill="1" applyBorder="1" applyAlignment="1">
      <alignment horizontal="right" vertical="center"/>
    </xf>
    <xf numFmtId="186" fontId="0" fillId="19" borderId="1" xfId="0" applyNumberFormat="1" applyFill="1" applyBorder="1" applyAlignment="1">
      <alignment horizontal="right" vertical="center"/>
    </xf>
    <xf numFmtId="186" fontId="10" fillId="19" borderId="1" xfId="0" applyNumberFormat="1" applyFont="1" applyFill="1" applyBorder="1" applyAlignment="1">
      <alignment horizontal="right" vertical="center"/>
    </xf>
    <xf numFmtId="3" fontId="0" fillId="16" borderId="1" xfId="0" applyNumberFormat="1" applyFill="1" applyBorder="1" applyAlignment="1">
      <alignment horizontal="right" vertical="center" shrinkToFit="1"/>
    </xf>
    <xf numFmtId="0" fontId="0" fillId="0" borderId="3" xfId="0" applyBorder="1" applyAlignment="1">
      <alignment horizontal="center" vertical="center" wrapText="1"/>
    </xf>
    <xf numFmtId="186" fontId="31" fillId="15" borderId="2" xfId="10" applyNumberFormat="1" applyFont="1" applyFill="1" applyBorder="1" applyAlignment="1">
      <alignment vertical="center"/>
    </xf>
    <xf numFmtId="186" fontId="31" fillId="21" borderId="2" xfId="10" applyNumberFormat="1" applyFont="1" applyFill="1" applyBorder="1" applyAlignment="1">
      <alignment vertical="center"/>
    </xf>
    <xf numFmtId="186" fontId="31" fillId="15" borderId="1" xfId="10" applyNumberFormat="1" applyFont="1" applyFill="1" applyBorder="1" applyAlignment="1">
      <alignment vertical="center"/>
    </xf>
    <xf numFmtId="0" fontId="0" fillId="21" borderId="1" xfId="0" applyFill="1" applyBorder="1" applyAlignment="1">
      <alignment horizontal="right" vertical="center" shrinkToFit="1"/>
    </xf>
    <xf numFmtId="186" fontId="0" fillId="21" borderId="1" xfId="0" applyNumberFormat="1" applyFill="1" applyBorder="1" applyAlignment="1">
      <alignment horizontal="right" vertical="center"/>
    </xf>
    <xf numFmtId="0" fontId="0" fillId="0" borderId="8" xfId="0" applyBorder="1" applyAlignment="1">
      <alignment horizontal="center" vertical="center" wrapText="1"/>
    </xf>
    <xf numFmtId="186" fontId="31" fillId="19" borderId="2" xfId="10" applyNumberFormat="1" applyFont="1" applyFill="1" applyBorder="1" applyAlignment="1">
      <alignment vertical="center"/>
    </xf>
    <xf numFmtId="186" fontId="10" fillId="0" borderId="1" xfId="0" applyNumberFormat="1" applyFont="1" applyBorder="1" applyAlignment="1">
      <alignment horizontal="right" vertical="center"/>
    </xf>
    <xf numFmtId="186" fontId="31" fillId="16" borderId="1" xfId="10" applyNumberFormat="1" applyFont="1" applyFill="1" applyBorder="1" applyAlignment="1">
      <alignment horizontal="right" vertical="center"/>
    </xf>
    <xf numFmtId="0" fontId="0" fillId="19" borderId="1" xfId="0" applyFill="1" applyBorder="1" applyAlignment="1">
      <alignment horizontal="center" vertical="center"/>
    </xf>
    <xf numFmtId="187" fontId="0" fillId="19" borderId="1" xfId="0" applyNumberFormat="1" applyFill="1" applyBorder="1" applyAlignment="1">
      <alignment horizontal="right" vertical="center"/>
    </xf>
    <xf numFmtId="0" fontId="0" fillId="0" borderId="3" xfId="0" applyBorder="1" applyAlignment="1">
      <alignment horizontal="center" vertical="center" shrinkToFit="1"/>
    </xf>
    <xf numFmtId="186" fontId="0" fillId="9" borderId="1" xfId="0" applyNumberFormat="1" applyFill="1" applyBorder="1" applyAlignment="1">
      <alignment vertical="center"/>
    </xf>
    <xf numFmtId="193" fontId="0" fillId="19" borderId="22" xfId="0" applyNumberFormat="1" applyFill="1" applyBorder="1" applyAlignment="1">
      <alignment horizontal="right" vertical="center"/>
    </xf>
    <xf numFmtId="186" fontId="0" fillId="19" borderId="17" xfId="0" applyNumberFormat="1" applyFill="1" applyBorder="1" applyAlignment="1">
      <alignment horizontal="right" vertical="center"/>
    </xf>
    <xf numFmtId="186" fontId="0" fillId="21" borderId="1" xfId="0" applyNumberFormat="1" applyFill="1" applyBorder="1" applyAlignment="1">
      <alignment horizontal="right" vertical="center" shrinkToFit="1"/>
    </xf>
    <xf numFmtId="20" fontId="0" fillId="0" borderId="1" xfId="0" applyNumberFormat="1" applyBorder="1" applyAlignment="1">
      <alignment horizontal="left" vertical="center" wrapText="1" shrinkToFit="1"/>
    </xf>
    <xf numFmtId="1" fontId="0" fillId="19" borderId="1" xfId="0" applyNumberFormat="1" applyFill="1" applyBorder="1" applyAlignment="1">
      <alignment vertical="center"/>
    </xf>
    <xf numFmtId="9" fontId="0" fillId="19" borderId="1" xfId="0" applyNumberFormat="1" applyFill="1" applyBorder="1" applyAlignment="1">
      <alignment vertical="center"/>
    </xf>
    <xf numFmtId="180" fontId="0" fillId="19" borderId="1" xfId="0" applyNumberFormat="1" applyFill="1" applyBorder="1" applyAlignment="1">
      <alignment vertical="center"/>
    </xf>
    <xf numFmtId="186" fontId="31" fillId="19" borderId="1" xfId="10" applyNumberFormat="1" applyFont="1" applyFill="1" applyBorder="1" applyAlignment="1">
      <alignment horizontal="right" vertical="center"/>
    </xf>
    <xf numFmtId="10" fontId="31" fillId="19" borderId="1" xfId="10" applyNumberFormat="1" applyFont="1" applyFill="1" applyBorder="1" applyAlignment="1">
      <alignment horizontal="right" vertical="center"/>
    </xf>
    <xf numFmtId="0" fontId="0" fillId="19" borderId="1" xfId="0" applyFill="1" applyBorder="1" applyAlignment="1">
      <alignment horizontal="left" vertical="top" wrapText="1" shrinkToFit="1"/>
    </xf>
    <xf numFmtId="20" fontId="0" fillId="0" borderId="8" xfId="0" applyNumberFormat="1" applyBorder="1" applyAlignment="1">
      <alignment horizontal="left" vertical="center" shrinkToFit="1"/>
    </xf>
    <xf numFmtId="192" fontId="0" fillId="19" borderId="1" xfId="0" applyNumberFormat="1" applyFill="1" applyBorder="1" applyAlignment="1">
      <alignment vertical="center"/>
    </xf>
    <xf numFmtId="0" fontId="62" fillId="19" borderId="1" xfId="0" applyFont="1" applyFill="1" applyBorder="1" applyAlignment="1">
      <alignment horizontal="left" vertical="center"/>
    </xf>
    <xf numFmtId="0" fontId="62" fillId="19" borderId="1" xfId="0" applyFont="1" applyFill="1" applyBorder="1" applyAlignment="1">
      <alignment vertical="center"/>
    </xf>
    <xf numFmtId="178" fontId="62" fillId="19" borderId="1" xfId="0" applyNumberFormat="1" applyFont="1" applyFill="1" applyBorder="1" applyAlignment="1">
      <alignment vertical="center"/>
    </xf>
    <xf numFmtId="20" fontId="0" fillId="19" borderId="1" xfId="0" applyNumberFormat="1" applyFill="1" applyBorder="1" applyAlignment="1">
      <alignment vertical="center" wrapText="1" shrinkToFit="1"/>
    </xf>
    <xf numFmtId="20" fontId="0" fillId="19" borderId="1" xfId="0" applyNumberFormat="1" applyFill="1" applyBorder="1" applyAlignment="1">
      <alignment vertical="center"/>
    </xf>
    <xf numFmtId="20" fontId="0" fillId="0" borderId="2" xfId="0" applyNumberFormat="1" applyBorder="1" applyAlignment="1">
      <alignment horizontal="left" vertical="center" shrinkToFit="1"/>
    </xf>
    <xf numFmtId="187" fontId="0" fillId="0" borderId="2" xfId="0" applyNumberFormat="1" applyBorder="1" applyAlignment="1">
      <alignment horizontal="right" vertical="center"/>
    </xf>
    <xf numFmtId="0" fontId="34" fillId="0" borderId="17" xfId="0" applyFont="1" applyBorder="1" applyAlignment="1" applyProtection="1">
      <alignment horizontal="center" vertical="center"/>
      <protection locked="0"/>
    </xf>
    <xf numFmtId="187" fontId="31" fillId="19" borderId="1" xfId="0" applyNumberFormat="1" applyFont="1" applyFill="1" applyBorder="1" applyAlignment="1">
      <alignment vertical="center"/>
    </xf>
    <xf numFmtId="0" fontId="34" fillId="0" borderId="11" xfId="0" applyFont="1" applyBorder="1" applyAlignment="1" applyProtection="1">
      <alignment horizontal="center" vertical="center"/>
      <protection locked="0"/>
    </xf>
    <xf numFmtId="0" fontId="34" fillId="0" borderId="11" xfId="0" applyFont="1" applyBorder="1" applyAlignment="1">
      <alignment horizontal="center" vertical="center"/>
    </xf>
    <xf numFmtId="184" fontId="61" fillId="0" borderId="0" xfId="11" applyNumberFormat="1" applyFont="1" applyFill="1" applyBorder="1" applyAlignment="1" applyProtection="1">
      <alignment vertical="center"/>
      <protection locked="0"/>
    </xf>
    <xf numFmtId="10" fontId="34" fillId="0" borderId="0" xfId="29" applyNumberFormat="1" applyFont="1" applyFill="1" applyBorder="1" applyAlignment="1" applyProtection="1">
      <alignment vertical="center"/>
    </xf>
    <xf numFmtId="3" fontId="34" fillId="0" borderId="1" xfId="0" applyNumberFormat="1" applyFont="1" applyBorder="1" applyAlignment="1">
      <alignment horizontal="right" vertical="center"/>
    </xf>
    <xf numFmtId="10" fontId="0" fillId="0" borderId="1" xfId="0" applyNumberFormat="1" applyBorder="1" applyAlignment="1">
      <alignment horizontal="right" vertical="center"/>
    </xf>
    <xf numFmtId="0" fontId="0" fillId="19" borderId="1" xfId="0" applyFill="1" applyBorder="1" applyAlignment="1">
      <alignment horizontal="right" vertical="center" shrinkToFit="1"/>
    </xf>
    <xf numFmtId="3" fontId="0" fillId="19" borderId="1" xfId="0" applyNumberFormat="1" applyFill="1" applyBorder="1" applyAlignment="1">
      <alignment horizontal="right" vertical="center" shrinkToFit="1"/>
    </xf>
    <xf numFmtId="0" fontId="0" fillId="19" borderId="1" xfId="0" applyFill="1" applyBorder="1" applyAlignment="1">
      <alignment vertical="top" wrapText="1" shrinkToFit="1"/>
    </xf>
    <xf numFmtId="3" fontId="0" fillId="0" borderId="2" xfId="0" applyNumberFormat="1" applyBorder="1" applyAlignment="1">
      <alignment horizontal="left" vertical="center" shrinkToFit="1"/>
    </xf>
    <xf numFmtId="20" fontId="0" fillId="19" borderId="1" xfId="0" applyNumberFormat="1" applyFill="1" applyBorder="1" applyAlignment="1">
      <alignment vertical="center" wrapText="1"/>
    </xf>
    <xf numFmtId="20" fontId="0" fillId="0" borderId="2" xfId="0" applyNumberFormat="1" applyBorder="1" applyAlignment="1">
      <alignment horizontal="left" vertical="center" wrapText="1" shrinkToFit="1"/>
    </xf>
    <xf numFmtId="3" fontId="0" fillId="0" borderId="1" xfId="0" applyNumberFormat="1" applyBorder="1" applyAlignment="1">
      <alignment vertical="center" shrinkToFit="1"/>
    </xf>
    <xf numFmtId="20" fontId="34" fillId="0" borderId="1" xfId="0" applyNumberFormat="1" applyFont="1" applyBorder="1" applyAlignment="1" applyProtection="1">
      <alignment vertical="center" wrapText="1"/>
      <protection locked="0"/>
    </xf>
    <xf numFmtId="0" fontId="0" fillId="16" borderId="1" xfId="0" applyFill="1" applyBorder="1" applyAlignment="1">
      <alignment vertical="center"/>
    </xf>
    <xf numFmtId="0" fontId="0" fillId="16" borderId="1" xfId="0" applyFill="1" applyBorder="1" applyAlignment="1">
      <alignment horizontal="center" vertical="center"/>
    </xf>
    <xf numFmtId="0" fontId="0" fillId="19" borderId="18" xfId="0" applyFill="1" applyBorder="1" applyAlignment="1">
      <alignment horizontal="left" vertical="center" shrinkToFit="1"/>
    </xf>
    <xf numFmtId="0" fontId="0" fillId="19" borderId="22" xfId="0" applyFill="1" applyBorder="1" applyAlignment="1">
      <alignment horizontal="left" vertical="center" shrinkToFit="1"/>
    </xf>
    <xf numFmtId="0" fontId="0" fillId="19" borderId="17" xfId="0" applyFill="1" applyBorder="1" applyAlignment="1">
      <alignment horizontal="left" vertical="center" shrinkToFit="1"/>
    </xf>
    <xf numFmtId="186" fontId="31" fillId="19" borderId="1" xfId="10" applyNumberFormat="1" applyFont="1" applyFill="1" applyBorder="1" applyAlignment="1">
      <alignment vertical="center"/>
    </xf>
    <xf numFmtId="0" fontId="0" fillId="19" borderId="18" xfId="0" applyFill="1" applyBorder="1" applyAlignment="1">
      <alignment horizontal="left" vertical="top" wrapText="1" shrinkToFit="1"/>
    </xf>
    <xf numFmtId="0" fontId="0" fillId="19" borderId="22" xfId="0" applyFill="1" applyBorder="1" applyAlignment="1">
      <alignment horizontal="left" vertical="top" wrapText="1" shrinkToFit="1"/>
    </xf>
    <xf numFmtId="0" fontId="0" fillId="19" borderId="17" xfId="0" applyFill="1" applyBorder="1" applyAlignment="1">
      <alignment horizontal="left" vertical="top" wrapText="1" shrinkToFit="1"/>
    </xf>
    <xf numFmtId="0" fontId="34" fillId="0" borderId="8" xfId="0" applyFont="1" applyBorder="1" applyAlignment="1">
      <alignment horizontal="center" vertical="center"/>
    </xf>
    <xf numFmtId="186" fontId="31" fillId="16" borderId="1" xfId="10" applyNumberFormat="1" applyFont="1" applyFill="1" applyBorder="1" applyAlignment="1">
      <alignment vertical="center"/>
    </xf>
    <xf numFmtId="20" fontId="0" fillId="19" borderId="2" xfId="0" applyNumberFormat="1" applyFill="1" applyBorder="1" applyAlignment="1">
      <alignment horizontal="left" vertical="center" wrapText="1"/>
    </xf>
    <xf numFmtId="3" fontId="0" fillId="0" borderId="8" xfId="0" applyNumberFormat="1" applyBorder="1" applyAlignment="1">
      <alignment horizontal="left" vertical="center" shrinkToFit="1"/>
    </xf>
    <xf numFmtId="20" fontId="0" fillId="19" borderId="8" xfId="0" applyNumberFormat="1" applyFill="1" applyBorder="1" applyAlignment="1">
      <alignment horizontal="left" vertical="center" wrapText="1"/>
    </xf>
    <xf numFmtId="3" fontId="0" fillId="0" borderId="1" xfId="0" applyNumberFormat="1" applyBorder="1" applyAlignment="1">
      <alignment horizontal="left" vertical="center" shrinkToFit="1"/>
    </xf>
    <xf numFmtId="20" fontId="0" fillId="0" borderId="8" xfId="0" applyNumberFormat="1" applyBorder="1" applyAlignment="1">
      <alignment horizontal="left" vertical="center" wrapText="1" shrinkToFit="1"/>
    </xf>
    <xf numFmtId="187" fontId="34" fillId="2" borderId="1" xfId="29" applyNumberFormat="1" applyFont="1" applyFill="1" applyBorder="1" applyAlignment="1" applyProtection="1">
      <alignment vertical="center"/>
    </xf>
    <xf numFmtId="10" fontId="34" fillId="2" borderId="1" xfId="29" applyNumberFormat="1" applyFont="1" applyFill="1" applyBorder="1" applyAlignment="1" applyProtection="1">
      <alignment vertical="center"/>
    </xf>
    <xf numFmtId="187" fontId="34" fillId="0" borderId="1" xfId="29" applyNumberFormat="1" applyFont="1" applyFill="1" applyBorder="1" applyAlignment="1" applyProtection="1">
      <alignment vertical="center"/>
    </xf>
    <xf numFmtId="188" fontId="34" fillId="0" borderId="1" xfId="10" applyNumberFormat="1" applyFont="1" applyFill="1" applyBorder="1" applyAlignment="1" applyProtection="1">
      <alignment vertical="center" wrapText="1"/>
      <protection locked="0"/>
    </xf>
    <xf numFmtId="186" fontId="34" fillId="0" borderId="1" xfId="10" applyNumberFormat="1" applyFont="1" applyFill="1" applyBorder="1" applyAlignment="1" applyProtection="1">
      <alignment vertical="center" wrapText="1"/>
      <protection locked="0"/>
    </xf>
    <xf numFmtId="194" fontId="34" fillId="0" borderId="1" xfId="30" applyNumberFormat="1" applyFont="1" applyFill="1" applyBorder="1" applyAlignment="1" applyProtection="1">
      <alignment vertical="center"/>
    </xf>
    <xf numFmtId="194" fontId="34" fillId="2" borderId="1" xfId="30" applyNumberFormat="1" applyFont="1" applyFill="1" applyBorder="1" applyAlignment="1" applyProtection="1">
      <alignment horizontal="center" vertical="center"/>
    </xf>
    <xf numFmtId="0" fontId="34" fillId="0" borderId="23" xfId="0" applyFont="1" applyBorder="1" applyAlignment="1" applyProtection="1">
      <alignment horizontal="center" vertical="center" shrinkToFit="1"/>
      <protection locked="0"/>
    </xf>
    <xf numFmtId="0" fontId="34" fillId="0" borderId="11" xfId="0" applyFont="1" applyBorder="1" applyAlignment="1" applyProtection="1">
      <alignment horizontal="center" vertical="center" shrinkToFit="1"/>
      <protection locked="0"/>
    </xf>
    <xf numFmtId="1" fontId="34" fillId="0" borderId="24" xfId="0" applyNumberFormat="1" applyFont="1" applyBorder="1" applyAlignment="1">
      <alignment horizontal="center" vertical="center"/>
    </xf>
    <xf numFmtId="0" fontId="34" fillId="0" borderId="20" xfId="0" applyFont="1" applyBorder="1" applyAlignment="1" applyProtection="1">
      <alignment horizontal="center" vertical="center" shrinkToFit="1"/>
      <protection locked="0"/>
    </xf>
    <xf numFmtId="1" fontId="34" fillId="0" borderId="38" xfId="0" applyNumberFormat="1" applyFont="1" applyBorder="1" applyAlignment="1">
      <alignment horizontal="center" vertical="center"/>
    </xf>
    <xf numFmtId="0" fontId="34" fillId="0" borderId="43" xfId="0" applyFont="1" applyBorder="1" applyAlignment="1" applyProtection="1">
      <alignment horizontal="center" vertical="center" shrinkToFit="1"/>
      <protection locked="0"/>
    </xf>
    <xf numFmtId="0" fontId="34" fillId="0" borderId="19" xfId="0" applyFont="1" applyBorder="1" applyAlignment="1" applyProtection="1">
      <alignment horizontal="center" vertical="center"/>
      <protection locked="0"/>
    </xf>
    <xf numFmtId="1" fontId="34" fillId="0" borderId="25" xfId="0" applyNumberFormat="1" applyFont="1" applyBorder="1" applyAlignment="1">
      <alignment horizontal="center" vertical="center"/>
    </xf>
    <xf numFmtId="0" fontId="34" fillId="22" borderId="23" xfId="0" applyFont="1" applyFill="1" applyBorder="1" applyAlignment="1" applyProtection="1">
      <alignment horizontal="center" vertical="center" shrinkToFit="1"/>
      <protection locked="0"/>
    </xf>
    <xf numFmtId="0" fontId="34" fillId="22" borderId="11" xfId="0" applyFont="1" applyFill="1" applyBorder="1" applyAlignment="1" applyProtection="1">
      <alignment horizontal="center" vertical="center" shrinkToFit="1"/>
      <protection locked="0"/>
    </xf>
    <xf numFmtId="0" fontId="34" fillId="22" borderId="11" xfId="0" applyFont="1" applyFill="1" applyBorder="1" applyAlignment="1" applyProtection="1">
      <alignment horizontal="center" vertical="center"/>
      <protection locked="0"/>
    </xf>
    <xf numFmtId="1" fontId="34" fillId="22" borderId="24" xfId="0" applyNumberFormat="1" applyFont="1" applyFill="1" applyBorder="1" applyAlignment="1">
      <alignment horizontal="center" vertical="center"/>
    </xf>
    <xf numFmtId="0" fontId="34" fillId="22" borderId="20" xfId="0" applyFont="1" applyFill="1" applyBorder="1" applyAlignment="1" applyProtection="1">
      <alignment horizontal="center" vertical="center" shrinkToFit="1"/>
      <protection locked="0"/>
    </xf>
    <xf numFmtId="0" fontId="34" fillId="22" borderId="0" xfId="0" applyFont="1" applyFill="1" applyAlignment="1" applyProtection="1">
      <alignment horizontal="center" vertical="center" shrinkToFit="1"/>
      <protection locked="0"/>
    </xf>
    <xf numFmtId="0" fontId="34" fillId="22" borderId="0" xfId="0" applyFont="1" applyFill="1" applyAlignment="1" applyProtection="1">
      <alignment horizontal="center" vertical="center"/>
      <protection locked="0"/>
    </xf>
    <xf numFmtId="1" fontId="34" fillId="22" borderId="38" xfId="0" applyNumberFormat="1" applyFont="1" applyFill="1" applyBorder="1" applyAlignment="1">
      <alignment horizontal="center" vertical="center"/>
    </xf>
    <xf numFmtId="0" fontId="34" fillId="22" borderId="43" xfId="0" applyFont="1" applyFill="1" applyBorder="1" applyAlignment="1" applyProtection="1">
      <alignment horizontal="center" vertical="center" shrinkToFit="1"/>
      <protection locked="0"/>
    </xf>
    <xf numFmtId="0" fontId="34" fillId="22" borderId="19" xfId="0" applyFont="1" applyFill="1" applyBorder="1" applyAlignment="1" applyProtection="1">
      <alignment horizontal="center" vertical="center" shrinkToFit="1"/>
      <protection locked="0"/>
    </xf>
    <xf numFmtId="0" fontId="34" fillId="22" borderId="19" xfId="0" applyFont="1" applyFill="1" applyBorder="1" applyAlignment="1" applyProtection="1">
      <alignment horizontal="center" vertical="center"/>
      <protection locked="0"/>
    </xf>
    <xf numFmtId="1" fontId="34" fillId="22" borderId="25" xfId="0" applyNumberFormat="1" applyFont="1" applyFill="1" applyBorder="1" applyAlignment="1">
      <alignment horizontal="center" vertical="center"/>
    </xf>
    <xf numFmtId="185" fontId="34" fillId="0" borderId="1" xfId="29" applyNumberFormat="1" applyFont="1" applyFill="1" applyBorder="1" applyAlignment="1" applyProtection="1">
      <alignment vertical="center"/>
    </xf>
    <xf numFmtId="188" fontId="34" fillId="2" borderId="1" xfId="10" applyNumberFormat="1" applyFont="1" applyFill="1" applyBorder="1" applyAlignment="1" applyProtection="1">
      <alignment horizontal="center" vertical="center"/>
    </xf>
    <xf numFmtId="3" fontId="34" fillId="0" borderId="0" xfId="0" applyNumberFormat="1" applyFont="1" applyAlignment="1">
      <alignment horizontal="center" vertical="center" wrapText="1"/>
    </xf>
    <xf numFmtId="186" fontId="37" fillId="0" borderId="1" xfId="10" applyNumberFormat="1" applyFont="1" applyFill="1" applyBorder="1" applyAlignment="1" applyProtection="1">
      <alignment vertical="center" wrapText="1"/>
      <protection locked="0"/>
    </xf>
    <xf numFmtId="186" fontId="34" fillId="0" borderId="8" xfId="10" applyNumberFormat="1" applyFont="1" applyFill="1" applyBorder="1" applyAlignment="1" applyProtection="1">
      <alignment vertical="center" wrapText="1"/>
      <protection locked="0"/>
    </xf>
    <xf numFmtId="0" fontId="34" fillId="0" borderId="11" xfId="0" applyFont="1" applyBorder="1" applyAlignment="1" applyProtection="1">
      <alignment horizontal="center" vertical="center" wrapText="1" shrinkToFit="1"/>
      <protection locked="0"/>
    </xf>
    <xf numFmtId="0" fontId="34" fillId="0" borderId="0" xfId="0" applyFont="1" applyAlignment="1" applyProtection="1">
      <alignment horizontal="center" vertical="center" wrapText="1" shrinkToFit="1"/>
      <protection locked="0"/>
    </xf>
    <xf numFmtId="3" fontId="34" fillId="0" borderId="0" xfId="0" applyNumberFormat="1" applyFont="1" applyAlignment="1" applyProtection="1">
      <alignment horizontal="center" vertical="center"/>
      <protection locked="0"/>
    </xf>
    <xf numFmtId="3" fontId="34" fillId="0" borderId="19" xfId="0" applyNumberFormat="1" applyFont="1" applyBorder="1" applyAlignment="1" applyProtection="1">
      <alignment horizontal="center" vertical="center"/>
      <protection locked="0"/>
    </xf>
    <xf numFmtId="3" fontId="34" fillId="22" borderId="11" xfId="0" applyNumberFormat="1" applyFont="1" applyFill="1" applyBorder="1" applyAlignment="1" applyProtection="1">
      <alignment horizontal="center" vertical="center"/>
      <protection locked="0"/>
    </xf>
    <xf numFmtId="3" fontId="34" fillId="22" borderId="0" xfId="0" applyNumberFormat="1" applyFont="1" applyFill="1" applyAlignment="1" applyProtection="1">
      <alignment horizontal="center" vertical="center"/>
      <protection locked="0"/>
    </xf>
    <xf numFmtId="0" fontId="34" fillId="0" borderId="2" xfId="0" applyFont="1" applyBorder="1" applyAlignment="1" applyProtection="1">
      <alignment horizontal="center" vertical="center"/>
      <protection locked="0"/>
    </xf>
    <xf numFmtId="0" fontId="34" fillId="0" borderId="8" xfId="0" applyFont="1" applyBorder="1" applyAlignment="1" applyProtection="1">
      <alignment horizontal="center" vertical="center"/>
      <protection locked="0"/>
    </xf>
    <xf numFmtId="187" fontId="34" fillId="0" borderId="0" xfId="29" applyNumberFormat="1" applyFont="1" applyFill="1" applyBorder="1" applyAlignment="1" applyProtection="1">
      <alignment vertical="center"/>
    </xf>
    <xf numFmtId="0" fontId="34" fillId="22" borderId="20" xfId="0" applyFont="1" applyFill="1" applyBorder="1" applyAlignment="1" applyProtection="1">
      <alignment horizontal="center" vertical="center"/>
      <protection locked="0"/>
    </xf>
    <xf numFmtId="0" fontId="34" fillId="22" borderId="43" xfId="0" applyFont="1" applyFill="1" applyBorder="1" applyAlignment="1" applyProtection="1">
      <alignment horizontal="center" vertical="center"/>
      <protection locked="0"/>
    </xf>
    <xf numFmtId="0" fontId="34" fillId="0" borderId="18" xfId="0" applyFont="1" applyBorder="1" applyAlignment="1" applyProtection="1">
      <alignment vertical="center"/>
      <protection locked="0"/>
    </xf>
    <xf numFmtId="187" fontId="11" fillId="0" borderId="0" xfId="0" applyNumberFormat="1" applyFont="1" applyAlignment="1">
      <alignment horizontal="center" vertical="center"/>
    </xf>
    <xf numFmtId="187" fontId="11" fillId="0" borderId="0" xfId="29" applyNumberFormat="1" applyFont="1" applyAlignment="1">
      <alignment horizontal="center" vertical="center"/>
    </xf>
    <xf numFmtId="9" fontId="0" fillId="0" borderId="0" xfId="29" applyFont="1"/>
    <xf numFmtId="0" fontId="34" fillId="0" borderId="19" xfId="0" applyFont="1" applyBorder="1" applyAlignment="1" applyProtection="1">
      <alignment horizontal="center" vertical="center" shrinkToFit="1"/>
      <protection locked="0"/>
    </xf>
    <xf numFmtId="184" fontId="34" fillId="0" borderId="1" xfId="29" applyNumberFormat="1" applyFont="1" applyFill="1" applyBorder="1" applyAlignment="1" applyProtection="1">
      <alignment vertical="center"/>
    </xf>
    <xf numFmtId="186" fontId="34" fillId="0" borderId="0" xfId="10" applyNumberFormat="1" applyFont="1" applyFill="1" applyBorder="1" applyAlignment="1" applyProtection="1">
      <alignment vertical="center" wrapText="1"/>
      <protection locked="0"/>
    </xf>
    <xf numFmtId="194" fontId="34" fillId="0" borderId="0" xfId="30" applyNumberFormat="1" applyFont="1" applyFill="1" applyBorder="1" applyAlignment="1" applyProtection="1">
      <alignment vertical="center"/>
    </xf>
    <xf numFmtId="185" fontId="34" fillId="0" borderId="0" xfId="29" applyNumberFormat="1" applyFont="1" applyFill="1" applyBorder="1" applyAlignment="1" applyProtection="1">
      <alignment vertical="center"/>
    </xf>
    <xf numFmtId="188" fontId="34" fillId="0" borderId="0" xfId="10" applyNumberFormat="1" applyFont="1" applyFill="1" applyBorder="1" applyAlignment="1" applyProtection="1">
      <alignment vertical="center" wrapText="1"/>
      <protection locked="0"/>
    </xf>
    <xf numFmtId="3" fontId="34" fillId="16" borderId="24" xfId="0" applyNumberFormat="1" applyFont="1" applyFill="1" applyBorder="1" applyAlignment="1">
      <alignment horizontal="center" vertical="center" wrapText="1"/>
    </xf>
    <xf numFmtId="186" fontId="34" fillId="2" borderId="17" xfId="0" applyNumberFormat="1" applyFont="1" applyFill="1" applyBorder="1" applyAlignment="1" applyProtection="1">
      <alignment horizontal="center" vertical="center"/>
      <protection locked="0"/>
    </xf>
    <xf numFmtId="186" fontId="37" fillId="0" borderId="0" xfId="10" applyNumberFormat="1" applyFont="1" applyFill="1" applyBorder="1" applyAlignment="1" applyProtection="1">
      <alignment vertical="center" wrapText="1"/>
      <protection locked="0"/>
    </xf>
    <xf numFmtId="177" fontId="34" fillId="0" borderId="1" xfId="0" applyNumberFormat="1" applyFont="1" applyBorder="1" applyAlignment="1">
      <alignment horizontal="center" vertical="center"/>
    </xf>
    <xf numFmtId="189" fontId="34" fillId="0" borderId="1" xfId="0" applyNumberFormat="1" applyFont="1" applyBorder="1" applyAlignment="1">
      <alignment horizontal="center" vertical="center"/>
    </xf>
    <xf numFmtId="189" fontId="34" fillId="0" borderId="9" xfId="0" applyNumberFormat="1" applyFont="1" applyBorder="1" applyAlignment="1">
      <alignment horizontal="center" vertical="center"/>
    </xf>
    <xf numFmtId="189" fontId="34" fillId="0" borderId="0" xfId="0" applyNumberFormat="1" applyFont="1" applyAlignment="1">
      <alignment horizontal="center" vertical="center"/>
    </xf>
    <xf numFmtId="10" fontId="34" fillId="0" borderId="0" xfId="11" applyNumberFormat="1" applyFont="1" applyFill="1" applyBorder="1" applyAlignment="1" applyProtection="1">
      <alignment horizontal="center" vertical="center"/>
    </xf>
    <xf numFmtId="10" fontId="34" fillId="0" borderId="0" xfId="29" applyNumberFormat="1" applyFont="1" applyFill="1" applyBorder="1" applyAlignment="1" applyProtection="1">
      <alignment horizontal="center" vertical="center"/>
    </xf>
    <xf numFmtId="182" fontId="34" fillId="2" borderId="1" xfId="0" applyNumberFormat="1" applyFont="1" applyFill="1" applyBorder="1" applyAlignment="1">
      <alignment horizontal="right" vertical="center"/>
    </xf>
    <xf numFmtId="0" fontId="37" fillId="0" borderId="2" xfId="0" applyFont="1" applyBorder="1" applyAlignment="1" applyProtection="1">
      <alignment vertical="center" wrapText="1"/>
      <protection locked="0"/>
    </xf>
    <xf numFmtId="10" fontId="34" fillId="0" borderId="2" xfId="11" applyNumberFormat="1" applyFont="1" applyFill="1" applyBorder="1" applyAlignment="1" applyProtection="1">
      <alignment vertical="center"/>
    </xf>
    <xf numFmtId="189" fontId="34" fillId="0" borderId="2" xfId="0" applyNumberFormat="1" applyFont="1" applyBorder="1" applyAlignment="1">
      <alignment vertical="center"/>
    </xf>
    <xf numFmtId="0" fontId="37" fillId="0" borderId="8" xfId="0" applyFont="1" applyBorder="1" applyAlignment="1" applyProtection="1">
      <alignment horizontal="center" vertical="center" wrapText="1"/>
      <protection locked="0"/>
    </xf>
    <xf numFmtId="0" fontId="37" fillId="0" borderId="8" xfId="0" applyFont="1" applyBorder="1" applyAlignment="1" applyProtection="1">
      <alignment vertical="center" wrapText="1"/>
      <protection locked="0"/>
    </xf>
    <xf numFmtId="0" fontId="34" fillId="0" borderId="8" xfId="9" applyFont="1" applyBorder="1" applyProtection="1">
      <alignment vertical="center"/>
      <protection locked="0"/>
    </xf>
    <xf numFmtId="0" fontId="34" fillId="0" borderId="8" xfId="11" applyNumberFormat="1" applyFont="1" applyFill="1" applyBorder="1" applyAlignment="1" applyProtection="1">
      <alignment vertical="center"/>
      <protection locked="0"/>
    </xf>
    <xf numFmtId="185" fontId="34" fillId="0" borderId="8" xfId="11" applyNumberFormat="1" applyFont="1" applyFill="1" applyBorder="1" applyAlignment="1" applyProtection="1">
      <alignment vertical="center"/>
      <protection locked="0"/>
    </xf>
    <xf numFmtId="184" fontId="34" fillId="0" borderId="8" xfId="0" applyNumberFormat="1" applyFont="1" applyBorder="1" applyAlignment="1" applyProtection="1">
      <alignment vertical="center"/>
      <protection locked="0"/>
    </xf>
    <xf numFmtId="185" fontId="34" fillId="0" borderId="8" xfId="0" applyNumberFormat="1" applyFont="1" applyBorder="1" applyAlignment="1" applyProtection="1">
      <alignment vertical="center"/>
      <protection locked="0"/>
    </xf>
    <xf numFmtId="185" fontId="34" fillId="0" borderId="2" xfId="0" applyNumberFormat="1" applyFont="1" applyBorder="1" applyAlignment="1" applyProtection="1">
      <alignment vertical="center"/>
      <protection locked="0"/>
    </xf>
    <xf numFmtId="0" fontId="0" fillId="0" borderId="17" xfId="0" applyBorder="1" applyAlignment="1">
      <alignment horizontal="center" vertical="center"/>
    </xf>
    <xf numFmtId="177" fontId="34" fillId="0" borderId="8" xfId="0" applyNumberFormat="1" applyFont="1" applyBorder="1" applyAlignment="1">
      <alignment horizontal="center" vertical="center"/>
    </xf>
    <xf numFmtId="0" fontId="34" fillId="22" borderId="2" xfId="0" applyFont="1" applyFill="1" applyBorder="1" applyAlignment="1" applyProtection="1">
      <alignment horizontal="center" vertical="center" shrinkToFit="1"/>
      <protection locked="0"/>
    </xf>
    <xf numFmtId="0" fontId="34" fillId="0" borderId="3" xfId="0" applyFont="1" applyBorder="1" applyAlignment="1" applyProtection="1">
      <alignment horizontal="center" vertical="center" shrinkToFit="1"/>
      <protection locked="0"/>
    </xf>
    <xf numFmtId="0" fontId="34" fillId="22" borderId="3" xfId="0" applyFont="1" applyFill="1" applyBorder="1" applyAlignment="1" applyProtection="1">
      <alignment horizontal="center" vertical="center" shrinkToFit="1"/>
      <protection locked="0"/>
    </xf>
    <xf numFmtId="0" fontId="34" fillId="0" borderId="8" xfId="0" applyFont="1" applyBorder="1" applyAlignment="1" applyProtection="1">
      <alignment horizontal="center" vertical="center" shrinkToFit="1"/>
      <protection locked="0"/>
    </xf>
    <xf numFmtId="0" fontId="34" fillId="0" borderId="2" xfId="0" applyFont="1" applyBorder="1" applyAlignment="1" applyProtection="1">
      <alignment horizontal="center" vertical="center" shrinkToFit="1"/>
      <protection locked="0"/>
    </xf>
    <xf numFmtId="0" fontId="34" fillId="22" borderId="8" xfId="0" applyFont="1" applyFill="1" applyBorder="1" applyAlignment="1" applyProtection="1">
      <alignment horizontal="center" vertical="center" shrinkToFit="1"/>
      <protection locked="0"/>
    </xf>
    <xf numFmtId="3" fontId="34" fillId="22" borderId="19" xfId="0" applyNumberFormat="1" applyFont="1" applyFill="1" applyBorder="1" applyAlignment="1" applyProtection="1">
      <alignment horizontal="center" vertical="center"/>
      <protection locked="0"/>
    </xf>
    <xf numFmtId="0" fontId="34" fillId="22" borderId="24" xfId="0" applyFont="1" applyFill="1" applyBorder="1" applyAlignment="1" applyProtection="1">
      <alignment horizontal="center" vertical="center" shrinkToFit="1"/>
      <protection locked="0"/>
    </xf>
    <xf numFmtId="0" fontId="34" fillId="0" borderId="38" xfId="0" applyFont="1" applyBorder="1" applyAlignment="1" applyProtection="1">
      <alignment horizontal="center" vertical="center" shrinkToFit="1"/>
      <protection locked="0"/>
    </xf>
    <xf numFmtId="0" fontId="34" fillId="22" borderId="38" xfId="0" applyFont="1" applyFill="1" applyBorder="1" applyAlignment="1" applyProtection="1">
      <alignment horizontal="center" vertical="center" shrinkToFit="1"/>
      <protection locked="0"/>
    </xf>
    <xf numFmtId="0" fontId="34" fillId="0" borderId="25" xfId="0" applyFont="1" applyBorder="1" applyAlignment="1" applyProtection="1">
      <alignment horizontal="center" vertical="center" shrinkToFit="1"/>
      <protection locked="0"/>
    </xf>
    <xf numFmtId="0" fontId="34" fillId="22" borderId="25" xfId="0" applyFont="1" applyFill="1" applyBorder="1" applyAlignment="1" applyProtection="1">
      <alignment horizontal="center" vertical="center" shrinkToFit="1"/>
      <protection locked="0"/>
    </xf>
    <xf numFmtId="0" fontId="34" fillId="0" borderId="24" xfId="0" applyFont="1" applyBorder="1" applyAlignment="1" applyProtection="1">
      <alignment horizontal="center" vertical="center" shrinkToFit="1"/>
      <protection locked="0"/>
    </xf>
    <xf numFmtId="0" fontId="34" fillId="22" borderId="3" xfId="0" applyFont="1" applyFill="1" applyBorder="1" applyAlignment="1" applyProtection="1">
      <alignment horizontal="center" vertical="center"/>
      <protection locked="0"/>
    </xf>
    <xf numFmtId="0" fontId="34" fillId="22" borderId="8" xfId="0" applyFont="1" applyFill="1" applyBorder="1" applyAlignment="1" applyProtection="1">
      <alignment horizontal="center" vertical="center"/>
      <protection locked="0"/>
    </xf>
    <xf numFmtId="185" fontId="34" fillId="0" borderId="8" xfId="29" applyNumberFormat="1" applyFont="1" applyFill="1" applyBorder="1" applyAlignment="1" applyProtection="1">
      <alignment vertical="center"/>
    </xf>
    <xf numFmtId="184" fontId="34" fillId="0" borderId="8" xfId="29" applyNumberFormat="1" applyFont="1" applyFill="1" applyBorder="1" applyAlignment="1" applyProtection="1">
      <alignment vertical="center"/>
    </xf>
    <xf numFmtId="185" fontId="34" fillId="0" borderId="9" xfId="29" applyNumberFormat="1" applyFont="1" applyFill="1" applyBorder="1" applyAlignment="1" applyProtection="1">
      <alignment vertical="center"/>
    </xf>
    <xf numFmtId="184" fontId="34" fillId="0" borderId="9" xfId="29" applyNumberFormat="1" applyFont="1" applyFill="1" applyBorder="1" applyAlignment="1" applyProtection="1">
      <alignment vertical="center"/>
    </xf>
    <xf numFmtId="186" fontId="34" fillId="0" borderId="9" xfId="10" applyNumberFormat="1" applyFont="1" applyFill="1" applyBorder="1" applyAlignment="1" applyProtection="1">
      <alignment vertical="center" wrapText="1"/>
      <protection locked="0"/>
    </xf>
    <xf numFmtId="49" fontId="34" fillId="0" borderId="1" xfId="9" applyNumberFormat="1" applyFont="1" applyBorder="1" applyProtection="1">
      <alignment vertical="center"/>
      <protection locked="0"/>
    </xf>
    <xf numFmtId="49" fontId="34" fillId="0" borderId="8" xfId="9" applyNumberFormat="1" applyFont="1" applyBorder="1" applyProtection="1">
      <alignment vertical="center"/>
      <protection locked="0"/>
    </xf>
    <xf numFmtId="49" fontId="34" fillId="0" borderId="9" xfId="9" applyNumberFormat="1" applyFont="1" applyBorder="1" applyProtection="1">
      <alignment vertical="center"/>
      <protection locked="0"/>
    </xf>
    <xf numFmtId="194" fontId="34" fillId="0" borderId="8" xfId="30" applyNumberFormat="1" applyFont="1" applyFill="1" applyBorder="1" applyAlignment="1" applyProtection="1">
      <alignment vertical="center"/>
    </xf>
    <xf numFmtId="187" fontId="34" fillId="0" borderId="8" xfId="29" applyNumberFormat="1" applyFont="1" applyFill="1" applyBorder="1" applyAlignment="1" applyProtection="1">
      <alignment vertical="center"/>
    </xf>
    <xf numFmtId="188" fontId="34" fillId="0" borderId="8" xfId="10" applyNumberFormat="1" applyFont="1" applyFill="1" applyBorder="1" applyAlignment="1" applyProtection="1">
      <alignment vertical="center" wrapText="1"/>
      <protection locked="0"/>
    </xf>
    <xf numFmtId="0" fontId="34" fillId="0" borderId="8" xfId="0" applyFont="1" applyBorder="1" applyProtection="1">
      <protection locked="0"/>
    </xf>
    <xf numFmtId="186" fontId="37" fillId="0" borderId="8" xfId="10" applyNumberFormat="1" applyFont="1" applyFill="1" applyBorder="1" applyAlignment="1" applyProtection="1">
      <alignment vertical="center" wrapText="1"/>
      <protection locked="0"/>
    </xf>
    <xf numFmtId="184" fontId="61" fillId="0" borderId="8" xfId="11" applyNumberFormat="1" applyFont="1" applyFill="1" applyBorder="1" applyAlignment="1" applyProtection="1">
      <alignment vertical="center"/>
      <protection locked="0"/>
    </xf>
    <xf numFmtId="0" fontId="34" fillId="22" borderId="3" xfId="9" applyFont="1" applyFill="1" applyBorder="1" applyProtection="1">
      <alignment vertical="center"/>
      <protection locked="0"/>
    </xf>
    <xf numFmtId="3" fontId="34" fillId="0" borderId="2" xfId="0" applyNumberFormat="1" applyFont="1" applyBorder="1" applyAlignment="1">
      <alignment vertical="center"/>
    </xf>
    <xf numFmtId="184" fontId="34" fillId="0" borderId="2" xfId="0" applyNumberFormat="1" applyFont="1" applyBorder="1" applyAlignment="1">
      <alignment vertical="center"/>
    </xf>
    <xf numFmtId="187" fontId="34" fillId="0" borderId="2" xfId="29" applyNumberFormat="1" applyFont="1" applyFill="1" applyBorder="1" applyAlignment="1" applyProtection="1">
      <alignment vertical="center"/>
    </xf>
    <xf numFmtId="186" fontId="34" fillId="0" borderId="2" xfId="10" applyNumberFormat="1" applyFont="1" applyFill="1" applyBorder="1" applyAlignment="1" applyProtection="1">
      <alignment vertical="center" wrapText="1"/>
      <protection locked="0"/>
    </xf>
    <xf numFmtId="20" fontId="34" fillId="0" borderId="2" xfId="0" applyNumberFormat="1" applyFont="1" applyBorder="1" applyAlignment="1" applyProtection="1">
      <alignment wrapText="1"/>
      <protection locked="0"/>
    </xf>
    <xf numFmtId="0" fontId="34" fillId="22" borderId="8" xfId="9" applyFont="1" applyFill="1" applyBorder="1" applyProtection="1">
      <alignment vertical="center"/>
      <protection locked="0"/>
    </xf>
    <xf numFmtId="0" fontId="34" fillId="0" borderId="3" xfId="9" applyFont="1" applyBorder="1" applyAlignment="1" applyProtection="1">
      <alignment horizontal="left" vertical="center"/>
      <protection locked="0"/>
    </xf>
    <xf numFmtId="0" fontId="34" fillId="22" borderId="3" xfId="9" applyFont="1" applyFill="1" applyBorder="1" applyAlignment="1" applyProtection="1">
      <alignment horizontal="left" vertical="center"/>
      <protection locked="0"/>
    </xf>
    <xf numFmtId="0" fontId="34" fillId="0" borderId="2" xfId="9" applyFont="1" applyBorder="1" applyAlignment="1" applyProtection="1">
      <alignment horizontal="left" vertical="center"/>
      <protection locked="0"/>
    </xf>
    <xf numFmtId="0" fontId="34" fillId="22" borderId="3" xfId="0" applyFont="1" applyFill="1" applyBorder="1" applyAlignment="1" applyProtection="1">
      <alignment vertical="center" wrapText="1"/>
      <protection locked="0"/>
    </xf>
    <xf numFmtId="0" fontId="34" fillId="22" borderId="8" xfId="0" applyFont="1" applyFill="1" applyBorder="1" applyAlignment="1" applyProtection="1">
      <alignment vertical="center" wrapText="1"/>
      <protection locked="0"/>
    </xf>
    <xf numFmtId="0" fontId="34" fillId="0" borderId="3" xfId="0" applyFont="1" applyBorder="1" applyAlignment="1" applyProtection="1">
      <alignment horizontal="left" vertical="center" wrapText="1"/>
      <protection locked="0"/>
    </xf>
    <xf numFmtId="0" fontId="34" fillId="22" borderId="8" xfId="9" applyFont="1" applyFill="1" applyBorder="1" applyAlignment="1" applyProtection="1">
      <alignment horizontal="left" vertical="center"/>
      <protection locked="0"/>
    </xf>
    <xf numFmtId="0" fontId="34" fillId="0" borderId="18" xfId="0" applyFont="1" applyBorder="1" applyAlignment="1" applyProtection="1">
      <alignment horizontal="center" vertical="center" shrinkToFit="1"/>
      <protection locked="0"/>
    </xf>
    <xf numFmtId="0" fontId="34" fillId="0" borderId="22" xfId="0" applyFont="1" applyBorder="1" applyAlignment="1" applyProtection="1">
      <alignment horizontal="center" vertical="center" shrinkToFit="1"/>
      <protection locked="0"/>
    </xf>
    <xf numFmtId="0" fontId="34" fillId="0" borderId="22" xfId="0" applyFont="1" applyBorder="1" applyAlignment="1" applyProtection="1">
      <alignment horizontal="center" vertical="center" wrapText="1" shrinkToFit="1"/>
      <protection locked="0"/>
    </xf>
    <xf numFmtId="0" fontId="34" fillId="0" borderId="22" xfId="0" applyFont="1" applyBorder="1" applyAlignment="1" applyProtection="1">
      <alignment horizontal="center" vertical="center"/>
      <protection locked="0"/>
    </xf>
    <xf numFmtId="0" fontId="34" fillId="0" borderId="23" xfId="9" applyFont="1" applyBorder="1" applyProtection="1">
      <alignment vertical="center"/>
      <protection locked="0"/>
    </xf>
    <xf numFmtId="0" fontId="34" fillId="22" borderId="20" xfId="9" applyFont="1" applyFill="1" applyBorder="1" applyProtection="1">
      <alignment vertical="center"/>
      <protection locked="0"/>
    </xf>
    <xf numFmtId="0" fontId="34" fillId="0" borderId="43" xfId="9" applyFont="1" applyBorder="1" applyProtection="1">
      <alignment vertical="center"/>
      <protection locked="0"/>
    </xf>
    <xf numFmtId="0" fontId="34" fillId="0" borderId="20" xfId="9" applyFont="1" applyBorder="1" applyProtection="1">
      <alignment vertical="center"/>
      <protection locked="0"/>
    </xf>
    <xf numFmtId="0" fontId="34" fillId="0" borderId="20" xfId="9" applyFont="1" applyBorder="1" applyAlignment="1" applyProtection="1">
      <alignment horizontal="left" vertical="center"/>
      <protection locked="0"/>
    </xf>
    <xf numFmtId="0" fontId="34" fillId="22" borderId="43" xfId="9" applyFont="1" applyFill="1" applyBorder="1" applyProtection="1">
      <alignment vertical="center"/>
      <protection locked="0"/>
    </xf>
    <xf numFmtId="0" fontId="34" fillId="22" borderId="20" xfId="9" applyFont="1" applyFill="1" applyBorder="1" applyAlignment="1" applyProtection="1">
      <alignment horizontal="left" vertical="center"/>
      <protection locked="0"/>
    </xf>
    <xf numFmtId="0" fontId="34" fillId="0" borderId="23" xfId="9" applyFont="1" applyBorder="1" applyAlignment="1" applyProtection="1">
      <alignment horizontal="left" vertical="center"/>
      <protection locked="0"/>
    </xf>
    <xf numFmtId="0" fontId="34" fillId="22" borderId="20" xfId="0" applyFont="1" applyFill="1" applyBorder="1" applyAlignment="1" applyProtection="1">
      <alignment vertical="center" wrapText="1"/>
      <protection locked="0"/>
    </xf>
    <xf numFmtId="0" fontId="34" fillId="22" borderId="43" xfId="0" applyFont="1" applyFill="1" applyBorder="1" applyAlignment="1" applyProtection="1">
      <alignment vertical="center" wrapText="1"/>
      <protection locked="0"/>
    </xf>
    <xf numFmtId="0" fontId="34" fillId="0" borderId="20" xfId="0" applyFont="1" applyBorder="1" applyAlignment="1" applyProtection="1">
      <alignment horizontal="left" vertical="center" wrapText="1"/>
      <protection locked="0"/>
    </xf>
    <xf numFmtId="0" fontId="34" fillId="22" borderId="43" xfId="9" applyFont="1" applyFill="1" applyBorder="1" applyAlignment="1" applyProtection="1">
      <alignment horizontal="left" vertical="center"/>
      <protection locked="0"/>
    </xf>
    <xf numFmtId="0" fontId="34" fillId="0" borderId="19" xfId="0" applyFont="1" applyBorder="1" applyAlignment="1" applyProtection="1">
      <alignment horizontal="center" vertical="center" wrapText="1" shrinkToFit="1"/>
      <protection locked="0"/>
    </xf>
    <xf numFmtId="0" fontId="34" fillId="22" borderId="0" xfId="0" applyFont="1" applyFill="1" applyAlignment="1">
      <alignment horizontal="center" vertical="center"/>
    </xf>
    <xf numFmtId="185" fontId="34" fillId="0" borderId="0" xfId="11" applyNumberFormat="1" applyFont="1" applyFill="1" applyBorder="1" applyAlignment="1" applyProtection="1">
      <alignment horizontal="right" vertical="center"/>
      <protection locked="0"/>
    </xf>
    <xf numFmtId="184" fontId="34" fillId="0" borderId="0" xfId="11" applyNumberFormat="1" applyFont="1" applyFill="1" applyBorder="1" applyAlignment="1" applyProtection="1">
      <alignment horizontal="right" vertical="center"/>
      <protection locked="0"/>
    </xf>
    <xf numFmtId="0" fontId="34" fillId="0" borderId="0" xfId="11" applyNumberFormat="1" applyFont="1" applyFill="1" applyBorder="1" applyAlignment="1" applyProtection="1">
      <alignment horizontal="right" vertical="center"/>
      <protection locked="0"/>
    </xf>
    <xf numFmtId="185" fontId="34" fillId="0" borderId="0" xfId="11" applyNumberFormat="1" applyFont="1" applyFill="1" applyBorder="1" applyAlignment="1" applyProtection="1">
      <alignment horizontal="center" vertical="center"/>
      <protection locked="0"/>
    </xf>
    <xf numFmtId="0" fontId="34" fillId="0" borderId="0" xfId="11" applyNumberFormat="1" applyFont="1" applyFill="1" applyBorder="1" applyAlignment="1" applyProtection="1">
      <alignment horizontal="center" vertical="center"/>
      <protection locked="0"/>
    </xf>
    <xf numFmtId="184" fontId="34" fillId="0" borderId="0" xfId="11" applyNumberFormat="1" applyFont="1" applyFill="1" applyBorder="1" applyAlignment="1" applyProtection="1">
      <alignment horizontal="center" vertical="center"/>
      <protection locked="0"/>
    </xf>
    <xf numFmtId="185" fontId="34" fillId="0" borderId="19" xfId="11" applyNumberFormat="1" applyFont="1" applyFill="1" applyBorder="1" applyAlignment="1" applyProtection="1">
      <alignment horizontal="center" vertical="center"/>
      <protection locked="0"/>
    </xf>
    <xf numFmtId="184" fontId="34" fillId="0" borderId="19" xfId="0" applyNumberFormat="1" applyFont="1" applyBorder="1" applyAlignment="1" applyProtection="1">
      <alignment horizontal="center" vertical="center"/>
      <protection locked="0"/>
    </xf>
    <xf numFmtId="0" fontId="34" fillId="0" borderId="19" xfId="11" applyNumberFormat="1" applyFont="1" applyFill="1" applyBorder="1" applyAlignment="1" applyProtection="1">
      <alignment horizontal="center" vertical="center"/>
      <protection locked="0"/>
    </xf>
    <xf numFmtId="185" fontId="34" fillId="0" borderId="11" xfId="11" applyNumberFormat="1" applyFont="1" applyFill="1" applyBorder="1" applyAlignment="1" applyProtection="1">
      <alignment horizontal="center" vertical="center"/>
      <protection locked="0"/>
    </xf>
    <xf numFmtId="184" fontId="34" fillId="0" borderId="11" xfId="11" applyNumberFormat="1" applyFont="1" applyFill="1" applyBorder="1" applyAlignment="1" applyProtection="1">
      <alignment horizontal="center" vertical="center"/>
      <protection locked="0"/>
    </xf>
    <xf numFmtId="0" fontId="34" fillId="0" borderId="11" xfId="11" applyNumberFormat="1" applyFont="1" applyFill="1" applyBorder="1" applyAlignment="1" applyProtection="1">
      <alignment horizontal="center" vertical="center"/>
      <protection locked="0"/>
    </xf>
    <xf numFmtId="185" fontId="34" fillId="0" borderId="19" xfId="0" applyNumberFormat="1" applyFont="1" applyBorder="1" applyAlignment="1" applyProtection="1">
      <alignment horizontal="center" vertical="center"/>
      <protection locked="0"/>
    </xf>
    <xf numFmtId="185" fontId="34" fillId="0" borderId="11" xfId="0" applyNumberFormat="1" applyFont="1" applyBorder="1" applyAlignment="1" applyProtection="1">
      <alignment horizontal="center" vertical="center"/>
      <protection locked="0"/>
    </xf>
    <xf numFmtId="184" fontId="34" fillId="0" borderId="11" xfId="0" applyNumberFormat="1" applyFont="1" applyBorder="1" applyAlignment="1" applyProtection="1">
      <alignment horizontal="center" vertical="center"/>
      <protection locked="0"/>
    </xf>
    <xf numFmtId="10" fontId="34" fillId="0" borderId="2" xfId="29" applyNumberFormat="1" applyFont="1" applyFill="1" applyBorder="1" applyAlignment="1" applyProtection="1">
      <alignment vertical="center"/>
    </xf>
    <xf numFmtId="189" fontId="34" fillId="0" borderId="2" xfId="0" applyNumberFormat="1" applyFont="1" applyBorder="1" applyAlignment="1">
      <alignment horizontal="center" vertical="center"/>
    </xf>
    <xf numFmtId="0" fontId="34" fillId="0" borderId="2" xfId="11" applyNumberFormat="1" applyFont="1" applyFill="1" applyBorder="1" applyAlignment="1" applyProtection="1">
      <alignment vertical="center"/>
    </xf>
    <xf numFmtId="185" fontId="34" fillId="22" borderId="0" xfId="11" applyNumberFormat="1" applyFont="1" applyFill="1" applyBorder="1" applyAlignment="1" applyProtection="1">
      <alignment horizontal="center" vertical="center"/>
      <protection locked="0"/>
    </xf>
    <xf numFmtId="184" fontId="34" fillId="22" borderId="0" xfId="0" applyNumberFormat="1" applyFont="1" applyFill="1" applyAlignment="1" applyProtection="1">
      <alignment horizontal="center" vertical="center"/>
      <protection locked="0"/>
    </xf>
    <xf numFmtId="0" fontId="34" fillId="22" borderId="0" xfId="11" applyNumberFormat="1" applyFont="1" applyFill="1" applyBorder="1" applyAlignment="1" applyProtection="1">
      <alignment horizontal="center" vertical="center"/>
      <protection locked="0"/>
    </xf>
    <xf numFmtId="184" fontId="34" fillId="22" borderId="0" xfId="11" applyNumberFormat="1" applyFont="1" applyFill="1" applyBorder="1" applyAlignment="1" applyProtection="1">
      <alignment horizontal="center" vertical="center"/>
      <protection locked="0"/>
    </xf>
    <xf numFmtId="185" fontId="34" fillId="22" borderId="19" xfId="11" applyNumberFormat="1" applyFont="1" applyFill="1" applyBorder="1" applyAlignment="1" applyProtection="1">
      <alignment horizontal="center" vertical="center"/>
      <protection locked="0"/>
    </xf>
    <xf numFmtId="184" fontId="34" fillId="22" borderId="19" xfId="0" applyNumberFormat="1" applyFont="1" applyFill="1" applyBorder="1" applyAlignment="1" applyProtection="1">
      <alignment horizontal="center" vertical="center"/>
      <protection locked="0"/>
    </xf>
    <xf numFmtId="0" fontId="34" fillId="22" borderId="19" xfId="11" applyNumberFormat="1" applyFont="1" applyFill="1" applyBorder="1" applyAlignment="1" applyProtection="1">
      <alignment horizontal="center" vertical="center"/>
      <protection locked="0"/>
    </xf>
    <xf numFmtId="185" fontId="34" fillId="22" borderId="0" xfId="0" applyNumberFormat="1" applyFont="1" applyFill="1" applyAlignment="1" applyProtection="1">
      <alignment horizontal="center" vertical="center"/>
      <protection locked="0"/>
    </xf>
    <xf numFmtId="185" fontId="34" fillId="22" borderId="19" xfId="0" applyNumberFormat="1" applyFont="1" applyFill="1" applyBorder="1" applyAlignment="1" applyProtection="1">
      <alignment horizontal="center" vertical="center"/>
      <protection locked="0"/>
    </xf>
    <xf numFmtId="0" fontId="34" fillId="0" borderId="8" xfId="11" applyNumberFormat="1" applyFont="1" applyFill="1" applyBorder="1" applyAlignment="1" applyProtection="1">
      <alignment horizontal="right" vertical="center"/>
      <protection locked="0"/>
    </xf>
    <xf numFmtId="185" fontId="34" fillId="0" borderId="8" xfId="11" applyNumberFormat="1" applyFont="1" applyFill="1" applyBorder="1" applyAlignment="1" applyProtection="1">
      <alignment horizontal="right" vertical="center"/>
      <protection locked="0"/>
    </xf>
    <xf numFmtId="184" fontId="34" fillId="0" borderId="8" xfId="11" applyNumberFormat="1" applyFont="1" applyFill="1" applyBorder="1" applyAlignment="1" applyProtection="1">
      <alignment horizontal="right" vertical="center"/>
      <protection locked="0"/>
    </xf>
    <xf numFmtId="0" fontId="0" fillId="0" borderId="1" xfId="0" applyBorder="1" applyAlignment="1">
      <alignment horizontal="center" vertical="center" shrinkToFit="1"/>
    </xf>
    <xf numFmtId="187" fontId="0" fillId="0" borderId="18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87" fontId="0" fillId="4" borderId="18" xfId="0" applyNumberFormat="1" applyFill="1" applyBorder="1" applyAlignment="1">
      <alignment horizontal="center" vertical="center"/>
    </xf>
    <xf numFmtId="187" fontId="0" fillId="4" borderId="22" xfId="0" applyNumberFormat="1" applyFill="1" applyBorder="1" applyAlignment="1">
      <alignment horizontal="center" vertical="center"/>
    </xf>
    <xf numFmtId="187" fontId="0" fillId="4" borderId="17" xfId="0" applyNumberFormat="1" applyFill="1" applyBorder="1" applyAlignment="1">
      <alignment horizontal="center" vertical="center"/>
    </xf>
    <xf numFmtId="187" fontId="0" fillId="9" borderId="18" xfId="0" applyNumberFormat="1" applyFill="1" applyBorder="1" applyAlignment="1">
      <alignment horizontal="center" vertical="center"/>
    </xf>
    <xf numFmtId="187" fontId="0" fillId="9" borderId="22" xfId="0" applyNumberFormat="1" applyFill="1" applyBorder="1" applyAlignment="1">
      <alignment horizontal="center" vertical="center"/>
    </xf>
    <xf numFmtId="187" fontId="0" fillId="9" borderId="17" xfId="0" applyNumberForma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180" fontId="6" fillId="4" borderId="18" xfId="0" applyNumberFormat="1" applyFont="1" applyFill="1" applyBorder="1" applyAlignment="1">
      <alignment horizontal="left" vertical="top" wrapText="1" shrinkToFit="1"/>
    </xf>
    <xf numFmtId="180" fontId="6" fillId="4" borderId="22" xfId="0" applyNumberFormat="1" applyFont="1" applyFill="1" applyBorder="1" applyAlignment="1">
      <alignment horizontal="left" vertical="top" wrapText="1" shrinkToFit="1"/>
    </xf>
    <xf numFmtId="180" fontId="6" fillId="4" borderId="17" xfId="0" applyNumberFormat="1" applyFont="1" applyFill="1" applyBorder="1" applyAlignment="1">
      <alignment horizontal="left" vertical="top" wrapText="1" shrinkToFit="1"/>
    </xf>
    <xf numFmtId="180" fontId="6" fillId="4" borderId="23" xfId="0" applyNumberFormat="1" applyFont="1" applyFill="1" applyBorder="1" applyAlignment="1">
      <alignment horizontal="left" vertical="top" wrapText="1" shrinkToFit="1"/>
    </xf>
    <xf numFmtId="180" fontId="6" fillId="4" borderId="11" xfId="0" applyNumberFormat="1" applyFont="1" applyFill="1" applyBorder="1" applyAlignment="1">
      <alignment horizontal="left" vertical="top" wrapText="1" shrinkToFit="1"/>
    </xf>
    <xf numFmtId="180" fontId="6" fillId="4" borderId="24" xfId="0" applyNumberFormat="1" applyFont="1" applyFill="1" applyBorder="1" applyAlignment="1">
      <alignment horizontal="left" vertical="top" wrapText="1" shrinkToFit="1"/>
    </xf>
    <xf numFmtId="0" fontId="0" fillId="4" borderId="43" xfId="0" applyFill="1" applyBorder="1" applyAlignment="1">
      <alignment horizontal="left" vertical="top" wrapText="1" shrinkToFit="1"/>
    </xf>
    <xf numFmtId="0" fontId="0" fillId="4" borderId="19" xfId="0" applyFill="1" applyBorder="1" applyAlignment="1">
      <alignment horizontal="left" vertical="top" wrapText="1" shrinkToFit="1"/>
    </xf>
    <xf numFmtId="0" fontId="0" fillId="4" borderId="25" xfId="0" applyFill="1" applyBorder="1" applyAlignment="1">
      <alignment horizontal="left" vertical="top" wrapText="1" shrinkToFit="1"/>
    </xf>
    <xf numFmtId="20" fontId="5" fillId="9" borderId="23" xfId="0" applyNumberFormat="1" applyFont="1" applyFill="1" applyBorder="1" applyAlignment="1">
      <alignment horizontal="left" vertical="top" wrapText="1" shrinkToFit="1"/>
    </xf>
    <xf numFmtId="20" fontId="5" fillId="9" borderId="11" xfId="0" applyNumberFormat="1" applyFont="1" applyFill="1" applyBorder="1" applyAlignment="1">
      <alignment horizontal="left" vertical="top" wrapText="1" shrinkToFit="1"/>
    </xf>
    <xf numFmtId="20" fontId="5" fillId="9" borderId="24" xfId="0" applyNumberFormat="1" applyFont="1" applyFill="1" applyBorder="1" applyAlignment="1">
      <alignment horizontal="left" vertical="top" wrapText="1" shrinkToFit="1"/>
    </xf>
    <xf numFmtId="180" fontId="6" fillId="0" borderId="23" xfId="0" applyNumberFormat="1" applyFont="1" applyBorder="1" applyAlignment="1">
      <alignment horizontal="left" vertical="top" wrapText="1" shrinkToFit="1"/>
    </xf>
    <xf numFmtId="180" fontId="6" fillId="0" borderId="11" xfId="0" applyNumberFormat="1" applyFont="1" applyBorder="1" applyAlignment="1">
      <alignment horizontal="left" vertical="top" wrapText="1" shrinkToFit="1"/>
    </xf>
    <xf numFmtId="180" fontId="6" fillId="0" borderId="24" xfId="0" applyNumberFormat="1" applyFont="1" applyBorder="1" applyAlignment="1">
      <alignment horizontal="left" vertical="top" wrapText="1" shrinkToFit="1"/>
    </xf>
    <xf numFmtId="0" fontId="23" fillId="0" borderId="0" xfId="0" applyFont="1" applyAlignment="1">
      <alignment vertical="center"/>
    </xf>
    <xf numFmtId="0" fontId="6" fillId="0" borderId="19" xfId="0" applyFont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80" fontId="6" fillId="9" borderId="18" xfId="0" applyNumberFormat="1" applyFont="1" applyFill="1" applyBorder="1" applyAlignment="1">
      <alignment horizontal="left" vertical="top" wrapText="1" shrinkToFit="1"/>
    </xf>
    <xf numFmtId="180" fontId="6" fillId="9" borderId="22" xfId="0" applyNumberFormat="1" applyFont="1" applyFill="1" applyBorder="1" applyAlignment="1">
      <alignment horizontal="left" vertical="top" wrapText="1" shrinkToFit="1"/>
    </xf>
    <xf numFmtId="180" fontId="6" fillId="9" borderId="17" xfId="0" applyNumberFormat="1" applyFont="1" applyFill="1" applyBorder="1" applyAlignment="1">
      <alignment horizontal="left" vertical="top" wrapText="1" shrinkToFit="1"/>
    </xf>
    <xf numFmtId="0" fontId="6" fillId="0" borderId="2" xfId="0" applyFont="1" applyBorder="1" applyAlignment="1">
      <alignment horizontal="center" vertical="center" shrinkToFit="1"/>
    </xf>
    <xf numFmtId="0" fontId="6" fillId="0" borderId="8" xfId="0" applyFont="1" applyBorder="1" applyAlignment="1">
      <alignment horizontal="center" vertical="center" shrinkToFit="1"/>
    </xf>
    <xf numFmtId="0" fontId="0" fillId="0" borderId="1" xfId="0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0" fontId="6" fillId="0" borderId="17" xfId="0" applyFont="1" applyBorder="1" applyAlignment="1">
      <alignment horizontal="left" vertical="center"/>
    </xf>
    <xf numFmtId="0" fontId="6" fillId="4" borderId="18" xfId="0" applyFont="1" applyFill="1" applyBorder="1" applyAlignment="1">
      <alignment vertical="center"/>
    </xf>
    <xf numFmtId="0" fontId="6" fillId="4" borderId="22" xfId="0" applyFont="1" applyFill="1" applyBorder="1" applyAlignment="1">
      <alignment vertical="center"/>
    </xf>
    <xf numFmtId="0" fontId="6" fillId="4" borderId="17" xfId="0" applyFont="1" applyFill="1" applyBorder="1" applyAlignment="1">
      <alignment vertical="center"/>
    </xf>
    <xf numFmtId="0" fontId="0" fillId="6" borderId="18" xfId="0" applyFill="1" applyBorder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6" borderId="18" xfId="0" applyFill="1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6" fillId="4" borderId="18" xfId="0" applyFont="1" applyFill="1" applyBorder="1" applyAlignment="1">
      <alignment horizontal="left" vertical="center"/>
    </xf>
    <xf numFmtId="0" fontId="6" fillId="4" borderId="22" xfId="0" applyFont="1" applyFill="1" applyBorder="1" applyAlignment="1">
      <alignment horizontal="left" vertical="center"/>
    </xf>
    <xf numFmtId="0" fontId="6" fillId="4" borderId="17" xfId="0" applyFont="1" applyFill="1" applyBorder="1" applyAlignment="1">
      <alignment horizontal="left" vertical="center"/>
    </xf>
    <xf numFmtId="0" fontId="0" fillId="6" borderId="18" xfId="0" applyFill="1" applyBorder="1" applyAlignment="1">
      <alignment horizontal="left" vertical="center"/>
    </xf>
    <xf numFmtId="0" fontId="0" fillId="6" borderId="22" xfId="0" applyFill="1" applyBorder="1" applyAlignment="1">
      <alignment horizontal="left" vertical="center"/>
    </xf>
    <xf numFmtId="0" fontId="0" fillId="6" borderId="17" xfId="0" applyFill="1" applyBorder="1" applyAlignment="1">
      <alignment horizontal="left" vertical="center"/>
    </xf>
    <xf numFmtId="0" fontId="0" fillId="4" borderId="18" xfId="0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2" xfId="0" applyBorder="1"/>
    <xf numFmtId="0" fontId="0" fillId="0" borderId="17" xfId="0" applyBorder="1"/>
    <xf numFmtId="183" fontId="6" fillId="4" borderId="18" xfId="0" applyNumberFormat="1" applyFont="1" applyFill="1" applyBorder="1" applyAlignment="1">
      <alignment horizontal="left" vertical="top" wrapText="1" shrinkToFit="1"/>
    </xf>
    <xf numFmtId="183" fontId="6" fillId="4" borderId="22" xfId="0" applyNumberFormat="1" applyFont="1" applyFill="1" applyBorder="1" applyAlignment="1">
      <alignment horizontal="left" vertical="top" wrapText="1" shrinkToFit="1"/>
    </xf>
    <xf numFmtId="183" fontId="6" fillId="4" borderId="17" xfId="0" applyNumberFormat="1" applyFont="1" applyFill="1" applyBorder="1" applyAlignment="1">
      <alignment horizontal="left" vertical="top" wrapText="1" shrinkToFit="1"/>
    </xf>
    <xf numFmtId="0" fontId="0" fillId="0" borderId="18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17" xfId="0" applyBorder="1" applyAlignment="1">
      <alignment horizontal="center" vertical="center" shrinkToFit="1"/>
    </xf>
    <xf numFmtId="183" fontId="26" fillId="0" borderId="23" xfId="0" applyNumberFormat="1" applyFont="1" applyBorder="1" applyAlignment="1">
      <alignment horizontal="left" vertical="top" wrapText="1" shrinkToFit="1"/>
    </xf>
    <xf numFmtId="183" fontId="26" fillId="0" borderId="11" xfId="0" applyNumberFormat="1" applyFont="1" applyBorder="1" applyAlignment="1">
      <alignment horizontal="left" vertical="top" wrapText="1" shrinkToFit="1"/>
    </xf>
    <xf numFmtId="183" fontId="26" fillId="0" borderId="24" xfId="0" applyNumberFormat="1" applyFont="1" applyBorder="1" applyAlignment="1">
      <alignment horizontal="left" vertical="top" wrapText="1" shrinkToFit="1"/>
    </xf>
    <xf numFmtId="183" fontId="6" fillId="0" borderId="18" xfId="0" applyNumberFormat="1" applyFont="1" applyBorder="1" applyAlignment="1">
      <alignment horizontal="left" vertical="top" wrapText="1" shrinkToFit="1"/>
    </xf>
    <xf numFmtId="183" fontId="6" fillId="0" borderId="22" xfId="0" applyNumberFormat="1" applyFont="1" applyBorder="1" applyAlignment="1">
      <alignment horizontal="left" vertical="top" wrapText="1" shrinkToFit="1"/>
    </xf>
    <xf numFmtId="183" fontId="6" fillId="0" borderId="17" xfId="0" applyNumberFormat="1" applyFont="1" applyBorder="1" applyAlignment="1">
      <alignment horizontal="left" vertical="top" wrapText="1" shrinkToFit="1"/>
    </xf>
    <xf numFmtId="20" fontId="6" fillId="4" borderId="18" xfId="0" applyNumberFormat="1" applyFont="1" applyFill="1" applyBorder="1" applyAlignment="1">
      <alignment horizontal="left" vertical="top" wrapText="1" shrinkToFit="1"/>
    </xf>
    <xf numFmtId="0" fontId="6" fillId="4" borderId="22" xfId="0" applyFont="1" applyFill="1" applyBorder="1" applyAlignment="1">
      <alignment horizontal="left" vertical="top" wrapText="1" shrinkToFit="1"/>
    </xf>
    <xf numFmtId="0" fontId="6" fillId="4" borderId="17" xfId="0" applyFont="1" applyFill="1" applyBorder="1" applyAlignment="1">
      <alignment horizontal="left" vertical="top" wrapText="1" shrinkToFit="1"/>
    </xf>
    <xf numFmtId="20" fontId="6" fillId="4" borderId="22" xfId="0" applyNumberFormat="1" applyFont="1" applyFill="1" applyBorder="1" applyAlignment="1">
      <alignment horizontal="left" vertical="top" wrapText="1" shrinkToFit="1"/>
    </xf>
    <xf numFmtId="20" fontId="6" fillId="4" borderId="17" xfId="0" applyNumberFormat="1" applyFont="1" applyFill="1" applyBorder="1" applyAlignment="1">
      <alignment horizontal="left" vertical="top" wrapText="1" shrinkToFit="1"/>
    </xf>
    <xf numFmtId="20" fontId="6" fillId="0" borderId="18" xfId="0" applyNumberFormat="1" applyFont="1" applyBorder="1" applyAlignment="1">
      <alignment horizontal="lef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left" vertical="center" wrapText="1"/>
    </xf>
    <xf numFmtId="20" fontId="0" fillId="4" borderId="18" xfId="0" applyNumberFormat="1" applyFill="1" applyBorder="1" applyAlignment="1">
      <alignment horizontal="left" vertical="center"/>
    </xf>
    <xf numFmtId="0" fontId="0" fillId="4" borderId="22" xfId="0" applyFill="1" applyBorder="1" applyAlignment="1">
      <alignment horizontal="left" vertical="center"/>
    </xf>
    <xf numFmtId="0" fontId="0" fillId="4" borderId="17" xfId="0" applyFill="1" applyBorder="1" applyAlignment="1">
      <alignment horizontal="left" vertical="center"/>
    </xf>
    <xf numFmtId="20" fontId="5" fillId="9" borderId="18" xfId="0" applyNumberFormat="1" applyFont="1" applyFill="1" applyBorder="1" applyAlignment="1">
      <alignment horizontal="left" vertical="top" wrapText="1" shrinkToFit="1"/>
    </xf>
    <xf numFmtId="20" fontId="5" fillId="9" borderId="22" xfId="0" applyNumberFormat="1" applyFont="1" applyFill="1" applyBorder="1" applyAlignment="1">
      <alignment horizontal="left" vertical="top" wrapText="1" shrinkToFit="1"/>
    </xf>
    <xf numFmtId="20" fontId="5" fillId="9" borderId="17" xfId="0" applyNumberFormat="1" applyFont="1" applyFill="1" applyBorder="1" applyAlignment="1">
      <alignment horizontal="left" vertical="top" wrapText="1" shrinkToFit="1"/>
    </xf>
    <xf numFmtId="187" fontId="0" fillId="0" borderId="22" xfId="0" applyNumberFormat="1" applyBorder="1" applyAlignment="1">
      <alignment horizontal="center" vertical="center"/>
    </xf>
    <xf numFmtId="187" fontId="0" fillId="0" borderId="17" xfId="0" applyNumberFormat="1" applyBorder="1" applyAlignment="1">
      <alignment horizontal="center" vertical="center"/>
    </xf>
    <xf numFmtId="0" fontId="5" fillId="6" borderId="18" xfId="0" applyFont="1" applyFill="1" applyBorder="1" applyAlignment="1">
      <alignment vertical="top" shrinkToFit="1"/>
    </xf>
    <xf numFmtId="0" fontId="5" fillId="6" borderId="22" xfId="0" applyFont="1" applyFill="1" applyBorder="1" applyAlignment="1">
      <alignment vertical="top" shrinkToFit="1"/>
    </xf>
    <xf numFmtId="0" fontId="5" fillId="6" borderId="17" xfId="0" applyFont="1" applyFill="1" applyBorder="1" applyAlignment="1">
      <alignment vertical="top" shrinkToFit="1"/>
    </xf>
    <xf numFmtId="0" fontId="0" fillId="0" borderId="18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4" borderId="18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183" fontId="6" fillId="4" borderId="23" xfId="0" applyNumberFormat="1" applyFont="1" applyFill="1" applyBorder="1" applyAlignment="1">
      <alignment horizontal="left" vertical="top" wrapText="1" shrinkToFit="1"/>
    </xf>
    <xf numFmtId="183" fontId="6" fillId="4" borderId="11" xfId="0" applyNumberFormat="1" applyFont="1" applyFill="1" applyBorder="1" applyAlignment="1">
      <alignment horizontal="left" vertical="top" wrapText="1" shrinkToFit="1"/>
    </xf>
    <xf numFmtId="183" fontId="6" fillId="4" borderId="24" xfId="0" applyNumberFormat="1" applyFont="1" applyFill="1" applyBorder="1" applyAlignment="1">
      <alignment horizontal="left" vertical="top" wrapText="1" shrinkToFit="1"/>
    </xf>
    <xf numFmtId="180" fontId="6" fillId="4" borderId="23" xfId="0" applyNumberFormat="1" applyFont="1" applyFill="1" applyBorder="1" applyAlignment="1">
      <alignment horizontal="center" vertical="top" wrapText="1" shrinkToFit="1"/>
    </xf>
    <xf numFmtId="180" fontId="6" fillId="4" borderId="11" xfId="0" applyNumberFormat="1" applyFont="1" applyFill="1" applyBorder="1" applyAlignment="1">
      <alignment horizontal="center" vertical="top" wrapText="1" shrinkToFit="1"/>
    </xf>
    <xf numFmtId="180" fontId="6" fillId="4" borderId="24" xfId="0" applyNumberFormat="1" applyFont="1" applyFill="1" applyBorder="1" applyAlignment="1">
      <alignment horizontal="center" vertical="top" wrapText="1" shrinkToFit="1"/>
    </xf>
    <xf numFmtId="180" fontId="6" fillId="4" borderId="43" xfId="0" applyNumberFormat="1" applyFont="1" applyFill="1" applyBorder="1" applyAlignment="1">
      <alignment horizontal="center" vertical="top" wrapText="1" shrinkToFit="1"/>
    </xf>
    <xf numFmtId="180" fontId="6" fillId="4" borderId="19" xfId="0" applyNumberFormat="1" applyFont="1" applyFill="1" applyBorder="1" applyAlignment="1">
      <alignment horizontal="center" vertical="top" wrapText="1" shrinkToFit="1"/>
    </xf>
    <xf numFmtId="180" fontId="6" fillId="4" borderId="25" xfId="0" applyNumberFormat="1" applyFont="1" applyFill="1" applyBorder="1" applyAlignment="1">
      <alignment horizontal="center" vertical="top" wrapText="1" shrinkToFit="1"/>
    </xf>
    <xf numFmtId="20" fontId="6" fillId="4" borderId="1" xfId="0" applyNumberFormat="1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wrapText="1"/>
    </xf>
    <xf numFmtId="20" fontId="6" fillId="0" borderId="18" xfId="0" applyNumberFormat="1" applyFont="1" applyBorder="1" applyAlignment="1">
      <alignment horizontal="left" vertical="top" wrapText="1"/>
    </xf>
    <xf numFmtId="0" fontId="0" fillId="0" borderId="22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9" borderId="2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20" fontId="6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center" vertical="center" wrapText="1"/>
    </xf>
    <xf numFmtId="20" fontId="5" fillId="9" borderId="43" xfId="0" applyNumberFormat="1" applyFont="1" applyFill="1" applyBorder="1" applyAlignment="1">
      <alignment horizontal="left" vertical="top" wrapText="1" shrinkToFit="1"/>
    </xf>
    <xf numFmtId="20" fontId="5" fillId="9" borderId="19" xfId="0" applyNumberFormat="1" applyFont="1" applyFill="1" applyBorder="1" applyAlignment="1">
      <alignment horizontal="left" vertical="top" wrapText="1" shrinkToFit="1"/>
    </xf>
    <xf numFmtId="20" fontId="5" fillId="9" borderId="25" xfId="0" applyNumberFormat="1" applyFont="1" applyFill="1" applyBorder="1" applyAlignment="1">
      <alignment horizontal="left" vertical="top" wrapText="1" shrinkToFit="1"/>
    </xf>
    <xf numFmtId="180" fontId="6" fillId="9" borderId="23" xfId="0" applyNumberFormat="1" applyFont="1" applyFill="1" applyBorder="1" applyAlignment="1">
      <alignment horizontal="left" vertical="top" wrapText="1" shrinkToFit="1"/>
    </xf>
    <xf numFmtId="180" fontId="6" fillId="9" borderId="11" xfId="0" applyNumberFormat="1" applyFont="1" applyFill="1" applyBorder="1" applyAlignment="1">
      <alignment horizontal="left" vertical="top" wrapText="1" shrinkToFit="1"/>
    </xf>
    <xf numFmtId="180" fontId="6" fillId="9" borderId="24" xfId="0" applyNumberFormat="1" applyFont="1" applyFill="1" applyBorder="1" applyAlignment="1">
      <alignment horizontal="left" vertical="top" wrapText="1" shrinkToFit="1"/>
    </xf>
    <xf numFmtId="20" fontId="5" fillId="9" borderId="18" xfId="0" applyNumberFormat="1" applyFont="1" applyFill="1" applyBorder="1" applyAlignment="1">
      <alignment horizontal="center" vertical="top" wrapText="1" shrinkToFit="1"/>
    </xf>
    <xf numFmtId="20" fontId="5" fillId="9" borderId="22" xfId="0" applyNumberFormat="1" applyFont="1" applyFill="1" applyBorder="1" applyAlignment="1">
      <alignment horizontal="center" vertical="top" wrapText="1" shrinkToFit="1"/>
    </xf>
    <xf numFmtId="20" fontId="5" fillId="9" borderId="17" xfId="0" applyNumberFormat="1" applyFont="1" applyFill="1" applyBorder="1" applyAlignment="1">
      <alignment horizontal="center" vertical="top" wrapText="1" shrinkToFit="1"/>
    </xf>
    <xf numFmtId="0" fontId="0" fillId="0" borderId="2" xfId="0" applyBorder="1" applyAlignment="1">
      <alignment horizontal="center" vertical="center"/>
    </xf>
    <xf numFmtId="183" fontId="6" fillId="9" borderId="18" xfId="0" applyNumberFormat="1" applyFont="1" applyFill="1" applyBorder="1" applyAlignment="1">
      <alignment horizontal="left" vertical="top" wrapText="1" shrinkToFit="1"/>
    </xf>
    <xf numFmtId="183" fontId="6" fillId="9" borderId="22" xfId="0" applyNumberFormat="1" applyFont="1" applyFill="1" applyBorder="1" applyAlignment="1">
      <alignment horizontal="left" vertical="top" wrapText="1" shrinkToFit="1"/>
    </xf>
    <xf numFmtId="183" fontId="6" fillId="9" borderId="17" xfId="0" applyNumberFormat="1" applyFont="1" applyFill="1" applyBorder="1" applyAlignment="1">
      <alignment horizontal="left" vertical="top" wrapText="1" shrinkToFit="1"/>
    </xf>
    <xf numFmtId="183" fontId="6" fillId="0" borderId="18" xfId="0" applyNumberFormat="1" applyFont="1" applyBorder="1" applyAlignment="1">
      <alignment horizontal="center" vertical="top" wrapText="1" shrinkToFit="1"/>
    </xf>
    <xf numFmtId="183" fontId="6" fillId="0" borderId="22" xfId="0" applyNumberFormat="1" applyFont="1" applyBorder="1" applyAlignment="1">
      <alignment horizontal="center" vertical="top" wrapText="1" shrinkToFit="1"/>
    </xf>
    <xf numFmtId="183" fontId="6" fillId="0" borderId="17" xfId="0" applyNumberFormat="1" applyFont="1" applyBorder="1" applyAlignment="1">
      <alignment horizontal="center" vertical="top" wrapText="1" shrinkToFit="1"/>
    </xf>
    <xf numFmtId="0" fontId="0" fillId="9" borderId="2" xfId="0" applyFill="1" applyBorder="1" applyAlignment="1">
      <alignment horizontal="center" vertical="center" wrapText="1"/>
    </xf>
    <xf numFmtId="0" fontId="0" fillId="9" borderId="18" xfId="0" applyFill="1" applyBorder="1" applyAlignment="1">
      <alignment horizontal="left" vertical="center"/>
    </xf>
    <xf numFmtId="0" fontId="0" fillId="9" borderId="22" xfId="0" applyFill="1" applyBorder="1" applyAlignment="1">
      <alignment horizontal="left" vertical="center"/>
    </xf>
    <xf numFmtId="0" fontId="0" fillId="9" borderId="17" xfId="0" applyFill="1" applyBorder="1" applyAlignment="1">
      <alignment horizontal="left" vertical="center"/>
    </xf>
    <xf numFmtId="183" fontId="6" fillId="0" borderId="23" xfId="0" applyNumberFormat="1" applyFont="1" applyBorder="1" applyAlignment="1">
      <alignment horizontal="left" vertical="top" wrapText="1" shrinkToFit="1"/>
    </xf>
    <xf numFmtId="183" fontId="6" fillId="0" borderId="11" xfId="0" applyNumberFormat="1" applyFont="1" applyBorder="1" applyAlignment="1">
      <alignment horizontal="left" vertical="top" wrapText="1" shrinkToFit="1"/>
    </xf>
    <xf numFmtId="183" fontId="6" fillId="0" borderId="24" xfId="0" applyNumberFormat="1" applyFont="1" applyBorder="1" applyAlignment="1">
      <alignment horizontal="left" vertical="top" wrapText="1" shrinkToFit="1"/>
    </xf>
    <xf numFmtId="187" fontId="0" fillId="0" borderId="18" xfId="29" applyNumberFormat="1" applyFont="1" applyBorder="1" applyAlignment="1">
      <alignment horizontal="center" vertical="center"/>
    </xf>
    <xf numFmtId="187" fontId="0" fillId="0" borderId="22" xfId="29" applyNumberFormat="1" applyFont="1" applyBorder="1" applyAlignment="1">
      <alignment horizontal="center" vertical="center"/>
    </xf>
    <xf numFmtId="187" fontId="0" fillId="0" borderId="17" xfId="29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0" fontId="5" fillId="9" borderId="20" xfId="0" applyNumberFormat="1" applyFont="1" applyFill="1" applyBorder="1" applyAlignment="1">
      <alignment horizontal="left" vertical="top" wrapText="1" shrinkToFit="1"/>
    </xf>
    <xf numFmtId="20" fontId="5" fillId="9" borderId="0" xfId="0" applyNumberFormat="1" applyFont="1" applyFill="1" applyAlignment="1">
      <alignment horizontal="left" vertical="top" wrapText="1" shrinkToFit="1"/>
    </xf>
    <xf numFmtId="20" fontId="5" fillId="9" borderId="38" xfId="0" applyNumberFormat="1" applyFont="1" applyFill="1" applyBorder="1" applyAlignment="1">
      <alignment horizontal="left" vertical="top" wrapText="1" shrinkToFit="1"/>
    </xf>
    <xf numFmtId="0" fontId="0" fillId="9" borderId="3" xfId="0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6" borderId="1" xfId="0" applyFill="1" applyBorder="1"/>
    <xf numFmtId="20" fontId="4" fillId="0" borderId="23" xfId="0" applyNumberFormat="1" applyFont="1" applyBorder="1" applyAlignment="1">
      <alignment horizontal="left" vertical="top" wrapText="1" shrinkToFit="1"/>
    </xf>
    <xf numFmtId="0" fontId="4" fillId="0" borderId="11" xfId="0" applyFont="1" applyBorder="1" applyAlignment="1">
      <alignment horizontal="left" vertical="top" wrapText="1" shrinkToFit="1"/>
    </xf>
    <xf numFmtId="0" fontId="4" fillId="0" borderId="24" xfId="0" applyFont="1" applyBorder="1" applyAlignment="1">
      <alignment horizontal="left" vertical="top" wrapText="1" shrinkToFit="1"/>
    </xf>
    <xf numFmtId="183" fontId="4" fillId="0" borderId="18" xfId="0" applyNumberFormat="1" applyFont="1" applyBorder="1" applyAlignment="1">
      <alignment horizontal="left" vertical="top" wrapText="1" shrinkToFit="1"/>
    </xf>
    <xf numFmtId="183" fontId="4" fillId="0" borderId="22" xfId="0" applyNumberFormat="1" applyFont="1" applyBorder="1" applyAlignment="1">
      <alignment horizontal="left" vertical="top" wrapText="1" shrinkToFit="1"/>
    </xf>
    <xf numFmtId="183" fontId="4" fillId="0" borderId="17" xfId="0" applyNumberFormat="1" applyFont="1" applyBorder="1" applyAlignment="1">
      <alignment horizontal="left" vertical="top" wrapText="1" shrinkToFit="1"/>
    </xf>
    <xf numFmtId="0" fontId="0" fillId="6" borderId="1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4" borderId="23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24" xfId="0" applyFill="1" applyBorder="1" applyAlignment="1">
      <alignment vertical="center"/>
    </xf>
    <xf numFmtId="0" fontId="0" fillId="0" borderId="43" xfId="0" applyBorder="1" applyAlignment="1">
      <alignment horizontal="left" vertical="top" wrapText="1" shrinkToFit="1"/>
    </xf>
    <xf numFmtId="0" fontId="0" fillId="0" borderId="19" xfId="0" applyBorder="1" applyAlignment="1">
      <alignment horizontal="left" vertical="top" wrapText="1" shrinkToFit="1"/>
    </xf>
    <xf numFmtId="0" fontId="0" fillId="0" borderId="25" xfId="0" applyBorder="1" applyAlignment="1">
      <alignment horizontal="left" vertical="top" wrapText="1" shrinkToFit="1"/>
    </xf>
    <xf numFmtId="0" fontId="0" fillId="6" borderId="18" xfId="0" applyFill="1" applyBorder="1" applyAlignment="1">
      <alignment horizontal="right" vertical="center"/>
    </xf>
    <xf numFmtId="0" fontId="0" fillId="6" borderId="22" xfId="0" applyFill="1" applyBorder="1" applyAlignment="1">
      <alignment horizontal="right" vertical="center"/>
    </xf>
    <xf numFmtId="0" fontId="0" fillId="6" borderId="17" xfId="0" applyFill="1" applyBorder="1" applyAlignment="1">
      <alignment horizontal="right" vertical="center"/>
    </xf>
    <xf numFmtId="20" fontId="5" fillId="4" borderId="23" xfId="0" applyNumberFormat="1" applyFont="1" applyFill="1" applyBorder="1" applyAlignment="1">
      <alignment horizontal="left" vertical="top" wrapText="1" shrinkToFit="1"/>
    </xf>
    <xf numFmtId="0" fontId="0" fillId="4" borderId="11" xfId="0" applyFill="1" applyBorder="1" applyAlignment="1">
      <alignment horizontal="left" vertical="top" wrapText="1" shrinkToFit="1"/>
    </xf>
    <xf numFmtId="0" fontId="0" fillId="4" borderId="24" xfId="0" applyFill="1" applyBorder="1" applyAlignment="1">
      <alignment horizontal="left" vertical="top" wrapText="1" shrinkToFit="1"/>
    </xf>
    <xf numFmtId="20" fontId="6" fillId="0" borderId="23" xfId="0" applyNumberFormat="1" applyFont="1" applyBorder="1" applyAlignment="1">
      <alignment horizontal="left" vertical="top" wrapText="1" shrinkToFit="1"/>
    </xf>
    <xf numFmtId="0" fontId="0" fillId="0" borderId="11" xfId="0" applyBorder="1" applyAlignment="1">
      <alignment horizontal="left" vertical="top" wrapText="1" shrinkToFit="1"/>
    </xf>
    <xf numFmtId="0" fontId="0" fillId="0" borderId="24" xfId="0" applyBorder="1" applyAlignment="1">
      <alignment horizontal="left" vertical="top" wrapText="1" shrinkToFit="1"/>
    </xf>
    <xf numFmtId="0" fontId="6" fillId="0" borderId="18" xfId="0" applyFont="1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6" borderId="1" xfId="0" applyFill="1" applyBorder="1" applyAlignment="1">
      <alignment horizontal="right" vertical="center"/>
    </xf>
    <xf numFmtId="0" fontId="0" fillId="24" borderId="1" xfId="0" applyFill="1" applyBorder="1" applyAlignment="1">
      <alignment vertical="center"/>
    </xf>
    <xf numFmtId="0" fontId="0" fillId="0" borderId="18" xfId="0" applyBorder="1" applyAlignment="1">
      <alignment horizontal="left" vertical="center" shrinkToFit="1"/>
    </xf>
    <xf numFmtId="0" fontId="0" fillId="0" borderId="22" xfId="0" applyBorder="1" applyAlignment="1">
      <alignment horizontal="left" vertical="center" shrinkToFit="1"/>
    </xf>
    <xf numFmtId="0" fontId="0" fillId="0" borderId="17" xfId="0" applyBorder="1" applyAlignment="1">
      <alignment horizontal="left" vertical="center" shrinkToFit="1"/>
    </xf>
    <xf numFmtId="183" fontId="6" fillId="0" borderId="1" xfId="0" applyNumberFormat="1" applyFont="1" applyBorder="1" applyAlignment="1">
      <alignment horizontal="left" vertical="top" wrapText="1" shrinkToFit="1"/>
    </xf>
    <xf numFmtId="183" fontId="6" fillId="4" borderId="1" xfId="0" applyNumberFormat="1" applyFont="1" applyFill="1" applyBorder="1" applyAlignment="1">
      <alignment horizontal="left" vertical="top" wrapText="1" shrinkToFit="1"/>
    </xf>
    <xf numFmtId="183" fontId="0" fillId="0" borderId="18" xfId="0" applyNumberFormat="1" applyBorder="1" applyAlignment="1">
      <alignment horizontal="left" vertical="top" wrapText="1" shrinkToFit="1"/>
    </xf>
    <xf numFmtId="183" fontId="0" fillId="0" borderId="22" xfId="0" applyNumberFormat="1" applyBorder="1" applyAlignment="1">
      <alignment horizontal="left" vertical="top" wrapText="1" shrinkToFit="1"/>
    </xf>
    <xf numFmtId="183" fontId="0" fillId="0" borderId="17" xfId="0" applyNumberFormat="1" applyBorder="1" applyAlignment="1">
      <alignment horizontal="left" vertical="top" wrapText="1" shrinkToFit="1"/>
    </xf>
    <xf numFmtId="0" fontId="0" fillId="0" borderId="1" xfId="0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shrinkToFit="1"/>
    </xf>
    <xf numFmtId="0" fontId="0" fillId="4" borderId="22" xfId="0" applyFill="1" applyBorder="1" applyAlignment="1">
      <alignment horizontal="center" vertical="center" shrinkToFit="1"/>
    </xf>
    <xf numFmtId="0" fontId="0" fillId="4" borderId="17" xfId="0" applyFill="1" applyBorder="1" applyAlignment="1">
      <alignment horizontal="center" vertical="center" shrinkToFit="1"/>
    </xf>
    <xf numFmtId="0" fontId="6" fillId="4" borderId="1" xfId="0" applyFont="1" applyFill="1" applyBorder="1" applyAlignment="1">
      <alignment vertical="center"/>
    </xf>
    <xf numFmtId="183" fontId="26" fillId="0" borderId="1" xfId="0" applyNumberFormat="1" applyFont="1" applyBorder="1" applyAlignment="1">
      <alignment horizontal="left" vertical="top" wrapText="1" shrinkToFit="1"/>
    </xf>
    <xf numFmtId="0" fontId="0" fillId="0" borderId="18" xfId="0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180" fontId="0" fillId="9" borderId="18" xfId="0" applyNumberFormat="1" applyFill="1" applyBorder="1" applyAlignment="1">
      <alignment horizontal="left" vertical="top" wrapText="1" shrinkToFit="1"/>
    </xf>
    <xf numFmtId="180" fontId="0" fillId="9" borderId="22" xfId="0" applyNumberFormat="1" applyFill="1" applyBorder="1" applyAlignment="1">
      <alignment horizontal="left" vertical="top" wrapText="1" shrinkToFit="1"/>
    </xf>
    <xf numFmtId="180" fontId="0" fillId="9" borderId="17" xfId="0" applyNumberFormat="1" applyFill="1" applyBorder="1" applyAlignment="1">
      <alignment horizontal="left" vertical="top" wrapText="1" shrinkToFit="1"/>
    </xf>
    <xf numFmtId="20" fontId="2" fillId="9" borderId="18" xfId="0" applyNumberFormat="1" applyFont="1" applyFill="1" applyBorder="1" applyAlignment="1">
      <alignment horizontal="left" vertical="top" wrapText="1" shrinkToFit="1"/>
    </xf>
    <xf numFmtId="20" fontId="2" fillId="9" borderId="22" xfId="0" applyNumberFormat="1" applyFont="1" applyFill="1" applyBorder="1" applyAlignment="1">
      <alignment horizontal="left" vertical="top" wrapText="1" shrinkToFit="1"/>
    </xf>
    <xf numFmtId="20" fontId="2" fillId="9" borderId="17" xfId="0" applyNumberFormat="1" applyFont="1" applyFill="1" applyBorder="1" applyAlignment="1">
      <alignment horizontal="left" vertical="top" wrapText="1" shrinkToFit="1"/>
    </xf>
    <xf numFmtId="0" fontId="0" fillId="0" borderId="1" xfId="0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5" fillId="6" borderId="1" xfId="0" applyFont="1" applyFill="1" applyBorder="1" applyAlignment="1">
      <alignment vertical="top" shrinkToFit="1"/>
    </xf>
    <xf numFmtId="0" fontId="0" fillId="0" borderId="1" xfId="0" applyBorder="1" applyAlignment="1">
      <alignment horizontal="left" vertical="top" wrapText="1" shrinkToFit="1"/>
    </xf>
    <xf numFmtId="0" fontId="0" fillId="0" borderId="2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1" xfId="0" applyBorder="1"/>
    <xf numFmtId="0" fontId="0" fillId="0" borderId="18" xfId="0" applyBorder="1" applyAlignment="1">
      <alignment vertical="center" shrinkToFit="1"/>
    </xf>
    <xf numFmtId="0" fontId="0" fillId="0" borderId="22" xfId="0" applyBorder="1" applyAlignment="1">
      <alignment vertical="center" shrinkToFit="1"/>
    </xf>
    <xf numFmtId="180" fontId="6" fillId="0" borderId="43" xfId="0" applyNumberFormat="1" applyFont="1" applyBorder="1" applyAlignment="1">
      <alignment horizontal="left" vertical="top" wrapText="1" shrinkToFit="1"/>
    </xf>
    <xf numFmtId="180" fontId="6" fillId="0" borderId="19" xfId="0" applyNumberFormat="1" applyFont="1" applyBorder="1" applyAlignment="1">
      <alignment horizontal="left" vertical="top" wrapText="1" shrinkToFit="1"/>
    </xf>
    <xf numFmtId="180" fontId="6" fillId="0" borderId="25" xfId="0" applyNumberFormat="1" applyFont="1" applyBorder="1" applyAlignment="1">
      <alignment horizontal="left" vertical="top" wrapText="1" shrinkToFit="1"/>
    </xf>
    <xf numFmtId="0" fontId="6" fillId="0" borderId="23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0" fillId="0" borderId="1" xfId="0" applyBorder="1" applyAlignment="1">
      <alignment vertical="center" shrinkToFit="1"/>
    </xf>
    <xf numFmtId="20" fontId="5" fillId="9" borderId="23" xfId="0" applyNumberFormat="1" applyFont="1" applyFill="1" applyBorder="1" applyAlignment="1">
      <alignment horizontal="center" vertical="top" wrapText="1" shrinkToFit="1"/>
    </xf>
    <xf numFmtId="20" fontId="5" fillId="9" borderId="11" xfId="0" applyNumberFormat="1" applyFont="1" applyFill="1" applyBorder="1" applyAlignment="1">
      <alignment horizontal="center" vertical="top" wrapText="1" shrinkToFit="1"/>
    </xf>
    <xf numFmtId="20" fontId="5" fillId="9" borderId="24" xfId="0" applyNumberFormat="1" applyFont="1" applyFill="1" applyBorder="1" applyAlignment="1">
      <alignment horizontal="center" vertical="top" wrapText="1" shrinkToFit="1"/>
    </xf>
    <xf numFmtId="20" fontId="5" fillId="9" borderId="43" xfId="0" applyNumberFormat="1" applyFont="1" applyFill="1" applyBorder="1" applyAlignment="1">
      <alignment horizontal="center" vertical="top" wrapText="1" shrinkToFit="1"/>
    </xf>
    <xf numFmtId="20" fontId="5" fillId="9" borderId="19" xfId="0" applyNumberFormat="1" applyFont="1" applyFill="1" applyBorder="1" applyAlignment="1">
      <alignment horizontal="center" vertical="top" wrapText="1" shrinkToFit="1"/>
    </xf>
    <xf numFmtId="20" fontId="5" fillId="9" borderId="25" xfId="0" applyNumberFormat="1" applyFont="1" applyFill="1" applyBorder="1" applyAlignment="1">
      <alignment horizontal="center" vertical="top" wrapText="1" shrinkToFit="1"/>
    </xf>
    <xf numFmtId="0" fontId="6" fillId="9" borderId="2" xfId="0" applyFont="1" applyFill="1" applyBorder="1" applyAlignment="1">
      <alignment horizontal="center" vertical="center"/>
    </xf>
    <xf numFmtId="0" fontId="6" fillId="9" borderId="8" xfId="0" applyFont="1" applyFill="1" applyBorder="1" applyAlignment="1">
      <alignment horizontal="center" vertical="center"/>
    </xf>
    <xf numFmtId="183" fontId="0" fillId="4" borderId="23" xfId="0" applyNumberFormat="1" applyFill="1" applyBorder="1" applyAlignment="1">
      <alignment horizontal="left" vertical="top" wrapText="1" shrinkToFit="1"/>
    </xf>
    <xf numFmtId="183" fontId="0" fillId="4" borderId="11" xfId="0" applyNumberFormat="1" applyFill="1" applyBorder="1" applyAlignment="1">
      <alignment horizontal="left" vertical="top" wrapText="1" shrinkToFit="1"/>
    </xf>
    <xf numFmtId="183" fontId="0" fillId="4" borderId="24" xfId="0" applyNumberFormat="1" applyFill="1" applyBorder="1" applyAlignment="1">
      <alignment horizontal="left" vertical="top" wrapText="1" shrinkToFit="1"/>
    </xf>
    <xf numFmtId="183" fontId="0" fillId="4" borderId="43" xfId="0" applyNumberFormat="1" applyFill="1" applyBorder="1" applyAlignment="1">
      <alignment horizontal="left" vertical="top" wrapText="1" shrinkToFit="1"/>
    </xf>
    <xf numFmtId="183" fontId="0" fillId="4" borderId="19" xfId="0" applyNumberFormat="1" applyFill="1" applyBorder="1" applyAlignment="1">
      <alignment horizontal="left" vertical="top" wrapText="1" shrinkToFit="1"/>
    </xf>
    <xf numFmtId="183" fontId="0" fillId="4" borderId="25" xfId="0" applyNumberFormat="1" applyFill="1" applyBorder="1" applyAlignment="1">
      <alignment horizontal="left" vertical="top" wrapText="1" shrinkToFit="1"/>
    </xf>
    <xf numFmtId="183" fontId="0" fillId="0" borderId="23" xfId="0" applyNumberFormat="1" applyBorder="1" applyAlignment="1">
      <alignment horizontal="left" vertical="top" wrapText="1" shrinkToFit="1"/>
    </xf>
    <xf numFmtId="183" fontId="0" fillId="0" borderId="11" xfId="0" applyNumberFormat="1" applyBorder="1" applyAlignment="1">
      <alignment horizontal="left" vertical="top" wrapText="1" shrinkToFit="1"/>
    </xf>
    <xf numFmtId="183" fontId="0" fillId="0" borderId="24" xfId="0" applyNumberFormat="1" applyBorder="1" applyAlignment="1">
      <alignment horizontal="left" vertical="top" wrapText="1" shrinkToFit="1"/>
    </xf>
    <xf numFmtId="20" fontId="0" fillId="0" borderId="18" xfId="0" applyNumberFormat="1" applyBorder="1" applyAlignment="1">
      <alignment vertical="top" wrapText="1" shrinkToFit="1"/>
    </xf>
    <xf numFmtId="20" fontId="0" fillId="0" borderId="22" xfId="0" applyNumberFormat="1" applyBorder="1" applyAlignment="1">
      <alignment vertical="top" wrapText="1" shrinkToFit="1"/>
    </xf>
    <xf numFmtId="20" fontId="0" fillId="0" borderId="17" xfId="0" applyNumberFormat="1" applyBorder="1" applyAlignment="1">
      <alignment vertical="top" wrapText="1" shrinkToFit="1"/>
    </xf>
    <xf numFmtId="186" fontId="31" fillId="19" borderId="18" xfId="10" applyNumberFormat="1" applyFont="1" applyFill="1" applyBorder="1" applyAlignment="1">
      <alignment vertical="center"/>
    </xf>
    <xf numFmtId="186" fontId="31" fillId="19" borderId="22" xfId="10" applyNumberFormat="1" applyFont="1" applyFill="1" applyBorder="1" applyAlignment="1">
      <alignment vertical="center"/>
    </xf>
    <xf numFmtId="186" fontId="31" fillId="19" borderId="17" xfId="10" applyNumberFormat="1" applyFont="1" applyFill="1" applyBorder="1" applyAlignment="1">
      <alignment vertical="center"/>
    </xf>
    <xf numFmtId="10" fontId="0" fillId="0" borderId="18" xfId="0" applyNumberFormat="1" applyBorder="1" applyAlignment="1">
      <alignment horizontal="center" vertical="center"/>
    </xf>
    <xf numFmtId="10" fontId="0" fillId="0" borderId="22" xfId="0" applyNumberFormat="1" applyBorder="1" applyAlignment="1">
      <alignment horizontal="center" vertical="center"/>
    </xf>
    <xf numFmtId="10" fontId="0" fillId="0" borderId="17" xfId="0" applyNumberForma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4" fillId="16" borderId="18" xfId="0" applyFont="1" applyFill="1" applyBorder="1" applyAlignment="1">
      <alignment horizontal="center" vertical="center" wrapText="1" shrinkToFit="1"/>
    </xf>
    <xf numFmtId="0" fontId="4" fillId="16" borderId="22" xfId="0" applyFont="1" applyFill="1" applyBorder="1" applyAlignment="1">
      <alignment horizontal="center" vertical="center" wrapText="1" shrinkToFit="1"/>
    </xf>
    <xf numFmtId="0" fontId="4" fillId="16" borderId="17" xfId="0" applyFont="1" applyFill="1" applyBorder="1" applyAlignment="1">
      <alignment horizontal="center" vertical="center" wrapText="1" shrinkToFit="1"/>
    </xf>
    <xf numFmtId="0" fontId="0" fillId="6" borderId="1" xfId="0" applyFill="1" applyBorder="1" applyAlignment="1">
      <alignment horizontal="center" vertical="center" shrinkToFit="1"/>
    </xf>
    <xf numFmtId="0" fontId="13" fillId="16" borderId="1" xfId="0" applyFont="1" applyFill="1" applyBorder="1" applyAlignment="1">
      <alignment horizontal="center" vertical="center" shrinkToFit="1"/>
    </xf>
    <xf numFmtId="0" fontId="17" fillId="0" borderId="0" xfId="0" applyFont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186" fontId="31" fillId="16" borderId="18" xfId="10" applyNumberFormat="1" applyFont="1" applyFill="1" applyBorder="1" applyAlignment="1">
      <alignment vertical="center"/>
    </xf>
    <xf numFmtId="186" fontId="31" fillId="16" borderId="22" xfId="10" applyNumberFormat="1" applyFont="1" applyFill="1" applyBorder="1" applyAlignment="1">
      <alignment vertical="center"/>
    </xf>
    <xf numFmtId="186" fontId="31" fillId="16" borderId="17" xfId="10" applyNumberFormat="1" applyFont="1" applyFill="1" applyBorder="1" applyAlignment="1">
      <alignment vertical="center"/>
    </xf>
    <xf numFmtId="10" fontId="0" fillId="19" borderId="18" xfId="0" applyNumberFormat="1" applyFill="1" applyBorder="1" applyAlignment="1">
      <alignment horizontal="center" vertical="center"/>
    </xf>
    <xf numFmtId="10" fontId="0" fillId="19" borderId="22" xfId="0" applyNumberFormat="1" applyFill="1" applyBorder="1" applyAlignment="1">
      <alignment horizontal="center" vertical="center"/>
    </xf>
    <xf numFmtId="10" fontId="0" fillId="19" borderId="17" xfId="0" applyNumberFormat="1" applyFill="1" applyBorder="1" applyAlignment="1">
      <alignment horizontal="center" vertical="center"/>
    </xf>
    <xf numFmtId="20" fontId="0" fillId="19" borderId="18" xfId="0" applyNumberFormat="1" applyFill="1" applyBorder="1" applyAlignment="1">
      <alignment horizontal="left" vertical="top" wrapText="1" shrinkToFit="1"/>
    </xf>
    <xf numFmtId="20" fontId="0" fillId="19" borderId="22" xfId="0" applyNumberFormat="1" applyFill="1" applyBorder="1" applyAlignment="1">
      <alignment horizontal="left" vertical="top" wrapText="1" shrinkToFit="1"/>
    </xf>
    <xf numFmtId="20" fontId="0" fillId="19" borderId="17" xfId="0" applyNumberFormat="1" applyFill="1" applyBorder="1" applyAlignment="1">
      <alignment horizontal="left" vertical="top" wrapText="1" shrinkToFit="1"/>
    </xf>
    <xf numFmtId="0" fontId="6" fillId="0" borderId="3" xfId="0" applyFont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shrinkToFit="1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186" fontId="62" fillId="19" borderId="18" xfId="10" applyNumberFormat="1" applyFont="1" applyFill="1" applyBorder="1" applyAlignment="1">
      <alignment vertical="center"/>
    </xf>
    <xf numFmtId="186" fontId="62" fillId="19" borderId="22" xfId="10" applyNumberFormat="1" applyFont="1" applyFill="1" applyBorder="1" applyAlignment="1">
      <alignment vertical="center"/>
    </xf>
    <xf numFmtId="186" fontId="62" fillId="19" borderId="17" xfId="10" applyNumberFormat="1" applyFont="1" applyFill="1" applyBorder="1" applyAlignment="1">
      <alignment vertical="center"/>
    </xf>
    <xf numFmtId="187" fontId="0" fillId="0" borderId="23" xfId="0" applyNumberFormat="1" applyBorder="1" applyAlignment="1">
      <alignment horizontal="center" vertical="center"/>
    </xf>
    <xf numFmtId="187" fontId="0" fillId="0" borderId="11" xfId="0" applyNumberFormat="1" applyBorder="1" applyAlignment="1">
      <alignment horizontal="center" vertical="center"/>
    </xf>
    <xf numFmtId="187" fontId="0" fillId="0" borderId="24" xfId="0" applyNumberFormat="1" applyBorder="1" applyAlignment="1">
      <alignment horizontal="center" vertical="center"/>
    </xf>
    <xf numFmtId="20" fontId="0" fillId="0" borderId="23" xfId="0" applyNumberFormat="1" applyBorder="1" applyAlignment="1">
      <alignment horizontal="left" vertical="top" wrapText="1" shrinkToFit="1"/>
    </xf>
    <xf numFmtId="20" fontId="0" fillId="0" borderId="11" xfId="0" applyNumberFormat="1" applyBorder="1" applyAlignment="1">
      <alignment horizontal="left" vertical="top" wrapText="1" shrinkToFit="1"/>
    </xf>
    <xf numFmtId="20" fontId="0" fillId="0" borderId="24" xfId="0" applyNumberFormat="1" applyBorder="1" applyAlignment="1">
      <alignment horizontal="left" vertical="top" wrapText="1" shrinkToFit="1"/>
    </xf>
    <xf numFmtId="186" fontId="62" fillId="16" borderId="18" xfId="10" applyNumberFormat="1" applyFont="1" applyFill="1" applyBorder="1" applyAlignment="1">
      <alignment vertical="center"/>
    </xf>
    <xf numFmtId="186" fontId="62" fillId="16" borderId="22" xfId="10" applyNumberFormat="1" applyFont="1" applyFill="1" applyBorder="1" applyAlignment="1">
      <alignment vertical="center"/>
    </xf>
    <xf numFmtId="186" fontId="62" fillId="16" borderId="17" xfId="10" applyNumberFormat="1" applyFont="1" applyFill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186" fontId="31" fillId="19" borderId="1" xfId="10" applyNumberFormat="1" applyFont="1" applyFill="1" applyBorder="1" applyAlignment="1">
      <alignment vertical="center"/>
    </xf>
    <xf numFmtId="20" fontId="0" fillId="0" borderId="1" xfId="0" applyNumberFormat="1" applyBorder="1" applyAlignment="1">
      <alignment vertical="top" wrapText="1" shrinkToFit="1"/>
    </xf>
    <xf numFmtId="20" fontId="31" fillId="0" borderId="1" xfId="0" applyNumberFormat="1" applyFont="1" applyBorder="1" applyAlignment="1">
      <alignment vertical="top" wrapText="1" shrinkToFit="1"/>
    </xf>
    <xf numFmtId="186" fontId="31" fillId="16" borderId="1" xfId="10" applyNumberFormat="1" applyFont="1" applyFill="1" applyBorder="1" applyAlignment="1">
      <alignment vertical="center"/>
    </xf>
    <xf numFmtId="0" fontId="6" fillId="0" borderId="3" xfId="0" applyFont="1" applyBorder="1" applyAlignment="1">
      <alignment horizontal="center" vertical="center" shrinkToFit="1"/>
    </xf>
    <xf numFmtId="0" fontId="0" fillId="16" borderId="1" xfId="0" applyFill="1" applyBorder="1" applyAlignment="1">
      <alignment horizontal="left" vertical="center" shrinkToFit="1"/>
    </xf>
    <xf numFmtId="20" fontId="0" fillId="0" borderId="1" xfId="0" applyNumberFormat="1" applyBorder="1" applyAlignment="1">
      <alignment horizontal="left" vertical="top" wrapText="1" shrinkToFit="1"/>
    </xf>
    <xf numFmtId="0" fontId="6" fillId="19" borderId="2" xfId="0" applyFont="1" applyFill="1" applyBorder="1" applyAlignment="1">
      <alignment horizontal="center" vertical="center" shrinkToFit="1"/>
    </xf>
    <xf numFmtId="0" fontId="6" fillId="19" borderId="8" xfId="0" applyFont="1" applyFill="1" applyBorder="1" applyAlignment="1">
      <alignment horizontal="center" vertical="center" shrinkToFit="1"/>
    </xf>
    <xf numFmtId="20" fontId="0" fillId="0" borderId="18" xfId="0" applyNumberFormat="1" applyBorder="1" applyAlignment="1">
      <alignment horizontal="left" vertical="top" wrapText="1" shrinkToFit="1"/>
    </xf>
    <xf numFmtId="20" fontId="0" fillId="0" borderId="22" xfId="0" applyNumberFormat="1" applyBorder="1" applyAlignment="1">
      <alignment horizontal="left" vertical="top" wrapText="1" shrinkToFit="1"/>
    </xf>
    <xf numFmtId="20" fontId="0" fillId="0" borderId="17" xfId="0" applyNumberFormat="1" applyBorder="1" applyAlignment="1">
      <alignment horizontal="left" vertical="top" wrapText="1" shrinkToFit="1"/>
    </xf>
    <xf numFmtId="20" fontId="0" fillId="0" borderId="43" xfId="0" applyNumberFormat="1" applyBorder="1" applyAlignment="1">
      <alignment horizontal="left" vertical="top" wrapText="1" shrinkToFit="1"/>
    </xf>
    <xf numFmtId="20" fontId="0" fillId="0" borderId="19" xfId="0" applyNumberFormat="1" applyBorder="1" applyAlignment="1">
      <alignment horizontal="left" vertical="top" wrapText="1" shrinkToFit="1"/>
    </xf>
    <xf numFmtId="20" fontId="0" fillId="0" borderId="25" xfId="0" applyNumberFormat="1" applyBorder="1" applyAlignment="1">
      <alignment horizontal="left" vertical="top" wrapText="1" shrinkToFit="1"/>
    </xf>
    <xf numFmtId="0" fontId="6" fillId="0" borderId="2" xfId="0" applyFont="1" applyBorder="1" applyAlignment="1">
      <alignment horizontal="center" vertical="center" wrapText="1" shrinkToFit="1"/>
    </xf>
    <xf numFmtId="0" fontId="6" fillId="0" borderId="3" xfId="0" applyFont="1" applyBorder="1" applyAlignment="1">
      <alignment horizontal="center" vertical="center" wrapText="1" shrinkToFit="1"/>
    </xf>
    <xf numFmtId="20" fontId="0" fillId="0" borderId="18" xfId="0" applyNumberFormat="1" applyBorder="1" applyAlignment="1">
      <alignment horizontal="center" vertical="top" wrapText="1" shrinkToFit="1"/>
    </xf>
    <xf numFmtId="20" fontId="0" fillId="0" borderId="22" xfId="0" applyNumberFormat="1" applyBorder="1" applyAlignment="1">
      <alignment horizontal="center" vertical="top" wrapText="1" shrinkToFit="1"/>
    </xf>
    <xf numFmtId="20" fontId="0" fillId="0" borderId="17" xfId="0" applyNumberFormat="1" applyBorder="1" applyAlignment="1">
      <alignment horizontal="center" vertical="top" wrapText="1" shrinkToFit="1"/>
    </xf>
    <xf numFmtId="20" fontId="0" fillId="6" borderId="2" xfId="0" applyNumberFormat="1" applyFill="1" applyBorder="1" applyAlignment="1">
      <alignment horizontal="left" vertical="top" wrapText="1" shrinkToFit="1"/>
    </xf>
    <xf numFmtId="20" fontId="0" fillId="6" borderId="3" xfId="0" applyNumberFormat="1" applyFill="1" applyBorder="1" applyAlignment="1">
      <alignment horizontal="left" vertical="top" wrapText="1" shrinkToFit="1"/>
    </xf>
    <xf numFmtId="20" fontId="0" fillId="6" borderId="8" xfId="0" applyNumberFormat="1" applyFill="1" applyBorder="1" applyAlignment="1">
      <alignment horizontal="left" vertical="top" wrapText="1" shrinkToFit="1"/>
    </xf>
    <xf numFmtId="0" fontId="0" fillId="2" borderId="23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shrinkToFit="1"/>
    </xf>
    <xf numFmtId="0" fontId="0" fillId="19" borderId="18" xfId="0" applyFill="1" applyBorder="1" applyAlignment="1">
      <alignment horizontal="left" vertical="center" shrinkToFit="1"/>
    </xf>
    <xf numFmtId="0" fontId="0" fillId="19" borderId="22" xfId="0" applyFill="1" applyBorder="1" applyAlignment="1">
      <alignment horizontal="left" vertical="center" shrinkToFit="1"/>
    </xf>
    <xf numFmtId="0" fontId="0" fillId="19" borderId="17" xfId="0" applyFill="1" applyBorder="1" applyAlignment="1">
      <alignment horizontal="left" vertical="center" shrinkToFit="1"/>
    </xf>
    <xf numFmtId="187" fontId="0" fillId="17" borderId="2" xfId="0" applyNumberFormat="1" applyFill="1" applyBorder="1" applyAlignment="1">
      <alignment horizontal="right" vertical="center"/>
    </xf>
    <xf numFmtId="187" fontId="0" fillId="17" borderId="3" xfId="0" applyNumberFormat="1" applyFill="1" applyBorder="1" applyAlignment="1">
      <alignment horizontal="right" vertical="center"/>
    </xf>
    <xf numFmtId="187" fontId="0" fillId="17" borderId="8" xfId="0" applyNumberFormat="1" applyFill="1" applyBorder="1" applyAlignment="1">
      <alignment horizontal="right" vertical="center"/>
    </xf>
    <xf numFmtId="20" fontId="0" fillId="17" borderId="23" xfId="0" applyNumberFormat="1" applyFill="1" applyBorder="1" applyAlignment="1">
      <alignment horizontal="left" vertical="top" wrapText="1"/>
    </xf>
    <xf numFmtId="20" fontId="0" fillId="17" borderId="11" xfId="0" applyNumberFormat="1" applyFill="1" applyBorder="1" applyAlignment="1">
      <alignment horizontal="left" vertical="top" wrapText="1"/>
    </xf>
    <xf numFmtId="20" fontId="0" fillId="17" borderId="24" xfId="0" applyNumberFormat="1" applyFill="1" applyBorder="1" applyAlignment="1">
      <alignment horizontal="left" vertical="top" wrapText="1"/>
    </xf>
    <xf numFmtId="20" fontId="0" fillId="17" borderId="20" xfId="0" applyNumberFormat="1" applyFill="1" applyBorder="1" applyAlignment="1">
      <alignment horizontal="left" vertical="top" wrapText="1"/>
    </xf>
    <xf numFmtId="20" fontId="0" fillId="17" borderId="0" xfId="0" applyNumberFormat="1" applyFill="1" applyAlignment="1">
      <alignment horizontal="left" vertical="top" wrapText="1"/>
    </xf>
    <xf numFmtId="20" fontId="0" fillId="17" borderId="38" xfId="0" applyNumberFormat="1" applyFill="1" applyBorder="1" applyAlignment="1">
      <alignment horizontal="left" vertical="top" wrapText="1"/>
    </xf>
    <xf numFmtId="20" fontId="0" fillId="17" borderId="43" xfId="0" applyNumberFormat="1" applyFill="1" applyBorder="1" applyAlignment="1">
      <alignment horizontal="left" vertical="top" wrapText="1"/>
    </xf>
    <xf numFmtId="20" fontId="0" fillId="17" borderId="19" xfId="0" applyNumberFormat="1" applyFill="1" applyBorder="1" applyAlignment="1">
      <alignment horizontal="left" vertical="top" wrapText="1"/>
    </xf>
    <xf numFmtId="20" fontId="0" fillId="17" borderId="25" xfId="0" applyNumberFormat="1" applyFill="1" applyBorder="1" applyAlignment="1">
      <alignment horizontal="left" vertical="top" wrapText="1"/>
    </xf>
    <xf numFmtId="20" fontId="0" fillId="9" borderId="2" xfId="0" applyNumberFormat="1" applyFill="1" applyBorder="1" applyAlignment="1">
      <alignment horizontal="left" vertical="top" shrinkToFit="1"/>
    </xf>
    <xf numFmtId="20" fontId="0" fillId="9" borderId="3" xfId="0" applyNumberFormat="1" applyFill="1" applyBorder="1" applyAlignment="1">
      <alignment horizontal="left" vertical="top" shrinkToFit="1"/>
    </xf>
    <xf numFmtId="20" fontId="0" fillId="9" borderId="8" xfId="0" applyNumberFormat="1" applyFill="1" applyBorder="1" applyAlignment="1">
      <alignment horizontal="left" vertical="top" shrinkToFit="1"/>
    </xf>
    <xf numFmtId="0" fontId="31" fillId="0" borderId="1" xfId="0" applyFont="1" applyBorder="1" applyAlignment="1">
      <alignment horizontal="center" vertical="center" wrapText="1"/>
    </xf>
    <xf numFmtId="186" fontId="31" fillId="0" borderId="1" xfId="10" applyNumberFormat="1" applyFont="1" applyFill="1" applyBorder="1" applyAlignment="1">
      <alignment vertical="center"/>
    </xf>
    <xf numFmtId="10" fontId="0" fillId="0" borderId="23" xfId="0" applyNumberFormat="1" applyBorder="1" applyAlignment="1">
      <alignment horizontal="right" vertical="center"/>
    </xf>
    <xf numFmtId="10" fontId="0" fillId="0" borderId="11" xfId="0" applyNumberFormat="1" applyBorder="1" applyAlignment="1">
      <alignment horizontal="right" vertical="center"/>
    </xf>
    <xf numFmtId="10" fontId="0" fillId="0" borderId="24" xfId="0" applyNumberFormat="1" applyBorder="1" applyAlignment="1">
      <alignment horizontal="right" vertical="center"/>
    </xf>
    <xf numFmtId="10" fontId="0" fillId="0" borderId="20" xfId="0" applyNumberFormat="1" applyBorder="1" applyAlignment="1">
      <alignment horizontal="right" vertical="center"/>
    </xf>
    <xf numFmtId="10" fontId="0" fillId="0" borderId="0" xfId="0" applyNumberFormat="1" applyAlignment="1">
      <alignment horizontal="right" vertical="center"/>
    </xf>
    <xf numFmtId="10" fontId="0" fillId="0" borderId="38" xfId="0" applyNumberFormat="1" applyBorder="1" applyAlignment="1">
      <alignment horizontal="right" vertical="center"/>
    </xf>
    <xf numFmtId="10" fontId="0" fillId="0" borderId="43" xfId="0" applyNumberFormat="1" applyBorder="1" applyAlignment="1">
      <alignment horizontal="right" vertical="center"/>
    </xf>
    <xf numFmtId="10" fontId="0" fillId="0" borderId="19" xfId="0" applyNumberFormat="1" applyBorder="1" applyAlignment="1">
      <alignment horizontal="right" vertical="center"/>
    </xf>
    <xf numFmtId="10" fontId="0" fillId="0" borderId="25" xfId="0" applyNumberFormat="1" applyBorder="1" applyAlignment="1">
      <alignment horizontal="right" vertical="center"/>
    </xf>
    <xf numFmtId="20" fontId="0" fillId="0" borderId="20" xfId="0" applyNumberFormat="1" applyBorder="1" applyAlignment="1">
      <alignment horizontal="left" vertical="top" wrapText="1" shrinkToFit="1"/>
    </xf>
    <xf numFmtId="20" fontId="0" fillId="0" borderId="0" xfId="0" applyNumberFormat="1" applyAlignment="1">
      <alignment horizontal="left" vertical="top" wrapText="1" shrinkToFit="1"/>
    </xf>
    <xf numFmtId="20" fontId="0" fillId="0" borderId="38" xfId="0" applyNumberFormat="1" applyBorder="1" applyAlignment="1">
      <alignment horizontal="left" vertical="top" wrapText="1" shrinkToFit="1"/>
    </xf>
    <xf numFmtId="20" fontId="0" fillId="0" borderId="2" xfId="0" applyNumberFormat="1" applyBorder="1" applyAlignment="1">
      <alignment horizontal="left" vertical="top" wrapText="1" shrinkToFit="1"/>
    </xf>
    <xf numFmtId="20" fontId="0" fillId="0" borderId="3" xfId="0" applyNumberFormat="1" applyBorder="1" applyAlignment="1">
      <alignment horizontal="left" vertical="top" wrapText="1" shrinkToFit="1"/>
    </xf>
    <xf numFmtId="20" fontId="0" fillId="0" borderId="8" xfId="0" applyNumberFormat="1" applyBorder="1" applyAlignment="1">
      <alignment horizontal="left" vertical="top" wrapText="1" shrinkToFit="1"/>
    </xf>
    <xf numFmtId="0" fontId="0" fillId="16" borderId="18" xfId="0" applyFill="1" applyBorder="1" applyAlignment="1">
      <alignment horizontal="left" vertical="center" shrinkToFit="1"/>
    </xf>
    <xf numFmtId="0" fontId="0" fillId="16" borderId="22" xfId="0" applyFill="1" applyBorder="1" applyAlignment="1">
      <alignment horizontal="left" vertical="center" shrinkToFit="1"/>
    </xf>
    <xf numFmtId="0" fontId="0" fillId="16" borderId="17" xfId="0" applyFill="1" applyBorder="1" applyAlignment="1">
      <alignment horizontal="left" vertical="center" shrinkToFit="1"/>
    </xf>
    <xf numFmtId="20" fontId="0" fillId="6" borderId="2" xfId="0" applyNumberFormat="1" applyFill="1" applyBorder="1" applyAlignment="1">
      <alignment horizontal="left" vertical="top" shrinkToFit="1"/>
    </xf>
    <xf numFmtId="20" fontId="0" fillId="6" borderId="3" xfId="0" applyNumberFormat="1" applyFill="1" applyBorder="1" applyAlignment="1">
      <alignment horizontal="left" vertical="top" shrinkToFit="1"/>
    </xf>
    <xf numFmtId="20" fontId="0" fillId="6" borderId="8" xfId="0" applyNumberFormat="1" applyFill="1" applyBorder="1" applyAlignment="1">
      <alignment horizontal="left" vertical="top" shrinkToFit="1"/>
    </xf>
    <xf numFmtId="20" fontId="0" fillId="0" borderId="2" xfId="0" applyNumberFormat="1" applyBorder="1" applyAlignment="1">
      <alignment horizontal="left" vertical="top" shrinkToFit="1"/>
    </xf>
    <xf numFmtId="20" fontId="0" fillId="0" borderId="3" xfId="0" applyNumberFormat="1" applyBorder="1" applyAlignment="1">
      <alignment horizontal="left" vertical="top" shrinkToFit="1"/>
    </xf>
    <xf numFmtId="20" fontId="0" fillId="0" borderId="8" xfId="0" applyNumberFormat="1" applyBorder="1" applyAlignment="1">
      <alignment horizontal="left" vertical="top" shrinkToFit="1"/>
    </xf>
    <xf numFmtId="0" fontId="0" fillId="0" borderId="18" xfId="0" applyBorder="1" applyAlignment="1">
      <alignment horizontal="center" vertical="center" wrapText="1"/>
    </xf>
    <xf numFmtId="0" fontId="0" fillId="19" borderId="1" xfId="0" applyFill="1" applyBorder="1" applyAlignment="1">
      <alignment horizontal="left" vertical="center" shrinkToFit="1"/>
    </xf>
    <xf numFmtId="0" fontId="0" fillId="19" borderId="2" xfId="0" applyFill="1" applyBorder="1" applyAlignment="1">
      <alignment horizontal="center" vertical="center" wrapText="1"/>
    </xf>
    <xf numFmtId="0" fontId="0" fillId="19" borderId="3" xfId="0" applyFill="1" applyBorder="1" applyAlignment="1">
      <alignment horizontal="center" vertical="center" wrapText="1"/>
    </xf>
    <xf numFmtId="20" fontId="31" fillId="19" borderId="18" xfId="0" applyNumberFormat="1" applyFont="1" applyFill="1" applyBorder="1" applyAlignment="1">
      <alignment horizontal="left" vertical="top" wrapText="1" shrinkToFit="1"/>
    </xf>
    <xf numFmtId="20" fontId="31" fillId="19" borderId="22" xfId="0" applyNumberFormat="1" applyFont="1" applyFill="1" applyBorder="1" applyAlignment="1">
      <alignment horizontal="left" vertical="top" wrapText="1" shrinkToFit="1"/>
    </xf>
    <xf numFmtId="20" fontId="31" fillId="19" borderId="17" xfId="0" applyNumberFormat="1" applyFont="1" applyFill="1" applyBorder="1" applyAlignment="1">
      <alignment horizontal="left" vertical="top" wrapText="1" shrinkToFit="1"/>
    </xf>
    <xf numFmtId="20" fontId="0" fillId="19" borderId="18" xfId="0" applyNumberFormat="1" applyFill="1" applyBorder="1" applyAlignment="1">
      <alignment horizontal="center" vertical="top" wrapText="1"/>
    </xf>
    <xf numFmtId="20" fontId="0" fillId="19" borderId="22" xfId="0" applyNumberFormat="1" applyFill="1" applyBorder="1" applyAlignment="1">
      <alignment horizontal="center" vertical="top" wrapText="1"/>
    </xf>
    <xf numFmtId="20" fontId="0" fillId="19" borderId="17" xfId="0" applyNumberFormat="1" applyFill="1" applyBorder="1" applyAlignment="1">
      <alignment horizontal="center" vertical="top" wrapText="1"/>
    </xf>
    <xf numFmtId="20" fontId="0" fillId="19" borderId="1" xfId="0" applyNumberFormat="1" applyFill="1" applyBorder="1" applyAlignment="1">
      <alignment horizontal="left" vertical="top" wrapText="1"/>
    </xf>
    <xf numFmtId="20" fontId="0" fillId="0" borderId="18" xfId="0" applyNumberFormat="1" applyBorder="1" applyAlignment="1">
      <alignment horizontal="left" vertical="top" wrapText="1"/>
    </xf>
    <xf numFmtId="20" fontId="0" fillId="0" borderId="22" xfId="0" applyNumberFormat="1" applyBorder="1" applyAlignment="1">
      <alignment horizontal="left" vertical="top" wrapText="1"/>
    </xf>
    <xf numFmtId="20" fontId="0" fillId="0" borderId="17" xfId="0" applyNumberFormat="1" applyBorder="1" applyAlignment="1">
      <alignment horizontal="left" vertical="top" wrapText="1"/>
    </xf>
    <xf numFmtId="43" fontId="0" fillId="0" borderId="2" xfId="10" applyFont="1" applyBorder="1" applyAlignment="1">
      <alignment horizontal="center" vertical="center" wrapText="1"/>
    </xf>
    <xf numFmtId="43" fontId="0" fillId="0" borderId="3" xfId="10" applyFont="1" applyBorder="1" applyAlignment="1">
      <alignment horizontal="center" vertical="center" wrapText="1"/>
    </xf>
    <xf numFmtId="20" fontId="31" fillId="0" borderId="18" xfId="30" applyNumberFormat="1" applyFont="1" applyFill="1" applyBorder="1" applyAlignment="1">
      <alignment horizontal="left" vertical="top" wrapText="1"/>
    </xf>
    <xf numFmtId="20" fontId="31" fillId="0" borderId="22" xfId="30" applyNumberFormat="1" applyFont="1" applyFill="1" applyBorder="1" applyAlignment="1">
      <alignment horizontal="left" vertical="top" wrapText="1"/>
    </xf>
    <xf numFmtId="20" fontId="31" fillId="0" borderId="17" xfId="30" applyNumberFormat="1" applyFont="1" applyFill="1" applyBorder="1" applyAlignment="1">
      <alignment horizontal="left" vertical="top" wrapText="1"/>
    </xf>
    <xf numFmtId="0" fontId="4" fillId="11" borderId="18" xfId="0" applyFont="1" applyFill="1" applyBorder="1" applyAlignment="1">
      <alignment horizontal="center" vertical="center"/>
    </xf>
    <xf numFmtId="0" fontId="4" fillId="11" borderId="22" xfId="0" applyFont="1" applyFill="1" applyBorder="1" applyAlignment="1">
      <alignment horizontal="center" vertical="center"/>
    </xf>
    <xf numFmtId="0" fontId="4" fillId="11" borderId="17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 shrinkToFit="1"/>
    </xf>
    <xf numFmtId="0" fontId="4" fillId="0" borderId="22" xfId="0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0" fontId="0" fillId="19" borderId="18" xfId="0" applyFill="1" applyBorder="1" applyAlignment="1">
      <alignment horizontal="left" vertical="top" wrapText="1" shrinkToFit="1"/>
    </xf>
    <xf numFmtId="0" fontId="0" fillId="19" borderId="22" xfId="0" applyFill="1" applyBorder="1" applyAlignment="1">
      <alignment horizontal="left" vertical="top" wrapText="1" shrinkToFit="1"/>
    </xf>
    <xf numFmtId="0" fontId="0" fillId="19" borderId="17" xfId="0" applyFill="1" applyBorder="1" applyAlignment="1">
      <alignment horizontal="left" vertical="top" wrapText="1" shrinkToFit="1"/>
    </xf>
    <xf numFmtId="0" fontId="0" fillId="16" borderId="1" xfId="0" applyFill="1" applyBorder="1" applyAlignment="1">
      <alignment vertical="center" shrinkToFit="1"/>
    </xf>
    <xf numFmtId="0" fontId="0" fillId="16" borderId="18" xfId="0" applyFill="1" applyBorder="1" applyAlignment="1">
      <alignment horizontal="left" vertical="top" wrapText="1" shrinkToFit="1"/>
    </xf>
    <xf numFmtId="0" fontId="0" fillId="16" borderId="22" xfId="0" applyFill="1" applyBorder="1" applyAlignment="1">
      <alignment horizontal="left" vertical="top" wrapText="1" shrinkToFit="1"/>
    </xf>
    <xf numFmtId="0" fontId="0" fillId="16" borderId="17" xfId="0" applyFill="1" applyBorder="1" applyAlignment="1">
      <alignment horizontal="left" vertical="top" wrapText="1" shrinkToFit="1"/>
    </xf>
    <xf numFmtId="0" fontId="0" fillId="19" borderId="18" xfId="0" applyFill="1" applyBorder="1" applyAlignment="1">
      <alignment horizontal="center" vertical="center" shrinkToFit="1"/>
    </xf>
    <xf numFmtId="0" fontId="0" fillId="19" borderId="22" xfId="0" applyFill="1" applyBorder="1" applyAlignment="1">
      <alignment horizontal="center" vertical="center" shrinkToFit="1"/>
    </xf>
    <xf numFmtId="0" fontId="0" fillId="19" borderId="17" xfId="0" applyFill="1" applyBorder="1" applyAlignment="1">
      <alignment horizontal="center" vertical="center" shrinkToFit="1"/>
    </xf>
    <xf numFmtId="0" fontId="0" fillId="16" borderId="2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0" borderId="18" xfId="0" applyBorder="1" applyAlignment="1">
      <alignment horizontal="left" vertical="top" wrapText="1" shrinkToFit="1"/>
    </xf>
    <xf numFmtId="0" fontId="0" fillId="0" borderId="22" xfId="0" applyBorder="1" applyAlignment="1">
      <alignment horizontal="left" vertical="top" wrapText="1" shrinkToFit="1"/>
    </xf>
    <xf numFmtId="0" fontId="0" fillId="0" borderId="17" xfId="0" applyBorder="1" applyAlignment="1">
      <alignment horizontal="left" vertical="top" wrapText="1" shrinkToFit="1"/>
    </xf>
    <xf numFmtId="0" fontId="0" fillId="2" borderId="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17" xfId="0" applyBorder="1" applyAlignment="1">
      <alignment vertical="center" shrinkToFit="1"/>
    </xf>
    <xf numFmtId="0" fontId="0" fillId="0" borderId="23" xfId="0" applyBorder="1" applyAlignment="1">
      <alignment horizontal="left" vertical="top" wrapText="1" shrinkToFit="1"/>
    </xf>
    <xf numFmtId="0" fontId="0" fillId="0" borderId="2" xfId="0" applyBorder="1" applyAlignment="1">
      <alignment vertical="top" wrapText="1" shrinkToFit="1"/>
    </xf>
    <xf numFmtId="0" fontId="0" fillId="0" borderId="3" xfId="0" applyBorder="1" applyAlignment="1">
      <alignment vertical="top" wrapText="1" shrinkToFit="1"/>
    </xf>
    <xf numFmtId="0" fontId="1" fillId="0" borderId="61" xfId="0" applyFont="1" applyBorder="1" applyAlignment="1">
      <alignment horizontal="left" vertical="center" shrinkToFit="1"/>
    </xf>
    <xf numFmtId="0" fontId="1" fillId="0" borderId="62" xfId="0" applyFont="1" applyBorder="1" applyAlignment="1">
      <alignment horizontal="left" vertical="center" shrinkToFit="1"/>
    </xf>
    <xf numFmtId="0" fontId="0" fillId="0" borderId="58" xfId="0" applyBorder="1" applyAlignment="1">
      <alignment horizontal="left" vertical="center" shrinkToFit="1"/>
    </xf>
    <xf numFmtId="0" fontId="0" fillId="0" borderId="59" xfId="0" applyBorder="1" applyAlignment="1">
      <alignment horizontal="left" vertical="center" shrinkToFit="1"/>
    </xf>
    <xf numFmtId="0" fontId="0" fillId="16" borderId="23" xfId="0" applyFill="1" applyBorder="1" applyAlignment="1">
      <alignment horizontal="center" vertical="top" wrapText="1" shrinkToFit="1"/>
    </xf>
    <xf numFmtId="0" fontId="0" fillId="16" borderId="11" xfId="0" applyFill="1" applyBorder="1" applyAlignment="1">
      <alignment horizontal="center" vertical="top" wrapText="1" shrinkToFit="1"/>
    </xf>
    <xf numFmtId="0" fontId="0" fillId="16" borderId="24" xfId="0" applyFill="1" applyBorder="1" applyAlignment="1">
      <alignment horizontal="center" vertical="top" wrapText="1" shrinkToFit="1"/>
    </xf>
    <xf numFmtId="0" fontId="0" fillId="16" borderId="20" xfId="0" applyFill="1" applyBorder="1" applyAlignment="1">
      <alignment horizontal="center" vertical="top" wrapText="1" shrinkToFit="1"/>
    </xf>
    <xf numFmtId="0" fontId="0" fillId="16" borderId="0" xfId="0" applyFill="1" applyAlignment="1">
      <alignment horizontal="center" vertical="top" wrapText="1" shrinkToFit="1"/>
    </xf>
    <xf numFmtId="0" fontId="0" fillId="16" borderId="38" xfId="0" applyFill="1" applyBorder="1" applyAlignment="1">
      <alignment horizontal="center" vertical="top" wrapText="1" shrinkToFit="1"/>
    </xf>
    <xf numFmtId="0" fontId="0" fillId="16" borderId="43" xfId="0" applyFill="1" applyBorder="1" applyAlignment="1">
      <alignment horizontal="center" vertical="top" wrapText="1" shrinkToFit="1"/>
    </xf>
    <xf numFmtId="0" fontId="0" fillId="16" borderId="19" xfId="0" applyFill="1" applyBorder="1" applyAlignment="1">
      <alignment horizontal="center" vertical="top" wrapText="1" shrinkToFit="1"/>
    </xf>
    <xf numFmtId="0" fontId="0" fillId="16" borderId="25" xfId="0" applyFill="1" applyBorder="1" applyAlignment="1">
      <alignment horizontal="center" vertical="top" wrapText="1" shrinkToFit="1"/>
    </xf>
    <xf numFmtId="0" fontId="0" fillId="16" borderId="3" xfId="0" applyFill="1" applyBorder="1" applyAlignment="1">
      <alignment vertical="top" wrapText="1" shrinkToFit="1"/>
    </xf>
    <xf numFmtId="0" fontId="0" fillId="16" borderId="8" xfId="0" applyFill="1" applyBorder="1" applyAlignment="1">
      <alignment vertical="top" wrapText="1" shrinkToFit="1"/>
    </xf>
    <xf numFmtId="0" fontId="1" fillId="8" borderId="52" xfId="0" applyFont="1" applyFill="1" applyBorder="1" applyAlignment="1">
      <alignment horizontal="left" vertical="center" shrinkToFit="1"/>
    </xf>
    <xf numFmtId="0" fontId="1" fillId="8" borderId="53" xfId="0" applyFont="1" applyFill="1" applyBorder="1" applyAlignment="1">
      <alignment horizontal="left" vertical="center" shrinkToFit="1"/>
    </xf>
    <xf numFmtId="0" fontId="13" fillId="0" borderId="18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" fillId="2" borderId="54" xfId="0" applyFont="1" applyFill="1" applyBorder="1" applyAlignment="1">
      <alignment vertical="center" shrinkToFit="1"/>
    </xf>
    <xf numFmtId="0" fontId="1" fillId="2" borderId="55" xfId="0" applyFont="1" applyFill="1" applyBorder="1" applyAlignment="1">
      <alignment vertical="center" shrinkToFit="1"/>
    </xf>
    <xf numFmtId="0" fontId="1" fillId="0" borderId="56" xfId="0" applyFont="1" applyBorder="1" applyAlignment="1">
      <alignment vertical="center" shrinkToFit="1"/>
    </xf>
    <xf numFmtId="0" fontId="1" fillId="0" borderId="57" xfId="0" applyFont="1" applyBorder="1" applyAlignment="1">
      <alignment vertical="center" shrinkToFit="1"/>
    </xf>
    <xf numFmtId="0" fontId="23" fillId="0" borderId="18" xfId="0" applyFont="1" applyBorder="1" applyAlignment="1">
      <alignment vertical="center"/>
    </xf>
    <xf numFmtId="0" fontId="23" fillId="0" borderId="17" xfId="0" applyFont="1" applyBorder="1" applyAlignment="1">
      <alignment vertical="center"/>
    </xf>
    <xf numFmtId="41" fontId="12" fillId="0" borderId="18" xfId="0" applyNumberFormat="1" applyFont="1" applyBorder="1" applyAlignment="1">
      <alignment vertical="center"/>
    </xf>
    <xf numFmtId="41" fontId="12" fillId="0" borderId="17" xfId="0" applyNumberFormat="1" applyFont="1" applyBorder="1" applyAlignment="1">
      <alignment vertical="center"/>
    </xf>
    <xf numFmtId="41" fontId="13" fillId="0" borderId="18" xfId="0" applyNumberFormat="1" applyFont="1" applyBorder="1" applyAlignment="1">
      <alignment horizontal="center" vertical="center" shrinkToFit="1"/>
    </xf>
    <xf numFmtId="41" fontId="13" fillId="0" borderId="17" xfId="0" applyNumberFormat="1" applyFont="1" applyBorder="1" applyAlignment="1">
      <alignment horizontal="center" vertical="center" shrinkToFit="1"/>
    </xf>
    <xf numFmtId="187" fontId="14" fillId="0" borderId="18" xfId="0" applyNumberFormat="1" applyFont="1" applyBorder="1" applyAlignment="1">
      <alignment horizontal="center" vertical="center"/>
    </xf>
    <xf numFmtId="187" fontId="14" fillId="0" borderId="22" xfId="0" applyNumberFormat="1" applyFont="1" applyBorder="1" applyAlignment="1">
      <alignment horizontal="center" vertical="center"/>
    </xf>
    <xf numFmtId="187" fontId="14" fillId="0" borderId="51" xfId="0" applyNumberFormat="1" applyFont="1" applyBorder="1" applyAlignment="1">
      <alignment horizontal="center" vertical="center"/>
    </xf>
    <xf numFmtId="0" fontId="0" fillId="0" borderId="60" xfId="0" applyBorder="1" applyAlignment="1">
      <alignment vertical="center" shrinkToFit="1"/>
    </xf>
    <xf numFmtId="0" fontId="0" fillId="0" borderId="59" xfId="0" applyBorder="1" applyAlignment="1">
      <alignment vertical="center" shrinkToFit="1"/>
    </xf>
    <xf numFmtId="0" fontId="21" fillId="0" borderId="18" xfId="0" applyFont="1" applyBorder="1" applyAlignment="1">
      <alignment vertical="center"/>
    </xf>
    <xf numFmtId="0" fontId="21" fillId="0" borderId="17" xfId="0" applyFont="1" applyBorder="1" applyAlignment="1">
      <alignment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23" fillId="0" borderId="18" xfId="0" applyFont="1" applyBorder="1" applyAlignment="1">
      <alignment vertical="center" shrinkToFit="1"/>
    </xf>
    <xf numFmtId="0" fontId="23" fillId="0" borderId="17" xfId="0" applyFont="1" applyBorder="1" applyAlignment="1">
      <alignment vertical="center" shrinkToFit="1"/>
    </xf>
    <xf numFmtId="41" fontId="12" fillId="0" borderId="18" xfId="0" applyNumberFormat="1" applyFont="1" applyBorder="1" applyAlignment="1">
      <alignment horizontal="center" vertical="center"/>
    </xf>
    <xf numFmtId="41" fontId="12" fillId="0" borderId="17" xfId="0" applyNumberFormat="1" applyFont="1" applyBorder="1" applyAlignment="1">
      <alignment horizontal="center" vertical="center"/>
    </xf>
    <xf numFmtId="20" fontId="0" fillId="0" borderId="2" xfId="0" applyNumberFormat="1" applyBorder="1" applyAlignment="1">
      <alignment horizontal="left" vertical="center" wrapText="1" shrinkToFit="1"/>
    </xf>
    <xf numFmtId="20" fontId="0" fillId="0" borderId="8" xfId="0" applyNumberFormat="1" applyBorder="1" applyAlignment="1">
      <alignment horizontal="left" vertical="center" wrapText="1" shrinkToFit="1"/>
    </xf>
    <xf numFmtId="20" fontId="0" fillId="19" borderId="2" xfId="0" applyNumberFormat="1" applyFill="1" applyBorder="1" applyAlignment="1">
      <alignment horizontal="left" vertical="center" wrapText="1" shrinkToFit="1"/>
    </xf>
    <xf numFmtId="20" fontId="0" fillId="19" borderId="8" xfId="0" applyNumberFormat="1" applyFill="1" applyBorder="1" applyAlignment="1">
      <alignment horizontal="left" vertical="center" wrapText="1" shrinkToFit="1"/>
    </xf>
    <xf numFmtId="20" fontId="0" fillId="0" borderId="23" xfId="0" applyNumberFormat="1" applyBorder="1" applyAlignment="1">
      <alignment vertical="top" wrapText="1" shrinkToFit="1"/>
    </xf>
    <xf numFmtId="20" fontId="0" fillId="0" borderId="11" xfId="0" applyNumberFormat="1" applyBorder="1" applyAlignment="1">
      <alignment vertical="top" wrapText="1" shrinkToFit="1"/>
    </xf>
    <xf numFmtId="20" fontId="0" fillId="0" borderId="24" xfId="0" applyNumberFormat="1" applyBorder="1" applyAlignment="1">
      <alignment vertical="top" wrapText="1" shrinkToFit="1"/>
    </xf>
    <xf numFmtId="10" fontId="0" fillId="0" borderId="23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0" fontId="0" fillId="0" borderId="24" xfId="0" applyNumberFormat="1" applyBorder="1" applyAlignment="1">
      <alignment horizontal="center" vertical="center"/>
    </xf>
    <xf numFmtId="10" fontId="0" fillId="0" borderId="43" xfId="0" applyNumberFormat="1" applyBorder="1" applyAlignment="1">
      <alignment horizontal="center" vertical="center"/>
    </xf>
    <xf numFmtId="10" fontId="0" fillId="0" borderId="19" xfId="0" applyNumberFormat="1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20" fontId="0" fillId="0" borderId="43" xfId="0" applyNumberFormat="1" applyBorder="1" applyAlignment="1">
      <alignment vertical="top" wrapText="1" shrinkToFit="1"/>
    </xf>
    <xf numFmtId="20" fontId="0" fillId="0" borderId="19" xfId="0" applyNumberFormat="1" applyBorder="1" applyAlignment="1">
      <alignment vertical="top" wrapText="1" shrinkToFit="1"/>
    </xf>
    <xf numFmtId="20" fontId="0" fillId="0" borderId="25" xfId="0" applyNumberFormat="1" applyBorder="1" applyAlignment="1">
      <alignment vertical="top" wrapText="1" shrinkToFit="1"/>
    </xf>
    <xf numFmtId="0" fontId="0" fillId="2" borderId="3" xfId="0" applyFill="1" applyBorder="1" applyAlignment="1">
      <alignment horizontal="center" vertical="center"/>
    </xf>
    <xf numFmtId="20" fontId="0" fillId="19" borderId="23" xfId="0" applyNumberFormat="1" applyFill="1" applyBorder="1" applyAlignment="1">
      <alignment horizontal="left" vertical="top" wrapText="1" shrinkToFit="1"/>
    </xf>
    <xf numFmtId="20" fontId="0" fillId="19" borderId="11" xfId="0" applyNumberFormat="1" applyFill="1" applyBorder="1" applyAlignment="1">
      <alignment horizontal="left" vertical="top" wrapText="1" shrinkToFit="1"/>
    </xf>
    <xf numFmtId="20" fontId="0" fillId="19" borderId="24" xfId="0" applyNumberFormat="1" applyFill="1" applyBorder="1" applyAlignment="1">
      <alignment horizontal="left" vertical="top" wrapText="1" shrinkToFit="1"/>
    </xf>
    <xf numFmtId="20" fontId="0" fillId="19" borderId="43" xfId="0" applyNumberFormat="1" applyFill="1" applyBorder="1" applyAlignment="1">
      <alignment horizontal="left" vertical="top" wrapText="1" shrinkToFit="1"/>
    </xf>
    <xf numFmtId="20" fontId="0" fillId="19" borderId="19" xfId="0" applyNumberFormat="1" applyFill="1" applyBorder="1" applyAlignment="1">
      <alignment horizontal="left" vertical="top" wrapText="1" shrinkToFit="1"/>
    </xf>
    <xf numFmtId="20" fontId="0" fillId="19" borderId="25" xfId="0" applyNumberFormat="1" applyFill="1" applyBorder="1" applyAlignment="1">
      <alignment horizontal="left" vertical="top" wrapText="1" shrinkToFit="1"/>
    </xf>
    <xf numFmtId="0" fontId="6" fillId="19" borderId="3" xfId="0" applyFont="1" applyFill="1" applyBorder="1" applyAlignment="1">
      <alignment horizontal="center" vertical="center" shrinkToFit="1"/>
    </xf>
    <xf numFmtId="10" fontId="0" fillId="19" borderId="23" xfId="0" applyNumberFormat="1" applyFill="1" applyBorder="1" applyAlignment="1">
      <alignment horizontal="center" vertical="center"/>
    </xf>
    <xf numFmtId="10" fontId="0" fillId="19" borderId="11" xfId="0" applyNumberFormat="1" applyFill="1" applyBorder="1" applyAlignment="1">
      <alignment horizontal="center" vertical="center"/>
    </xf>
    <xf numFmtId="10" fontId="0" fillId="19" borderId="24" xfId="0" applyNumberFormat="1" applyFill="1" applyBorder="1" applyAlignment="1">
      <alignment horizontal="center" vertical="center"/>
    </xf>
    <xf numFmtId="10" fontId="0" fillId="19" borderId="43" xfId="0" applyNumberFormat="1" applyFill="1" applyBorder="1" applyAlignment="1">
      <alignment horizontal="center" vertical="center"/>
    </xf>
    <xf numFmtId="10" fontId="0" fillId="19" borderId="19" xfId="0" applyNumberFormat="1" applyFill="1" applyBorder="1" applyAlignment="1">
      <alignment horizontal="center" vertical="center"/>
    </xf>
    <xf numFmtId="10" fontId="0" fillId="19" borderId="25" xfId="0" applyNumberFormat="1" applyFill="1" applyBorder="1" applyAlignment="1">
      <alignment horizontal="center" vertical="center"/>
    </xf>
    <xf numFmtId="43" fontId="0" fillId="0" borderId="8" xfId="10" applyFont="1" applyBorder="1" applyAlignment="1">
      <alignment horizontal="center" vertical="center" wrapText="1"/>
    </xf>
    <xf numFmtId="0" fontId="6" fillId="0" borderId="38" xfId="0" applyFont="1" applyBorder="1" applyAlignment="1">
      <alignment horizontal="center" vertical="center" wrapText="1"/>
    </xf>
    <xf numFmtId="20" fontId="0" fillId="0" borderId="43" xfId="0" applyNumberFormat="1" applyBorder="1" applyAlignment="1">
      <alignment horizontal="left" vertical="top" wrapText="1"/>
    </xf>
    <xf numFmtId="20" fontId="0" fillId="0" borderId="19" xfId="0" applyNumberFormat="1" applyBorder="1" applyAlignment="1">
      <alignment horizontal="left" vertical="top" wrapText="1"/>
    </xf>
    <xf numFmtId="20" fontId="0" fillId="0" borderId="25" xfId="0" applyNumberFormat="1" applyBorder="1" applyAlignment="1">
      <alignment horizontal="left" vertical="top" wrapText="1"/>
    </xf>
    <xf numFmtId="20" fontId="0" fillId="0" borderId="2" xfId="0" applyNumberFormat="1" applyBorder="1" applyAlignment="1">
      <alignment horizontal="left" vertical="center" shrinkToFit="1"/>
    </xf>
    <xf numFmtId="20" fontId="0" fillId="0" borderId="8" xfId="0" applyNumberFormat="1" applyBorder="1" applyAlignment="1">
      <alignment horizontal="left" vertical="center" shrinkToFit="1"/>
    </xf>
    <xf numFmtId="20" fontId="0" fillId="0" borderId="23" xfId="0" applyNumberFormat="1" applyBorder="1" applyAlignment="1">
      <alignment horizontal="left" vertical="top" wrapText="1"/>
    </xf>
    <xf numFmtId="20" fontId="0" fillId="0" borderId="11" xfId="0" applyNumberFormat="1" applyBorder="1" applyAlignment="1">
      <alignment horizontal="left" vertical="top" wrapText="1"/>
    </xf>
    <xf numFmtId="20" fontId="0" fillId="0" borderId="24" xfId="0" applyNumberFormat="1" applyBorder="1" applyAlignment="1">
      <alignment horizontal="left" vertical="top" wrapText="1"/>
    </xf>
    <xf numFmtId="0" fontId="0" fillId="19" borderId="1" xfId="0" applyFill="1" applyBorder="1" applyAlignment="1">
      <alignment vertical="center" shrinkToFit="1"/>
    </xf>
    <xf numFmtId="10" fontId="0" fillId="19" borderId="20" xfId="0" applyNumberFormat="1" applyFill="1" applyBorder="1" applyAlignment="1">
      <alignment horizontal="center" vertical="center"/>
    </xf>
    <xf numFmtId="10" fontId="0" fillId="19" borderId="0" xfId="0" applyNumberFormat="1" applyFill="1" applyAlignment="1">
      <alignment horizontal="center" vertical="center"/>
    </xf>
    <xf numFmtId="10" fontId="0" fillId="19" borderId="38" xfId="0" applyNumberFormat="1" applyFill="1" applyBorder="1" applyAlignment="1">
      <alignment horizontal="center" vertical="center"/>
    </xf>
    <xf numFmtId="20" fontId="0" fillId="0" borderId="3" xfId="0" applyNumberFormat="1" applyBorder="1" applyAlignment="1">
      <alignment horizontal="left" vertical="center" wrapText="1" shrinkToFit="1"/>
    </xf>
    <xf numFmtId="0" fontId="6" fillId="0" borderId="8" xfId="0" applyFont="1" applyBorder="1" applyAlignment="1">
      <alignment horizontal="center" vertical="center" wrapText="1" shrinkToFit="1"/>
    </xf>
    <xf numFmtId="0" fontId="0" fillId="19" borderId="8" xfId="0" applyFill="1" applyBorder="1" applyAlignment="1">
      <alignment horizontal="center" vertical="center" wrapText="1"/>
    </xf>
    <xf numFmtId="20" fontId="0" fillId="0" borderId="2" xfId="0" applyNumberFormat="1" applyBorder="1" applyAlignment="1">
      <alignment horizontal="center" vertical="center" shrinkToFit="1"/>
    </xf>
    <xf numFmtId="20" fontId="0" fillId="0" borderId="8" xfId="0" applyNumberFormat="1" applyBorder="1" applyAlignment="1">
      <alignment horizontal="center" vertical="center" shrinkToFit="1"/>
    </xf>
    <xf numFmtId="20" fontId="0" fillId="19" borderId="2" xfId="0" applyNumberFormat="1" applyFill="1" applyBorder="1" applyAlignment="1">
      <alignment horizontal="left" vertical="center" wrapText="1"/>
    </xf>
    <xf numFmtId="20" fontId="0" fillId="19" borderId="8" xfId="0" applyNumberFormat="1" applyFill="1" applyBorder="1" applyAlignment="1">
      <alignment horizontal="left" vertical="center" wrapText="1"/>
    </xf>
    <xf numFmtId="0" fontId="31" fillId="0" borderId="2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0" fillId="16" borderId="3" xfId="0" applyFill="1" applyBorder="1" applyAlignment="1">
      <alignment horizontal="center" vertical="center"/>
    </xf>
    <xf numFmtId="0" fontId="0" fillId="16" borderId="18" xfId="0" applyFill="1" applyBorder="1" applyAlignment="1">
      <alignment vertical="center" shrinkToFit="1"/>
    </xf>
    <xf numFmtId="0" fontId="0" fillId="16" borderId="22" xfId="0" applyFill="1" applyBorder="1" applyAlignment="1">
      <alignment vertical="center" shrinkToFit="1"/>
    </xf>
    <xf numFmtId="0" fontId="0" fillId="16" borderId="17" xfId="0" applyFill="1" applyBorder="1" applyAlignment="1">
      <alignment vertical="center" shrinkToFit="1"/>
    </xf>
    <xf numFmtId="3" fontId="0" fillId="0" borderId="2" xfId="0" applyNumberFormat="1" applyBorder="1" applyAlignment="1">
      <alignment horizontal="left" vertical="center" shrinkToFit="1"/>
    </xf>
    <xf numFmtId="3" fontId="0" fillId="0" borderId="3" xfId="0" applyNumberFormat="1" applyBorder="1" applyAlignment="1">
      <alignment horizontal="left" vertical="center" shrinkToFit="1"/>
    </xf>
    <xf numFmtId="3" fontId="0" fillId="0" borderId="8" xfId="0" applyNumberFormat="1" applyBorder="1" applyAlignment="1">
      <alignment horizontal="left" vertical="center" shrinkToFit="1"/>
    </xf>
    <xf numFmtId="10" fontId="0" fillId="0" borderId="20" xfId="0" applyNumberForma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38" xfId="0" applyNumberFormat="1" applyBorder="1" applyAlignment="1">
      <alignment horizontal="center" vertical="center"/>
    </xf>
    <xf numFmtId="20" fontId="0" fillId="0" borderId="20" xfId="0" applyNumberFormat="1" applyBorder="1" applyAlignment="1">
      <alignment vertical="top" wrapText="1" shrinkToFit="1"/>
    </xf>
    <xf numFmtId="20" fontId="0" fillId="0" borderId="0" xfId="0" applyNumberFormat="1" applyAlignment="1">
      <alignment vertical="top" wrapText="1" shrinkToFit="1"/>
    </xf>
    <xf numFmtId="20" fontId="0" fillId="0" borderId="38" xfId="0" applyNumberFormat="1" applyBorder="1" applyAlignment="1">
      <alignment vertical="top" wrapText="1" shrinkToFit="1"/>
    </xf>
    <xf numFmtId="20" fontId="31" fillId="0" borderId="43" xfId="30" applyNumberFormat="1" applyFont="1" applyFill="1" applyBorder="1" applyAlignment="1">
      <alignment horizontal="left" vertical="top" wrapText="1"/>
    </xf>
    <xf numFmtId="20" fontId="31" fillId="0" borderId="19" xfId="30" applyNumberFormat="1" applyFont="1" applyFill="1" applyBorder="1" applyAlignment="1">
      <alignment horizontal="left" vertical="top" wrapText="1"/>
    </xf>
    <xf numFmtId="20" fontId="31" fillId="0" borderId="25" xfId="30" applyNumberFormat="1" applyFont="1" applyFill="1" applyBorder="1" applyAlignment="1">
      <alignment horizontal="left" vertical="top" wrapText="1"/>
    </xf>
    <xf numFmtId="20" fontId="31" fillId="0" borderId="23" xfId="30" applyNumberFormat="1" applyFont="1" applyFill="1" applyBorder="1" applyAlignment="1">
      <alignment horizontal="left" vertical="top" wrapText="1"/>
    </xf>
    <xf numFmtId="20" fontId="31" fillId="0" borderId="11" xfId="30" applyNumberFormat="1" applyFont="1" applyFill="1" applyBorder="1" applyAlignment="1">
      <alignment horizontal="left" vertical="top" wrapText="1"/>
    </xf>
    <xf numFmtId="20" fontId="31" fillId="0" borderId="24" xfId="30" applyNumberFormat="1" applyFont="1" applyFill="1" applyBorder="1" applyAlignment="1">
      <alignment horizontal="left" vertical="top" wrapText="1"/>
    </xf>
    <xf numFmtId="20" fontId="31" fillId="19" borderId="23" xfId="0" applyNumberFormat="1" applyFont="1" applyFill="1" applyBorder="1" applyAlignment="1">
      <alignment horizontal="left" vertical="top" wrapText="1" shrinkToFit="1"/>
    </xf>
    <xf numFmtId="20" fontId="31" fillId="19" borderId="11" xfId="0" applyNumberFormat="1" applyFont="1" applyFill="1" applyBorder="1" applyAlignment="1">
      <alignment horizontal="left" vertical="top" wrapText="1" shrinkToFit="1"/>
    </xf>
    <xf numFmtId="20" fontId="31" fillId="19" borderId="24" xfId="0" applyNumberFormat="1" applyFont="1" applyFill="1" applyBorder="1" applyAlignment="1">
      <alignment horizontal="left" vertical="top" wrapText="1" shrinkToFit="1"/>
    </xf>
    <xf numFmtId="20" fontId="31" fillId="19" borderId="43" xfId="0" applyNumberFormat="1" applyFont="1" applyFill="1" applyBorder="1" applyAlignment="1">
      <alignment horizontal="left" vertical="top" wrapText="1" shrinkToFit="1"/>
    </xf>
    <xf numFmtId="20" fontId="31" fillId="19" borderId="19" xfId="0" applyNumberFormat="1" applyFont="1" applyFill="1" applyBorder="1" applyAlignment="1">
      <alignment horizontal="left" vertical="top" wrapText="1" shrinkToFit="1"/>
    </xf>
    <xf numFmtId="20" fontId="31" fillId="19" borderId="25" xfId="0" applyNumberFormat="1" applyFont="1" applyFill="1" applyBorder="1" applyAlignment="1">
      <alignment horizontal="left" vertical="top" wrapText="1" shrinkToFit="1"/>
    </xf>
    <xf numFmtId="20" fontId="0" fillId="0" borderId="20" xfId="0" applyNumberFormat="1" applyBorder="1" applyAlignment="1">
      <alignment horizontal="left" vertical="top" wrapText="1"/>
    </xf>
    <xf numFmtId="20" fontId="0" fillId="0" borderId="0" xfId="0" applyNumberFormat="1" applyAlignment="1">
      <alignment horizontal="left" vertical="top" wrapText="1"/>
    </xf>
    <xf numFmtId="20" fontId="0" fillId="0" borderId="38" xfId="0" applyNumberFormat="1" applyBorder="1" applyAlignment="1">
      <alignment horizontal="left" vertical="top" wrapText="1"/>
    </xf>
    <xf numFmtId="186" fontId="31" fillId="19" borderId="18" xfId="10" applyNumberFormat="1" applyFont="1" applyFill="1" applyBorder="1" applyAlignment="1">
      <alignment horizontal="left" vertical="center"/>
    </xf>
    <xf numFmtId="186" fontId="31" fillId="19" borderId="22" xfId="10" applyNumberFormat="1" applyFont="1" applyFill="1" applyBorder="1" applyAlignment="1">
      <alignment horizontal="left" vertical="center"/>
    </xf>
    <xf numFmtId="186" fontId="31" fillId="19" borderId="17" xfId="10" applyNumberFormat="1" applyFont="1" applyFill="1" applyBorder="1" applyAlignment="1">
      <alignment horizontal="left" vertical="center"/>
    </xf>
    <xf numFmtId="0" fontId="34" fillId="0" borderId="60" xfId="0" applyFont="1" applyBorder="1" applyAlignment="1">
      <alignment vertical="center" shrinkToFit="1"/>
    </xf>
    <xf numFmtId="0" fontId="34" fillId="0" borderId="59" xfId="0" applyFont="1" applyBorder="1" applyAlignment="1">
      <alignment vertical="center" shrinkToFit="1"/>
    </xf>
    <xf numFmtId="0" fontId="34" fillId="0" borderId="58" xfId="0" applyFont="1" applyBorder="1" applyAlignment="1">
      <alignment horizontal="left" vertical="center" shrinkToFit="1"/>
    </xf>
    <xf numFmtId="0" fontId="34" fillId="0" borderId="59" xfId="0" applyFont="1" applyBorder="1" applyAlignment="1">
      <alignment horizontal="left" vertical="center" shrinkToFit="1"/>
    </xf>
    <xf numFmtId="0" fontId="37" fillId="8" borderId="65" xfId="0" applyFont="1" applyFill="1" applyBorder="1" applyAlignment="1">
      <alignment horizontal="left" vertical="center" shrinkToFit="1"/>
    </xf>
    <xf numFmtId="0" fontId="37" fillId="8" borderId="66" xfId="0" applyFont="1" applyFill="1" applyBorder="1" applyAlignment="1">
      <alignment horizontal="left" vertical="center" shrinkToFit="1"/>
    </xf>
    <xf numFmtId="0" fontId="37" fillId="8" borderId="52" xfId="0" applyFont="1" applyFill="1" applyBorder="1" applyAlignment="1">
      <alignment horizontal="left" vertical="center" shrinkToFit="1"/>
    </xf>
    <xf numFmtId="0" fontId="37" fillId="8" borderId="53" xfId="0" applyFont="1" applyFill="1" applyBorder="1" applyAlignment="1">
      <alignment horizontal="left" vertical="center" shrinkToFit="1"/>
    </xf>
    <xf numFmtId="0" fontId="55" fillId="0" borderId="1" xfId="0" applyFont="1" applyBorder="1" applyAlignment="1">
      <alignment vertical="center" shrinkToFit="1"/>
    </xf>
    <xf numFmtId="41" fontId="43" fillId="0" borderId="1" xfId="0" applyNumberFormat="1" applyFont="1" applyBorder="1" applyAlignment="1">
      <alignment horizontal="center" vertical="center"/>
    </xf>
    <xf numFmtId="41" fontId="49" fillId="0" borderId="1" xfId="0" applyNumberFormat="1" applyFont="1" applyBorder="1" applyAlignment="1">
      <alignment horizontal="center" vertical="center" shrinkToFit="1"/>
    </xf>
    <xf numFmtId="187" fontId="40" fillId="0" borderId="1" xfId="0" applyNumberFormat="1" applyFont="1" applyBorder="1" applyAlignment="1">
      <alignment horizontal="center" vertical="center"/>
    </xf>
    <xf numFmtId="0" fontId="37" fillId="2" borderId="54" xfId="0" applyFont="1" applyFill="1" applyBorder="1" applyAlignment="1">
      <alignment vertical="center" shrinkToFit="1"/>
    </xf>
    <xf numFmtId="0" fontId="37" fillId="2" borderId="55" xfId="0" applyFont="1" applyFill="1" applyBorder="1" applyAlignment="1">
      <alignment vertical="center" shrinkToFit="1"/>
    </xf>
    <xf numFmtId="0" fontId="54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37" fillId="0" borderId="56" xfId="0" applyFont="1" applyBorder="1" applyAlignment="1">
      <alignment vertical="center" shrinkToFit="1"/>
    </xf>
    <xf numFmtId="0" fontId="37" fillId="0" borderId="57" xfId="0" applyFont="1" applyBorder="1" applyAlignment="1">
      <alignment vertical="center" shrinkToFit="1"/>
    </xf>
    <xf numFmtId="0" fontId="37" fillId="0" borderId="63" xfId="0" applyFont="1" applyBorder="1" applyAlignment="1">
      <alignment horizontal="left" vertical="center" shrinkToFit="1"/>
    </xf>
    <xf numFmtId="0" fontId="37" fillId="0" borderId="64" xfId="0" applyFont="1" applyBorder="1" applyAlignment="1">
      <alignment horizontal="left" vertical="center" shrinkToFit="1"/>
    </xf>
    <xf numFmtId="0" fontId="37" fillId="0" borderId="61" xfId="0" applyFont="1" applyBorder="1" applyAlignment="1">
      <alignment horizontal="left" vertical="center" shrinkToFit="1"/>
    </xf>
    <xf numFmtId="0" fontId="37" fillId="0" borderId="62" xfId="0" applyFont="1" applyBorder="1" applyAlignment="1">
      <alignment horizontal="left" vertical="center" shrinkToFit="1"/>
    </xf>
    <xf numFmtId="0" fontId="34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vertical="center" shrinkToFit="1"/>
    </xf>
    <xf numFmtId="0" fontId="55" fillId="0" borderId="1" xfId="0" applyFont="1" applyBorder="1" applyAlignment="1">
      <alignment vertical="center"/>
    </xf>
    <xf numFmtId="41" fontId="43" fillId="0" borderId="1" xfId="0" applyNumberFormat="1" applyFont="1" applyBorder="1" applyAlignment="1">
      <alignment vertical="center"/>
    </xf>
    <xf numFmtId="0" fontId="34" fillId="2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left" vertical="top" wrapText="1" shrinkToFit="1"/>
    </xf>
    <xf numFmtId="0" fontId="34" fillId="16" borderId="1" xfId="0" applyFont="1" applyFill="1" applyBorder="1" applyAlignment="1">
      <alignment horizontal="center" vertical="top" wrapText="1" shrinkToFit="1"/>
    </xf>
    <xf numFmtId="0" fontId="38" fillId="11" borderId="1" xfId="0" applyFont="1" applyFill="1" applyBorder="1" applyAlignment="1">
      <alignment horizontal="center" vertical="center"/>
    </xf>
    <xf numFmtId="0" fontId="38" fillId="15" borderId="1" xfId="0" applyFont="1" applyFill="1" applyBorder="1" applyAlignment="1">
      <alignment horizontal="center" vertical="center" shrinkToFit="1"/>
    </xf>
    <xf numFmtId="0" fontId="34" fillId="16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 wrapText="1"/>
    </xf>
    <xf numFmtId="0" fontId="34" fillId="9" borderId="1" xfId="0" applyFont="1" applyFill="1" applyBorder="1" applyAlignment="1">
      <alignment horizontal="left" vertical="center" shrinkToFit="1"/>
    </xf>
    <xf numFmtId="20" fontId="34" fillId="0" borderId="1" xfId="0" applyNumberFormat="1" applyFont="1" applyBorder="1" applyAlignment="1">
      <alignment horizontal="left" vertical="top" wrapText="1"/>
    </xf>
    <xf numFmtId="0" fontId="34" fillId="16" borderId="1" xfId="0" applyFont="1" applyFill="1" applyBorder="1" applyAlignment="1">
      <alignment horizontal="left" vertical="center" shrinkToFit="1"/>
    </xf>
    <xf numFmtId="0" fontId="34" fillId="0" borderId="1" xfId="0" applyFont="1" applyBorder="1" applyAlignment="1">
      <alignment horizontal="left" vertical="center" shrinkToFit="1"/>
    </xf>
    <xf numFmtId="43" fontId="34" fillId="0" borderId="1" xfId="10" applyFont="1" applyBorder="1" applyAlignment="1">
      <alignment horizontal="center" vertical="center" wrapText="1"/>
    </xf>
    <xf numFmtId="20" fontId="34" fillId="0" borderId="1" xfId="30" applyNumberFormat="1" applyFont="1" applyFill="1" applyBorder="1" applyAlignment="1">
      <alignment horizontal="left" vertical="top" wrapText="1"/>
    </xf>
    <xf numFmtId="44" fontId="34" fillId="0" borderId="1" xfId="30" applyFont="1" applyFill="1" applyBorder="1" applyAlignment="1">
      <alignment horizontal="left" vertical="top" wrapText="1"/>
    </xf>
    <xf numFmtId="44" fontId="34" fillId="16" borderId="1" xfId="30" applyFont="1" applyFill="1" applyBorder="1" applyAlignment="1">
      <alignment horizontal="left" vertical="center" shrinkToFit="1"/>
    </xf>
    <xf numFmtId="20" fontId="34" fillId="0" borderId="1" xfId="0" applyNumberFormat="1" applyFont="1" applyBorder="1" applyAlignment="1">
      <alignment horizontal="left" vertical="top" wrapText="1" shrinkToFit="1"/>
    </xf>
    <xf numFmtId="20" fontId="34" fillId="0" borderId="1" xfId="0" applyNumberFormat="1" applyFont="1" applyBorder="1" applyAlignment="1">
      <alignment vertical="top" wrapText="1"/>
    </xf>
    <xf numFmtId="0" fontId="39" fillId="15" borderId="1" xfId="0" applyFont="1" applyFill="1" applyBorder="1" applyAlignment="1">
      <alignment horizontal="center" vertical="center" shrinkToFit="1"/>
    </xf>
    <xf numFmtId="0" fontId="34" fillId="0" borderId="1" xfId="0" applyFont="1" applyBorder="1" applyAlignment="1">
      <alignment horizontal="center" vertical="center" shrinkToFit="1"/>
    </xf>
    <xf numFmtId="186" fontId="34" fillId="0" borderId="1" xfId="10" applyNumberFormat="1" applyFont="1" applyFill="1" applyBorder="1" applyAlignment="1">
      <alignment vertical="center"/>
    </xf>
    <xf numFmtId="10" fontId="34" fillId="0" borderId="1" xfId="0" applyNumberFormat="1" applyFont="1" applyBorder="1" applyAlignment="1">
      <alignment horizontal="right" vertical="center"/>
    </xf>
    <xf numFmtId="193" fontId="34" fillId="0" borderId="1" xfId="0" applyNumberFormat="1" applyFont="1" applyBorder="1" applyAlignment="1">
      <alignment horizontal="left" vertical="top" wrapText="1" shrinkToFit="1"/>
    </xf>
    <xf numFmtId="10" fontId="34" fillId="0" borderId="1" xfId="0" applyNumberFormat="1" applyFont="1" applyBorder="1" applyAlignment="1">
      <alignment vertical="center"/>
    </xf>
    <xf numFmtId="20" fontId="34" fillId="0" borderId="1" xfId="0" applyNumberFormat="1" applyFont="1" applyBorder="1" applyAlignment="1">
      <alignment vertical="top" wrapText="1" shrinkToFit="1"/>
    </xf>
    <xf numFmtId="186" fontId="34" fillId="16" borderId="1" xfId="10" applyNumberFormat="1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 wrapText="1" shrinkToFit="1"/>
    </xf>
    <xf numFmtId="0" fontId="39" fillId="0" borderId="1" xfId="0" applyFont="1" applyBorder="1" applyAlignment="1">
      <alignment horizontal="center" vertical="center" wrapText="1"/>
    </xf>
    <xf numFmtId="186" fontId="34" fillId="16" borderId="1" xfId="10" applyNumberFormat="1" applyFont="1" applyFill="1" applyBorder="1" applyAlignment="1">
      <alignment horizontal="center" vertical="center"/>
    </xf>
    <xf numFmtId="186" fontId="34" fillId="0" borderId="1" xfId="10" applyNumberFormat="1" applyFont="1" applyFill="1" applyBorder="1" applyAlignment="1">
      <alignment horizontal="center" vertical="center"/>
    </xf>
    <xf numFmtId="10" fontId="34" fillId="0" borderId="1" xfId="10" applyNumberFormat="1" applyFont="1" applyFill="1" applyBorder="1" applyAlignment="1">
      <alignment vertical="center"/>
    </xf>
    <xf numFmtId="0" fontId="46" fillId="0" borderId="1" xfId="0" applyFont="1" applyBorder="1" applyAlignment="1">
      <alignment horizontal="center" vertical="center"/>
    </xf>
    <xf numFmtId="0" fontId="34" fillId="6" borderId="1" xfId="0" applyFont="1" applyFill="1" applyBorder="1" applyAlignment="1">
      <alignment horizontal="center" vertical="center" shrinkToFit="1"/>
    </xf>
    <xf numFmtId="0" fontId="49" fillId="0" borderId="1" xfId="0" applyFont="1" applyBorder="1" applyAlignment="1">
      <alignment horizontal="center" vertical="center" shrinkToFit="1"/>
    </xf>
    <xf numFmtId="0" fontId="39" fillId="11" borderId="1" xfId="0" applyFont="1" applyFill="1" applyBorder="1" applyAlignment="1">
      <alignment horizontal="center" vertical="center" wrapText="1"/>
    </xf>
    <xf numFmtId="0" fontId="39" fillId="11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 shrinkToFit="1"/>
    </xf>
    <xf numFmtId="186" fontId="63" fillId="0" borderId="1" xfId="10" applyNumberFormat="1" applyFont="1" applyFill="1" applyBorder="1" applyAlignment="1">
      <alignment vertical="center"/>
    </xf>
    <xf numFmtId="187" fontId="34" fillId="0" borderId="1" xfId="0" applyNumberFormat="1" applyFont="1" applyBorder="1" applyAlignment="1">
      <alignment vertical="center"/>
    </xf>
    <xf numFmtId="0" fontId="34" fillId="0" borderId="1" xfId="0" applyFont="1" applyBorder="1" applyAlignment="1">
      <alignment vertical="top" wrapText="1"/>
    </xf>
    <xf numFmtId="0" fontId="45" fillId="0" borderId="0" xfId="0" applyFont="1" applyAlignment="1">
      <alignment horizontal="center" vertical="center"/>
    </xf>
    <xf numFmtId="0" fontId="45" fillId="0" borderId="3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right" vertical="center" wrapText="1"/>
    </xf>
    <xf numFmtId="0" fontId="34" fillId="7" borderId="18" xfId="0" applyFont="1" applyFill="1" applyBorder="1" applyAlignment="1">
      <alignment horizontal="center" vertical="center"/>
    </xf>
    <xf numFmtId="0" fontId="34" fillId="7" borderId="17" xfId="0" applyFont="1" applyFill="1" applyBorder="1" applyAlignment="1">
      <alignment horizontal="center" vertical="center"/>
    </xf>
    <xf numFmtId="0" fontId="34" fillId="0" borderId="18" xfId="0" quotePrefix="1" applyFont="1" applyBorder="1" applyAlignment="1">
      <alignment horizontal="center" vertical="center"/>
    </xf>
    <xf numFmtId="0" fontId="34" fillId="0" borderId="17" xfId="0" quotePrefix="1" applyFont="1" applyBorder="1" applyAlignment="1">
      <alignment horizontal="center" vertical="center"/>
    </xf>
    <xf numFmtId="0" fontId="34" fillId="8" borderId="18" xfId="0" applyFont="1" applyFill="1" applyBorder="1" applyAlignment="1">
      <alignment horizontal="right" vertical="center" wrapText="1"/>
    </xf>
    <xf numFmtId="0" fontId="34" fillId="8" borderId="17" xfId="0" applyFont="1" applyFill="1" applyBorder="1" applyAlignment="1">
      <alignment horizontal="right" vertical="center" wrapText="1"/>
    </xf>
    <xf numFmtId="0" fontId="34" fillId="0" borderId="18" xfId="0" quotePrefix="1" applyFont="1" applyBorder="1" applyAlignment="1">
      <alignment horizontal="center" vertical="center" wrapText="1"/>
    </xf>
    <xf numFmtId="0" fontId="34" fillId="0" borderId="17" xfId="0" quotePrefix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0" fillId="6" borderId="48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9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48" xfId="0" applyFill="1" applyBorder="1" applyAlignment="1">
      <alignment horizontal="center" vertical="center"/>
    </xf>
    <xf numFmtId="0" fontId="0" fillId="6" borderId="48" xfId="0" applyFill="1" applyBorder="1" applyAlignment="1">
      <alignment horizontal="center" vertical="center" shrinkToFit="1"/>
    </xf>
    <xf numFmtId="0" fontId="0" fillId="6" borderId="2" xfId="0" applyFill="1" applyBorder="1" applyAlignment="1">
      <alignment horizontal="center" vertical="center" shrinkToFit="1"/>
    </xf>
    <xf numFmtId="0" fontId="0" fillId="6" borderId="68" xfId="0" applyFill="1" applyBorder="1" applyAlignment="1">
      <alignment horizontal="center" vertical="center" wrapText="1"/>
    </xf>
    <xf numFmtId="0" fontId="0" fillId="6" borderId="23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43" fontId="0" fillId="4" borderId="1" xfId="0" applyNumberFormat="1" applyFill="1" applyBorder="1" applyAlignment="1">
      <alignment horizontal="center" vertical="center" wrapText="1"/>
    </xf>
    <xf numFmtId="186" fontId="0" fillId="5" borderId="1" xfId="11" applyNumberFormat="1" applyFont="1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43" fontId="0" fillId="5" borderId="48" xfId="0" applyNumberFormat="1" applyFill="1" applyBorder="1" applyAlignment="1">
      <alignment horizontal="center" vertical="center" wrapText="1"/>
    </xf>
    <xf numFmtId="43" fontId="0" fillId="5" borderId="2" xfId="0" applyNumberFormat="1" applyFill="1" applyBorder="1" applyAlignment="1">
      <alignment horizontal="center" vertical="center" wrapText="1"/>
    </xf>
    <xf numFmtId="0" fontId="0" fillId="13" borderId="69" xfId="0" applyFill="1" applyBorder="1" applyAlignment="1">
      <alignment horizontal="center" vertical="center" wrapText="1"/>
    </xf>
    <xf numFmtId="0" fontId="0" fillId="13" borderId="70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2" fillId="5" borderId="6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187" fontId="4" fillId="5" borderId="71" xfId="0" applyNumberFormat="1" applyFont="1" applyFill="1" applyBorder="1" applyAlignment="1">
      <alignment horizontal="center" vertical="center" wrapText="1"/>
    </xf>
    <xf numFmtId="187" fontId="4" fillId="5" borderId="72" xfId="0" applyNumberFormat="1" applyFont="1" applyFill="1" applyBorder="1" applyAlignment="1">
      <alignment horizontal="center" vertical="center" wrapText="1"/>
    </xf>
    <xf numFmtId="184" fontId="0" fillId="5" borderId="73" xfId="0" applyNumberFormat="1" applyFill="1" applyBorder="1" applyAlignment="1">
      <alignment vertical="center" wrapText="1"/>
    </xf>
    <xf numFmtId="184" fontId="0" fillId="5" borderId="38" xfId="0" applyNumberFormat="1" applyFill="1" applyBorder="1" applyAlignment="1">
      <alignment vertical="center" wrapText="1"/>
    </xf>
    <xf numFmtId="183" fontId="0" fillId="6" borderId="1" xfId="0" applyNumberFormat="1" applyFill="1" applyBorder="1" applyAlignment="1">
      <alignment horizontal="center" vertical="center" wrapText="1"/>
    </xf>
    <xf numFmtId="183" fontId="0" fillId="6" borderId="2" xfId="0" applyNumberForma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43" fontId="0" fillId="6" borderId="48" xfId="0" applyNumberFormat="1" applyFill="1" applyBorder="1" applyAlignment="1">
      <alignment vertical="center" wrapText="1"/>
    </xf>
    <xf numFmtId="43" fontId="0" fillId="6" borderId="2" xfId="0" applyNumberFormat="1" applyFill="1" applyBorder="1" applyAlignment="1">
      <alignment vertical="center" wrapText="1"/>
    </xf>
    <xf numFmtId="0" fontId="0" fillId="5" borderId="48" xfId="0" applyFill="1" applyBorder="1" applyAlignment="1">
      <alignment horizontal="center" vertical="center" wrapText="1"/>
    </xf>
    <xf numFmtId="186" fontId="2" fillId="5" borderId="2" xfId="11" applyNumberFormat="1" applyFont="1" applyFill="1" applyBorder="1" applyAlignment="1">
      <alignment horizontal="center" vertical="center"/>
    </xf>
    <xf numFmtId="186" fontId="2" fillId="5" borderId="3" xfId="11" applyNumberFormat="1" applyFont="1" applyFill="1" applyBorder="1" applyAlignment="1">
      <alignment horizontal="center" vertical="center"/>
    </xf>
    <xf numFmtId="186" fontId="2" fillId="5" borderId="8" xfId="11" applyNumberFormat="1" applyFont="1" applyFill="1" applyBorder="1" applyAlignment="1">
      <alignment horizontal="center" vertical="center"/>
    </xf>
    <xf numFmtId="186" fontId="0" fillId="9" borderId="2" xfId="11" applyNumberFormat="1" applyFont="1" applyFill="1" applyBorder="1" applyAlignment="1">
      <alignment horizontal="center" vertical="center"/>
    </xf>
    <xf numFmtId="186" fontId="0" fillId="9" borderId="3" xfId="11" applyNumberFormat="1" applyFont="1" applyFill="1" applyBorder="1" applyAlignment="1">
      <alignment horizontal="center" vertical="center"/>
    </xf>
    <xf numFmtId="186" fontId="0" fillId="9" borderId="8" xfId="11" applyNumberFormat="1" applyFont="1" applyFill="1" applyBorder="1" applyAlignment="1">
      <alignment horizontal="center" vertical="center"/>
    </xf>
    <xf numFmtId="186" fontId="0" fillId="5" borderId="2" xfId="10" applyNumberFormat="1" applyFont="1" applyFill="1" applyBorder="1" applyAlignment="1">
      <alignment horizontal="center" vertical="center"/>
    </xf>
    <xf numFmtId="186" fontId="0" fillId="5" borderId="3" xfId="1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shrinkToFit="1"/>
    </xf>
    <xf numFmtId="182" fontId="0" fillId="6" borderId="48" xfId="0" applyNumberFormat="1" applyFill="1" applyBorder="1" applyAlignment="1">
      <alignment horizontal="center" vertical="center" wrapText="1"/>
    </xf>
    <xf numFmtId="182" fontId="0" fillId="6" borderId="2" xfId="0" applyNumberFormat="1" applyFill="1" applyBorder="1" applyAlignment="1">
      <alignment horizontal="center" vertical="center" wrapText="1"/>
    </xf>
    <xf numFmtId="0" fontId="0" fillId="0" borderId="0" xfId="0" applyAlignment="1">
      <alignment vertical="center" shrinkToFit="1"/>
    </xf>
    <xf numFmtId="0" fontId="0" fillId="6" borderId="67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86" fontId="0" fillId="5" borderId="2" xfId="11" applyNumberFormat="1" applyFont="1" applyFill="1" applyBorder="1" applyAlignment="1">
      <alignment horizontal="center" vertical="center"/>
    </xf>
    <xf numFmtId="186" fontId="0" fillId="5" borderId="3" xfId="11" applyNumberFormat="1" applyFont="1" applyFill="1" applyBorder="1" applyAlignment="1">
      <alignment horizontal="center" vertical="center"/>
    </xf>
    <xf numFmtId="186" fontId="0" fillId="5" borderId="8" xfId="11" applyNumberFormat="1" applyFont="1" applyFill="1" applyBorder="1" applyAlignment="1">
      <alignment horizontal="center" vertical="center"/>
    </xf>
    <xf numFmtId="184" fontId="0" fillId="5" borderId="1" xfId="11" applyNumberFormat="1" applyFont="1" applyFill="1" applyBorder="1" applyAlignment="1">
      <alignment vertical="center"/>
    </xf>
    <xf numFmtId="184" fontId="0" fillId="9" borderId="2" xfId="11" applyNumberFormat="1" applyFont="1" applyFill="1" applyBorder="1" applyAlignment="1">
      <alignment vertical="center"/>
    </xf>
    <xf numFmtId="184" fontId="0" fillId="9" borderId="3" xfId="11" applyNumberFormat="1" applyFont="1" applyFill="1" applyBorder="1" applyAlignment="1">
      <alignment vertical="center"/>
    </xf>
    <xf numFmtId="184" fontId="0" fillId="9" borderId="8" xfId="11" applyNumberFormat="1" applyFont="1" applyFill="1" applyBorder="1" applyAlignment="1">
      <alignment vertical="center"/>
    </xf>
    <xf numFmtId="184" fontId="0" fillId="5" borderId="2" xfId="11" applyNumberFormat="1" applyFont="1" applyFill="1" applyBorder="1" applyAlignment="1">
      <alignment vertical="center"/>
    </xf>
    <xf numFmtId="184" fontId="0" fillId="5" borderId="8" xfId="11" applyNumberFormat="1" applyFont="1" applyFill="1" applyBorder="1" applyAlignment="1">
      <alignment vertical="center"/>
    </xf>
    <xf numFmtId="186" fontId="0" fillId="5" borderId="8" xfId="10" applyNumberFormat="1" applyFont="1" applyFill="1" applyBorder="1" applyAlignment="1">
      <alignment horizontal="center" vertical="center"/>
    </xf>
    <xf numFmtId="184" fontId="0" fillId="5" borderId="3" xfId="11" applyNumberFormat="1" applyFont="1" applyFill="1" applyBorder="1" applyAlignment="1">
      <alignment vertical="center"/>
    </xf>
    <xf numFmtId="187" fontId="0" fillId="5" borderId="2" xfId="11" applyNumberFormat="1" applyFont="1" applyFill="1" applyBorder="1" applyAlignment="1">
      <alignment horizontal="center" vertical="center"/>
    </xf>
    <xf numFmtId="187" fontId="0" fillId="5" borderId="3" xfId="11" applyNumberFormat="1" applyFont="1" applyFill="1" applyBorder="1" applyAlignment="1">
      <alignment horizontal="center" vertical="center"/>
    </xf>
    <xf numFmtId="187" fontId="0" fillId="5" borderId="8" xfId="11" applyNumberFormat="1" applyFont="1" applyFill="1" applyBorder="1" applyAlignment="1">
      <alignment horizontal="center" vertical="center"/>
    </xf>
    <xf numFmtId="187" fontId="0" fillId="5" borderId="1" xfId="11" applyNumberFormat="1" applyFont="1" applyFill="1" applyBorder="1" applyAlignment="1">
      <alignment horizontal="center" vertical="center"/>
    </xf>
    <xf numFmtId="186" fontId="0" fillId="5" borderId="1" xfId="10" applyNumberFormat="1" applyFont="1" applyFill="1" applyBorder="1" applyAlignment="1">
      <alignment horizontal="center" vertical="center"/>
    </xf>
    <xf numFmtId="186" fontId="0" fillId="5" borderId="2" xfId="10" applyNumberFormat="1" applyFont="1" applyFill="1" applyBorder="1" applyAlignment="1">
      <alignment horizontal="right" vertical="center"/>
    </xf>
    <xf numFmtId="186" fontId="0" fillId="5" borderId="3" xfId="10" applyNumberFormat="1" applyFont="1" applyFill="1" applyBorder="1" applyAlignment="1">
      <alignment horizontal="right" vertical="center"/>
    </xf>
    <xf numFmtId="186" fontId="0" fillId="5" borderId="8" xfId="10" applyNumberFormat="1" applyFont="1" applyFill="1" applyBorder="1" applyAlignment="1">
      <alignment horizontal="right" vertical="center"/>
    </xf>
    <xf numFmtId="186" fontId="0" fillId="5" borderId="1" xfId="10" applyNumberFormat="1" applyFont="1" applyFill="1" applyBorder="1" applyAlignment="1">
      <alignment horizontal="left" vertical="center"/>
    </xf>
    <xf numFmtId="43" fontId="0" fillId="5" borderId="8" xfId="0" applyNumberFormat="1" applyFill="1" applyBorder="1" applyAlignment="1">
      <alignment horizontal="center" vertical="center" wrapText="1"/>
    </xf>
    <xf numFmtId="43" fontId="0" fillId="5" borderId="3" xfId="0" applyNumberFormat="1" applyFill="1" applyBorder="1" applyAlignment="1">
      <alignment horizontal="center" vertical="center" wrapText="1"/>
    </xf>
    <xf numFmtId="10" fontId="0" fillId="9" borderId="1" xfId="11" applyNumberFormat="1" applyFont="1" applyFill="1" applyBorder="1" applyAlignment="1">
      <alignment horizontal="center" vertical="center"/>
    </xf>
    <xf numFmtId="186" fontId="2" fillId="9" borderId="2" xfId="11" applyNumberFormat="1" applyFont="1" applyFill="1" applyBorder="1" applyAlignment="1">
      <alignment horizontal="center" vertical="center"/>
    </xf>
    <xf numFmtId="186" fontId="2" fillId="9" borderId="3" xfId="11" applyNumberFormat="1" applyFont="1" applyFill="1" applyBorder="1" applyAlignment="1">
      <alignment horizontal="center" vertical="center"/>
    </xf>
    <xf numFmtId="186" fontId="2" fillId="9" borderId="8" xfId="11" applyNumberFormat="1" applyFont="1" applyFill="1" applyBorder="1" applyAlignment="1">
      <alignment horizontal="center" vertical="center"/>
    </xf>
    <xf numFmtId="186" fontId="2" fillId="9" borderId="1" xfId="11" applyNumberFormat="1" applyFont="1" applyFill="1" applyBorder="1" applyAlignment="1">
      <alignment horizontal="center" vertical="center"/>
    </xf>
    <xf numFmtId="43" fontId="0" fillId="5" borderId="2" xfId="0" applyNumberFormat="1" applyFill="1" applyBorder="1" applyAlignment="1">
      <alignment horizontal="right" vertical="center" wrapText="1"/>
    </xf>
    <xf numFmtId="43" fontId="0" fillId="5" borderId="3" xfId="0" applyNumberFormat="1" applyFill="1" applyBorder="1" applyAlignment="1">
      <alignment horizontal="right" vertical="center" wrapText="1"/>
    </xf>
    <xf numFmtId="43" fontId="0" fillId="5" borderId="8" xfId="0" applyNumberFormat="1" applyFill="1" applyBorder="1" applyAlignment="1">
      <alignment horizontal="right" vertical="center" wrapText="1"/>
    </xf>
    <xf numFmtId="10" fontId="0" fillId="9" borderId="2" xfId="11" applyNumberFormat="1" applyFont="1" applyFill="1" applyBorder="1" applyAlignment="1">
      <alignment horizontal="center" vertical="center"/>
    </xf>
    <xf numFmtId="10" fontId="0" fillId="9" borderId="3" xfId="11" applyNumberFormat="1" applyFont="1" applyFill="1" applyBorder="1" applyAlignment="1">
      <alignment horizontal="center" vertical="center"/>
    </xf>
    <xf numFmtId="10" fontId="0" fillId="9" borderId="8" xfId="11" applyNumberFormat="1" applyFont="1" applyFill="1" applyBorder="1" applyAlignment="1">
      <alignment horizontal="center" vertical="center"/>
    </xf>
    <xf numFmtId="43" fontId="0" fillId="5" borderId="1" xfId="0" applyNumberFormat="1" applyFill="1" applyBorder="1" applyAlignment="1">
      <alignment horizontal="center" vertical="center" wrapText="1"/>
    </xf>
    <xf numFmtId="185" fontId="6" fillId="5" borderId="3" xfId="0" applyNumberFormat="1" applyFont="1" applyFill="1" applyBorder="1" applyAlignment="1">
      <alignment horizontal="center" vertical="center" wrapText="1"/>
    </xf>
    <xf numFmtId="185" fontId="6" fillId="5" borderId="8" xfId="0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43" fontId="0" fillId="9" borderId="2" xfId="0" applyNumberFormat="1" applyFill="1" applyBorder="1" applyAlignment="1">
      <alignment horizontal="center" vertical="center" wrapText="1"/>
    </xf>
    <xf numFmtId="43" fontId="0" fillId="9" borderId="3" xfId="0" applyNumberFormat="1" applyFill="1" applyBorder="1" applyAlignment="1">
      <alignment horizontal="center" vertical="center" wrapText="1"/>
    </xf>
    <xf numFmtId="43" fontId="0" fillId="9" borderId="8" xfId="0" applyNumberForma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185" fontId="0" fillId="5" borderId="1" xfId="0" applyNumberFormat="1" applyFill="1" applyBorder="1" applyAlignment="1">
      <alignment horizontal="center" vertical="center" wrapText="1"/>
    </xf>
    <xf numFmtId="185" fontId="0" fillId="5" borderId="2" xfId="0" applyNumberFormat="1" applyFill="1" applyBorder="1" applyAlignment="1">
      <alignment horizontal="center" vertical="center" wrapText="1"/>
    </xf>
    <xf numFmtId="185" fontId="0" fillId="5" borderId="3" xfId="0" applyNumberFormat="1" applyFill="1" applyBorder="1" applyAlignment="1">
      <alignment horizontal="center" vertical="center" wrapText="1"/>
    </xf>
    <xf numFmtId="185" fontId="0" fillId="5" borderId="8" xfId="0" applyNumberFormat="1" applyFill="1" applyBorder="1" applyAlignment="1">
      <alignment horizontal="center" vertical="center" wrapText="1"/>
    </xf>
    <xf numFmtId="185" fontId="0" fillId="9" borderId="2" xfId="0" applyNumberFormat="1" applyFill="1" applyBorder="1" applyAlignment="1">
      <alignment horizontal="center" vertical="center" wrapText="1"/>
    </xf>
    <xf numFmtId="185" fontId="0" fillId="9" borderId="3" xfId="0" applyNumberFormat="1" applyFill="1" applyBorder="1" applyAlignment="1">
      <alignment horizontal="center" vertical="center" wrapText="1"/>
    </xf>
    <xf numFmtId="185" fontId="0" fillId="9" borderId="8" xfId="0" applyNumberFormat="1" applyFill="1" applyBorder="1" applyAlignment="1">
      <alignment horizontal="center" vertical="center" wrapText="1"/>
    </xf>
    <xf numFmtId="185" fontId="6" fillId="5" borderId="67" xfId="0" applyNumberFormat="1" applyFont="1" applyFill="1" applyBorder="1" applyAlignment="1">
      <alignment horizontal="center" vertical="center" wrapText="1"/>
    </xf>
    <xf numFmtId="43" fontId="0" fillId="5" borderId="1" xfId="0" applyNumberFormat="1" applyFill="1" applyBorder="1" applyAlignment="1">
      <alignment horizontal="left" vertical="center" wrapText="1"/>
    </xf>
    <xf numFmtId="43" fontId="0" fillId="5" borderId="67" xfId="0" applyNumberFormat="1" applyFill="1" applyBorder="1" applyAlignment="1">
      <alignment horizontal="center" vertical="center" wrapText="1"/>
    </xf>
    <xf numFmtId="43" fontId="0" fillId="5" borderId="68" xfId="0" applyNumberFormat="1" applyFill="1" applyBorder="1" applyAlignment="1">
      <alignment horizontal="center" vertical="center" wrapText="1"/>
    </xf>
    <xf numFmtId="43" fontId="0" fillId="5" borderId="47" xfId="0" applyNumberFormat="1" applyFill="1" applyBorder="1" applyAlignment="1">
      <alignment horizontal="center" vertical="center" wrapText="1"/>
    </xf>
    <xf numFmtId="183" fontId="34" fillId="23" borderId="6" xfId="0" applyNumberFormat="1" applyFont="1" applyFill="1" applyBorder="1" applyAlignment="1">
      <alignment horizontal="center" vertical="center" wrapText="1"/>
    </xf>
    <xf numFmtId="183" fontId="34" fillId="23" borderId="5" xfId="0" applyNumberFormat="1" applyFont="1" applyFill="1" applyBorder="1" applyAlignment="1">
      <alignment horizontal="center" vertical="center" wrapText="1"/>
    </xf>
    <xf numFmtId="0" fontId="34" fillId="2" borderId="6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 vertical="center" wrapText="1"/>
    </xf>
    <xf numFmtId="185" fontId="38" fillId="6" borderId="6" xfId="0" applyNumberFormat="1" applyFont="1" applyFill="1" applyBorder="1" applyAlignment="1">
      <alignment horizontal="center" vertical="center" wrapText="1"/>
    </xf>
    <xf numFmtId="0" fontId="35" fillId="9" borderId="0" xfId="0" applyFont="1" applyFill="1" applyAlignment="1">
      <alignment horizontal="center" vertical="center"/>
    </xf>
    <xf numFmtId="0" fontId="34" fillId="6" borderId="6" xfId="0" applyFont="1" applyFill="1" applyBorder="1" applyAlignment="1">
      <alignment horizontal="center" vertical="center"/>
    </xf>
    <xf numFmtId="0" fontId="34" fillId="6" borderId="5" xfId="0" applyFont="1" applyFill="1" applyBorder="1" applyAlignment="1">
      <alignment horizontal="center" vertical="center"/>
    </xf>
    <xf numFmtId="0" fontId="34" fillId="6" borderId="6" xfId="0" applyFont="1" applyFill="1" applyBorder="1" applyAlignment="1">
      <alignment horizontal="center" vertical="center" wrapText="1"/>
    </xf>
    <xf numFmtId="0" fontId="34" fillId="16" borderId="5" xfId="0" applyFont="1" applyFill="1" applyBorder="1" applyAlignment="1">
      <alignment horizontal="center" vertical="center" wrapText="1"/>
    </xf>
    <xf numFmtId="0" fontId="34" fillId="16" borderId="6" xfId="0" applyFont="1" applyFill="1" applyBorder="1" applyAlignment="1">
      <alignment horizontal="center" vertical="center" wrapText="1"/>
    </xf>
    <xf numFmtId="0" fontId="34" fillId="12" borderId="6" xfId="0" applyFont="1" applyFill="1" applyBorder="1" applyAlignment="1">
      <alignment horizontal="center" vertical="center" wrapText="1"/>
    </xf>
    <xf numFmtId="0" fontId="34" fillId="12" borderId="5" xfId="0" applyFont="1" applyFill="1" applyBorder="1" applyAlignment="1">
      <alignment horizontal="center" vertical="center" wrapText="1"/>
    </xf>
    <xf numFmtId="0" fontId="34" fillId="12" borderId="17" xfId="0" applyFont="1" applyFill="1" applyBorder="1" applyAlignment="1">
      <alignment horizontal="center" vertical="center" wrapText="1"/>
    </xf>
    <xf numFmtId="0" fontId="34" fillId="12" borderId="24" xfId="0" applyFont="1" applyFill="1" applyBorder="1" applyAlignment="1">
      <alignment horizontal="center" vertical="center" wrapText="1"/>
    </xf>
    <xf numFmtId="180" fontId="34" fillId="6" borderId="6" xfId="0" applyNumberFormat="1" applyFont="1" applyFill="1" applyBorder="1" applyAlignment="1">
      <alignment horizontal="center" vertical="center" wrapText="1"/>
    </xf>
    <xf numFmtId="180" fontId="34" fillId="6" borderId="5" xfId="0" applyNumberFormat="1" applyFont="1" applyFill="1" applyBorder="1" applyAlignment="1">
      <alignment horizontal="center" vertical="center" wrapText="1"/>
    </xf>
    <xf numFmtId="183" fontId="34" fillId="25" borderId="6" xfId="0" applyNumberFormat="1" applyFont="1" applyFill="1" applyBorder="1" applyAlignment="1">
      <alignment horizontal="center" vertical="center" wrapText="1"/>
    </xf>
    <xf numFmtId="183" fontId="34" fillId="25" borderId="5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0" fillId="8" borderId="6" xfId="0" applyFill="1" applyBorder="1" applyAlignment="1">
      <alignment horizontal="center" vertical="center" wrapText="1"/>
    </xf>
    <xf numFmtId="185" fontId="4" fillId="6" borderId="6" xfId="0" applyNumberFormat="1" applyFont="1" applyFill="1" applyBorder="1" applyAlignment="1">
      <alignment horizontal="center" vertical="center" wrapText="1"/>
    </xf>
    <xf numFmtId="183" fontId="0" fillId="2" borderId="6" xfId="0" applyNumberFormat="1" applyFill="1" applyBorder="1" applyAlignment="1">
      <alignment horizontal="center" vertical="center" wrapText="1"/>
    </xf>
    <xf numFmtId="183" fontId="0" fillId="2" borderId="5" xfId="0" applyNumberFormat="1" applyFill="1" applyBorder="1" applyAlignment="1">
      <alignment horizontal="center" vertical="center" wrapText="1"/>
    </xf>
    <xf numFmtId="0" fontId="0" fillId="12" borderId="17" xfId="0" applyFill="1" applyBorder="1" applyAlignment="1">
      <alignment horizontal="center" vertical="center" wrapText="1"/>
    </xf>
    <xf numFmtId="183" fontId="0" fillId="6" borderId="6" xfId="0" applyNumberFormat="1" applyFill="1" applyBorder="1" applyAlignment="1">
      <alignment horizontal="center" vertical="center" wrapText="1"/>
    </xf>
    <xf numFmtId="183" fontId="0" fillId="6" borderId="5" xfId="0" applyNumberFormat="1" applyFill="1" applyBorder="1" applyAlignment="1">
      <alignment horizontal="center" vertical="center" wrapText="1"/>
    </xf>
    <xf numFmtId="0" fontId="0" fillId="12" borderId="24" xfId="0" applyFill="1" applyBorder="1" applyAlignment="1">
      <alignment horizontal="center" vertical="center" wrapText="1"/>
    </xf>
    <xf numFmtId="180" fontId="0" fillId="6" borderId="6" xfId="0" applyNumberFormat="1" applyFill="1" applyBorder="1" applyAlignment="1">
      <alignment horizontal="center" vertical="center" wrapText="1"/>
    </xf>
    <xf numFmtId="180" fontId="0" fillId="6" borderId="5" xfId="0" applyNumberForma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0" fontId="0" fillId="6" borderId="6" xfId="0" applyFill="1" applyBorder="1" applyAlignment="1">
      <alignment vertical="center" wrapText="1"/>
    </xf>
    <xf numFmtId="0" fontId="0" fillId="6" borderId="5" xfId="0" applyFill="1" applyBorder="1" applyAlignment="1">
      <alignment vertic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4" fillId="16" borderId="69" xfId="0" applyFont="1" applyFill="1" applyBorder="1" applyAlignment="1" applyProtection="1">
      <alignment horizontal="center" vertical="center"/>
      <protection locked="0"/>
    </xf>
    <xf numFmtId="0" fontId="34" fillId="16" borderId="70" xfId="0" applyFont="1" applyFill="1" applyBorder="1" applyAlignment="1" applyProtection="1">
      <alignment horizontal="center" vertical="center"/>
      <protection locked="0"/>
    </xf>
    <xf numFmtId="0" fontId="34" fillId="16" borderId="67" xfId="0" applyFont="1" applyFill="1" applyBorder="1" applyAlignment="1" applyProtection="1">
      <alignment horizontal="center" vertical="center"/>
      <protection locked="0"/>
    </xf>
    <xf numFmtId="0" fontId="34" fillId="16" borderId="3" xfId="0" applyFont="1" applyFill="1" applyBorder="1" applyAlignment="1" applyProtection="1">
      <alignment horizontal="center" vertical="center"/>
      <protection locked="0"/>
    </xf>
    <xf numFmtId="0" fontId="34" fillId="16" borderId="67" xfId="0" applyFont="1" applyFill="1" applyBorder="1" applyAlignment="1" applyProtection="1">
      <alignment horizontal="center" vertical="center" wrapText="1"/>
      <protection locked="0"/>
    </xf>
    <xf numFmtId="0" fontId="34" fillId="16" borderId="3" xfId="0" applyFont="1" applyFill="1" applyBorder="1" applyAlignment="1" applyProtection="1">
      <alignment horizontal="center" vertical="center" wrapText="1"/>
      <protection locked="0"/>
    </xf>
    <xf numFmtId="182" fontId="34" fillId="16" borderId="67" xfId="0" applyNumberFormat="1" applyFont="1" applyFill="1" applyBorder="1" applyAlignment="1" applyProtection="1">
      <alignment horizontal="center" vertical="center" wrapText="1"/>
      <protection locked="0"/>
    </xf>
    <xf numFmtId="182" fontId="34" fillId="16" borderId="3" xfId="0" applyNumberFormat="1" applyFont="1" applyFill="1" applyBorder="1" applyAlignment="1" applyProtection="1">
      <alignment horizontal="center" vertical="center" wrapText="1"/>
      <protection locked="0"/>
    </xf>
    <xf numFmtId="0" fontId="34" fillId="16" borderId="67" xfId="0" applyFont="1" applyFill="1" applyBorder="1" applyAlignment="1" applyProtection="1">
      <alignment horizontal="center" vertical="center" shrinkToFit="1"/>
      <protection locked="0"/>
    </xf>
    <xf numFmtId="0" fontId="34" fillId="16" borderId="3" xfId="0" applyFont="1" applyFill="1" applyBorder="1" applyAlignment="1" applyProtection="1">
      <alignment horizontal="center" vertical="center" shrinkToFit="1"/>
      <protection locked="0"/>
    </xf>
    <xf numFmtId="185" fontId="34" fillId="16" borderId="67" xfId="0" applyNumberFormat="1" applyFont="1" applyFill="1" applyBorder="1" applyAlignment="1" applyProtection="1">
      <alignment horizontal="center" vertical="center" wrapText="1"/>
      <protection locked="0"/>
    </xf>
    <xf numFmtId="185" fontId="34" fillId="16" borderId="3" xfId="0" applyNumberFormat="1" applyFont="1" applyFill="1" applyBorder="1" applyAlignment="1" applyProtection="1">
      <alignment horizontal="center" vertical="center" wrapText="1"/>
      <protection locked="0"/>
    </xf>
    <xf numFmtId="184" fontId="34" fillId="16" borderId="67" xfId="0" applyNumberFormat="1" applyFont="1" applyFill="1" applyBorder="1" applyAlignment="1" applyProtection="1">
      <alignment horizontal="center" vertical="center" wrapText="1"/>
      <protection locked="0"/>
    </xf>
    <xf numFmtId="184" fontId="34" fillId="16" borderId="3" xfId="0" applyNumberFormat="1" applyFont="1" applyFill="1" applyBorder="1" applyAlignment="1" applyProtection="1">
      <alignment horizontal="center" vertical="center" wrapText="1"/>
      <protection locked="0"/>
    </xf>
    <xf numFmtId="0" fontId="34" fillId="16" borderId="8" xfId="0" applyFont="1" applyFill="1" applyBorder="1" applyAlignment="1" applyProtection="1">
      <alignment horizontal="center" vertical="center" shrinkToFit="1"/>
      <protection locked="0"/>
    </xf>
    <xf numFmtId="0" fontId="34" fillId="16" borderId="8" xfId="0" applyFont="1" applyFill="1" applyBorder="1" applyAlignment="1" applyProtection="1">
      <alignment horizontal="center" vertical="center" wrapText="1"/>
      <protection locked="0"/>
    </xf>
    <xf numFmtId="43" fontId="34" fillId="5" borderId="50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14" xfId="0" applyNumberFormat="1" applyFont="1" applyFill="1" applyBorder="1" applyAlignment="1" applyProtection="1">
      <alignment horizontal="center" vertical="center" wrapText="1"/>
      <protection locked="0"/>
    </xf>
    <xf numFmtId="3" fontId="34" fillId="16" borderId="75" xfId="0" applyNumberFormat="1" applyFont="1" applyFill="1" applyBorder="1" applyAlignment="1">
      <alignment horizontal="center" vertical="center" wrapText="1"/>
    </xf>
    <xf numFmtId="3" fontId="34" fillId="16" borderId="76" xfId="0" applyNumberFormat="1" applyFont="1" applyFill="1" applyBorder="1" applyAlignment="1">
      <alignment horizontal="center" vertical="center" wrapText="1"/>
    </xf>
    <xf numFmtId="0" fontId="34" fillId="25" borderId="67" xfId="0" applyFont="1" applyFill="1" applyBorder="1" applyAlignment="1">
      <alignment horizontal="center" vertical="center" wrapText="1"/>
    </xf>
    <xf numFmtId="0" fontId="34" fillId="25" borderId="3" xfId="0" applyFont="1" applyFill="1" applyBorder="1" applyAlignment="1">
      <alignment horizontal="center" vertical="center" wrapText="1"/>
    </xf>
    <xf numFmtId="10" fontId="34" fillId="25" borderId="67" xfId="0" applyNumberFormat="1" applyFont="1" applyFill="1" applyBorder="1" applyAlignment="1">
      <alignment horizontal="center" vertical="center" wrapText="1"/>
    </xf>
    <xf numFmtId="10" fontId="34" fillId="25" borderId="3" xfId="0" applyNumberFormat="1" applyFont="1" applyFill="1" applyBorder="1" applyAlignment="1">
      <alignment horizontal="center" vertical="center" wrapText="1"/>
    </xf>
    <xf numFmtId="10" fontId="34" fillId="25" borderId="8" xfId="0" applyNumberFormat="1" applyFont="1" applyFill="1" applyBorder="1" applyAlignment="1">
      <alignment horizontal="center" vertical="center" wrapText="1"/>
    </xf>
    <xf numFmtId="43" fontId="34" fillId="16" borderId="67" xfId="0" applyNumberFormat="1" applyFont="1" applyFill="1" applyBorder="1" applyAlignment="1">
      <alignment horizontal="center" vertical="center" wrapText="1"/>
    </xf>
    <xf numFmtId="43" fontId="34" fillId="16" borderId="8" xfId="0" applyNumberFormat="1" applyFont="1" applyFill="1" applyBorder="1" applyAlignment="1">
      <alignment horizontal="center" vertical="center" wrapText="1"/>
    </xf>
    <xf numFmtId="43" fontId="34" fillId="16" borderId="3" xfId="0" applyNumberFormat="1" applyFont="1" applyFill="1" applyBorder="1" applyAlignment="1">
      <alignment horizontal="center" vertical="center" wrapText="1"/>
    </xf>
    <xf numFmtId="184" fontId="34" fillId="16" borderId="67" xfId="0" applyNumberFormat="1" applyFont="1" applyFill="1" applyBorder="1" applyAlignment="1">
      <alignment horizontal="center" vertical="center" wrapText="1"/>
    </xf>
    <xf numFmtId="184" fontId="34" fillId="16" borderId="3" xfId="0" applyNumberFormat="1" applyFont="1" applyFill="1" applyBorder="1" applyAlignment="1">
      <alignment horizontal="center" vertical="center" wrapText="1"/>
    </xf>
    <xf numFmtId="0" fontId="34" fillId="23" borderId="67" xfId="0" applyFont="1" applyFill="1" applyBorder="1" applyAlignment="1">
      <alignment horizontal="center" vertical="center" wrapText="1"/>
    </xf>
    <xf numFmtId="0" fontId="34" fillId="23" borderId="3" xfId="0" applyFont="1" applyFill="1" applyBorder="1" applyAlignment="1">
      <alignment horizontal="center" vertical="center" wrapText="1"/>
    </xf>
    <xf numFmtId="0" fontId="34" fillId="25" borderId="67" xfId="0" applyFont="1" applyFill="1" applyBorder="1" applyAlignment="1" applyProtection="1">
      <alignment horizontal="center" vertical="center" wrapText="1"/>
      <protection locked="0"/>
    </xf>
    <xf numFmtId="0" fontId="34" fillId="25" borderId="8" xfId="0" applyFont="1" applyFill="1" applyBorder="1" applyAlignment="1" applyProtection="1">
      <alignment horizontal="center" vertical="center" wrapText="1"/>
      <protection locked="0"/>
    </xf>
    <xf numFmtId="0" fontId="34" fillId="16" borderId="67" xfId="0" applyFont="1" applyFill="1" applyBorder="1" applyAlignment="1">
      <alignment horizontal="center" vertical="center" wrapText="1"/>
    </xf>
    <xf numFmtId="0" fontId="34" fillId="16" borderId="3" xfId="0" applyFont="1" applyFill="1" applyBorder="1" applyAlignment="1">
      <alignment horizontal="center" vertical="center" wrapText="1"/>
    </xf>
    <xf numFmtId="43" fontId="34" fillId="16" borderId="68" xfId="0" applyNumberFormat="1" applyFont="1" applyFill="1" applyBorder="1" applyAlignment="1" applyProtection="1">
      <alignment horizontal="center" vertical="center" wrapText="1"/>
      <protection locked="0"/>
    </xf>
    <xf numFmtId="43" fontId="34" fillId="16" borderId="47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48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2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71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77" xfId="0" applyNumberFormat="1" applyFont="1" applyFill="1" applyBorder="1" applyAlignment="1" applyProtection="1">
      <alignment horizontal="center" vertical="center" wrapText="1"/>
      <protection locked="0"/>
    </xf>
    <xf numFmtId="43" fontId="57" fillId="16" borderId="67" xfId="0" applyNumberFormat="1" applyFont="1" applyFill="1" applyBorder="1" applyAlignment="1">
      <alignment horizontal="center" vertical="center" wrapText="1"/>
    </xf>
    <xf numFmtId="43" fontId="34" fillId="5" borderId="67" xfId="0" applyNumberFormat="1" applyFont="1" applyFill="1" applyBorder="1" applyAlignment="1" applyProtection="1">
      <alignment horizontal="center" vertical="center" wrapText="1"/>
      <protection locked="0"/>
    </xf>
    <xf numFmtId="43" fontId="34" fillId="5" borderId="8" xfId="0" applyNumberFormat="1" applyFont="1" applyFill="1" applyBorder="1" applyAlignment="1" applyProtection="1">
      <alignment horizontal="center" vertical="center" wrapText="1"/>
      <protection locked="0"/>
    </xf>
    <xf numFmtId="0" fontId="34" fillId="23" borderId="8" xfId="0" applyFont="1" applyFill="1" applyBorder="1" applyAlignment="1">
      <alignment horizontal="center" vertical="center" wrapText="1"/>
    </xf>
    <xf numFmtId="184" fontId="34" fillId="16" borderId="8" xfId="0" applyNumberFormat="1" applyFont="1" applyFill="1" applyBorder="1" applyAlignment="1" applyProtection="1">
      <alignment horizontal="center" vertical="center" wrapText="1"/>
      <protection locked="0"/>
    </xf>
    <xf numFmtId="0" fontId="34" fillId="16" borderId="8" xfId="0" applyFont="1" applyFill="1" applyBorder="1" applyAlignment="1">
      <alignment horizontal="center" vertical="center" wrapText="1"/>
    </xf>
    <xf numFmtId="0" fontId="34" fillId="26" borderId="67" xfId="0" applyFont="1" applyFill="1" applyBorder="1" applyAlignment="1" applyProtection="1">
      <alignment horizontal="center" vertical="center" shrinkToFit="1"/>
      <protection locked="0"/>
    </xf>
    <xf numFmtId="0" fontId="34" fillId="26" borderId="8" xfId="0" applyFont="1" applyFill="1" applyBorder="1" applyAlignment="1" applyProtection="1">
      <alignment horizontal="center" vertical="center" shrinkToFit="1"/>
      <protection locked="0"/>
    </xf>
    <xf numFmtId="0" fontId="34" fillId="26" borderId="67" xfId="0" applyFont="1" applyFill="1" applyBorder="1" applyAlignment="1" applyProtection="1">
      <alignment horizontal="center" vertical="center" wrapText="1" shrinkToFit="1"/>
      <protection locked="0"/>
    </xf>
    <xf numFmtId="0" fontId="34" fillId="26" borderId="8" xfId="0" applyFont="1" applyFill="1" applyBorder="1" applyAlignment="1" applyProtection="1">
      <alignment horizontal="center" vertical="center" wrapText="1" shrinkToFit="1"/>
      <protection locked="0"/>
    </xf>
    <xf numFmtId="0" fontId="34" fillId="23" borderId="67" xfId="0" applyFont="1" applyFill="1" applyBorder="1" applyAlignment="1" applyProtection="1">
      <alignment horizontal="center" vertical="center" wrapText="1"/>
      <protection locked="0"/>
    </xf>
    <xf numFmtId="0" fontId="34" fillId="23" borderId="8" xfId="0" applyFont="1" applyFill="1" applyBorder="1" applyAlignment="1" applyProtection="1">
      <alignment horizontal="center" vertical="center" wrapText="1"/>
      <protection locked="0"/>
    </xf>
    <xf numFmtId="0" fontId="34" fillId="25" borderId="8" xfId="0" applyFont="1" applyFill="1" applyBorder="1" applyAlignment="1">
      <alignment horizontal="center" vertical="center" wrapText="1"/>
    </xf>
    <xf numFmtId="0" fontId="34" fillId="16" borderId="74" xfId="0" applyFont="1" applyFill="1" applyBorder="1" applyAlignment="1" applyProtection="1">
      <alignment horizontal="center" vertical="center"/>
      <protection locked="0"/>
    </xf>
    <xf numFmtId="0" fontId="34" fillId="16" borderId="8" xfId="0" applyFont="1" applyFill="1" applyBorder="1" applyAlignment="1" applyProtection="1">
      <alignment horizontal="center" vertical="center"/>
      <protection locked="0"/>
    </xf>
    <xf numFmtId="182" fontId="34" fillId="16" borderId="8" xfId="0" applyNumberFormat="1" applyFont="1" applyFill="1" applyBorder="1" applyAlignment="1" applyProtection="1">
      <alignment horizontal="center" vertical="center" wrapText="1"/>
      <protection locked="0"/>
    </xf>
    <xf numFmtId="0" fontId="35" fillId="0" borderId="4" xfId="0" applyFont="1" applyBorder="1" applyAlignment="1" applyProtection="1">
      <alignment horizontal="center" vertical="center"/>
      <protection locked="0"/>
    </xf>
    <xf numFmtId="43" fontId="34" fillId="16" borderId="67" xfId="0" applyNumberFormat="1" applyFont="1" applyFill="1" applyBorder="1" applyAlignment="1" applyProtection="1">
      <alignment horizontal="center" vertical="center" wrapText="1"/>
      <protection locked="0"/>
    </xf>
    <xf numFmtId="43" fontId="34" fillId="16" borderId="8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Alignment="1" applyProtection="1">
      <alignment horizontal="center" vertical="center" wrapText="1" shrinkToFit="1"/>
      <protection locked="0"/>
    </xf>
    <xf numFmtId="0" fontId="34" fillId="0" borderId="1" xfId="0" applyFont="1" applyBorder="1" applyAlignment="1" applyProtection="1">
      <alignment horizontal="center" vertical="center" wrapText="1" shrinkToFit="1"/>
      <protection locked="0"/>
    </xf>
    <xf numFmtId="0" fontId="0" fillId="7" borderId="1" xfId="0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4" borderId="1" xfId="0" applyFill="1" applyBorder="1"/>
    <xf numFmtId="0" fontId="0" fillId="4" borderId="18" xfId="0" applyFill="1" applyBorder="1" applyAlignment="1">
      <alignment horizontal="left"/>
    </xf>
    <xf numFmtId="0" fontId="0" fillId="4" borderId="17" xfId="0" applyFill="1" applyBorder="1" applyAlignment="1">
      <alignment horizontal="left"/>
    </xf>
    <xf numFmtId="0" fontId="2" fillId="9" borderId="11" xfId="0" applyFont="1" applyFill="1" applyBorder="1" applyAlignment="1">
      <alignment horizontal="center" vertical="center"/>
    </xf>
  </cellXfs>
  <cellStyles count="39">
    <cellStyle name="一般" xfId="0" builtinId="0"/>
    <cellStyle name="一般 2" xfId="1" xr:uid="{00000000-0005-0000-0000-000001000000}"/>
    <cellStyle name="一般 3" xfId="2" xr:uid="{00000000-0005-0000-0000-000002000000}"/>
    <cellStyle name="一般 3 2" xfId="3" xr:uid="{00000000-0005-0000-0000-000003000000}"/>
    <cellStyle name="一般 4" xfId="4" xr:uid="{00000000-0005-0000-0000-000004000000}"/>
    <cellStyle name="一般 5" xfId="5" xr:uid="{00000000-0005-0000-0000-000005000000}"/>
    <cellStyle name="一般 5 2" xfId="6" xr:uid="{00000000-0005-0000-0000-000006000000}"/>
    <cellStyle name="一般 6" xfId="7" xr:uid="{00000000-0005-0000-0000-000007000000}"/>
    <cellStyle name="一般 7" xfId="8" xr:uid="{00000000-0005-0000-0000-000008000000}"/>
    <cellStyle name="一般_工作表1" xfId="9" xr:uid="{00000000-0005-0000-0000-000009000000}"/>
    <cellStyle name="千分位" xfId="10" builtinId="3"/>
    <cellStyle name="千分位 2" xfId="11" xr:uid="{00000000-0005-0000-0000-00000B000000}"/>
    <cellStyle name="千分位 2 2" xfId="12" xr:uid="{00000000-0005-0000-0000-00000C000000}"/>
    <cellStyle name="千分位 2 2 2" xfId="13" xr:uid="{00000000-0005-0000-0000-00000D000000}"/>
    <cellStyle name="千分位 2 2 2 2" xfId="14" xr:uid="{00000000-0005-0000-0000-00000E000000}"/>
    <cellStyle name="千分位 2 2 3" xfId="15" xr:uid="{00000000-0005-0000-0000-00000F000000}"/>
    <cellStyle name="千分位 2 3" xfId="16" xr:uid="{00000000-0005-0000-0000-000010000000}"/>
    <cellStyle name="千分位 2 3 2" xfId="17" xr:uid="{00000000-0005-0000-0000-000011000000}"/>
    <cellStyle name="千分位 2 4" xfId="18" xr:uid="{00000000-0005-0000-0000-000012000000}"/>
    <cellStyle name="千分位 3" xfId="19" xr:uid="{00000000-0005-0000-0000-000013000000}"/>
    <cellStyle name="千分位 3 2" xfId="20" xr:uid="{00000000-0005-0000-0000-000014000000}"/>
    <cellStyle name="千分位 3 2 2" xfId="21" xr:uid="{00000000-0005-0000-0000-000015000000}"/>
    <cellStyle name="千分位 3 3" xfId="22" xr:uid="{00000000-0005-0000-0000-000016000000}"/>
    <cellStyle name="千分位 4" xfId="23" xr:uid="{00000000-0005-0000-0000-000017000000}"/>
    <cellStyle name="千分位 4 2" xfId="24" xr:uid="{00000000-0005-0000-0000-000018000000}"/>
    <cellStyle name="千分位 5" xfId="25" xr:uid="{00000000-0005-0000-0000-000019000000}"/>
    <cellStyle name="千分位 6" xfId="26" xr:uid="{00000000-0005-0000-0000-00001A000000}"/>
    <cellStyle name="千分位 7" xfId="27" xr:uid="{00000000-0005-0000-0000-00001B000000}"/>
    <cellStyle name="好_杯蓋機 1" xfId="28" xr:uid="{00000000-0005-0000-0000-00001C000000}"/>
    <cellStyle name="百分比" xfId="29" builtinId="5"/>
    <cellStyle name="貨幣" xfId="30" builtinId="4"/>
    <cellStyle name="貨幣 2" xfId="31" xr:uid="{00000000-0005-0000-0000-00001F000000}"/>
    <cellStyle name="貨幣 2 2" xfId="32" xr:uid="{00000000-0005-0000-0000-000020000000}"/>
    <cellStyle name="貨幣 2 2 2" xfId="33" xr:uid="{00000000-0005-0000-0000-000021000000}"/>
    <cellStyle name="貨幣 2 3" xfId="34" xr:uid="{00000000-0005-0000-0000-000022000000}"/>
    <cellStyle name="貨幣 3" xfId="35" xr:uid="{00000000-0005-0000-0000-000023000000}"/>
    <cellStyle name="貨幣 3 2" xfId="36" xr:uid="{00000000-0005-0000-0000-000024000000}"/>
    <cellStyle name="貨幣 4" xfId="37" xr:uid="{00000000-0005-0000-0000-000025000000}"/>
    <cellStyle name="壞_杯蓋機 1" xfId="38" xr:uid="{00000000-0005-0000-0000-000026000000}"/>
  </cellStyles>
  <dxfs count="894"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numFmt numFmtId="195" formatCode=";;;"/>
    </dxf>
    <dxf>
      <numFmt numFmtId="195" formatCode=";;;"/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ill>
        <patternFill>
          <bgColor rgb="FFA3CAFF"/>
        </patternFill>
      </fill>
    </dxf>
    <dxf>
      <fill>
        <patternFill>
          <bgColor rgb="FFA3CA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5" formatCode=";;;"/>
    </dxf>
    <dxf>
      <font>
        <color rgb="FF9C5700"/>
      </font>
      <fill>
        <patternFill>
          <bgColor rgb="FFFFEB9C"/>
        </patternFill>
      </fill>
    </dxf>
    <dxf>
      <numFmt numFmtId="195" formatCode=";;;"/>
    </dxf>
    <dxf>
      <numFmt numFmtId="19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5" formatCode=";;;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223\Dayyoungcup\Users\edwin\Desktop\&#21508;&#37096;&#38272;&#22577;&#34920;\&#25104;&#22411;&#22739;&#26495;\1&#24503;&#26264;&#29983;&#29986;&#26085;&#22577;&#34920;-2022-3&#26376;(allen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簡報8-1"/>
      <sheetName val="簡報9-2"/>
      <sheetName val="簡報9-3"/>
      <sheetName val="簡報9-4"/>
      <sheetName val="簡報9-5"/>
      <sheetName val="簡報9-6"/>
      <sheetName val="簡報9-7"/>
      <sheetName val="簡報8-8"/>
      <sheetName val="簡報9-9"/>
      <sheetName val="簡報9-10"/>
      <sheetName val="簡報9-11"/>
      <sheetName val="簡報9-12"/>
      <sheetName val="簡報9-13"/>
      <sheetName val="簡報9-14"/>
      <sheetName val="簡報8-15"/>
      <sheetName val="簡報9-16"/>
      <sheetName val="簡報9-17"/>
      <sheetName val="簡報9-18"/>
      <sheetName val="簡報8-19"/>
      <sheetName val="簡報9-20"/>
      <sheetName val="簡報8-21"/>
      <sheetName val="簡報8-22"/>
      <sheetName val="簡報8-24"/>
      <sheetName val="簡報7-25"/>
      <sheetName val="簡報8-26"/>
      <sheetName val="簡報8-27"/>
      <sheetName val="簡報8-28"/>
      <sheetName val="簡報8-29"/>
      <sheetName val="簡報8-30"/>
      <sheetName val="簡報8-31"/>
      <sheetName val="0301"/>
      <sheetName val="0302"/>
      <sheetName val="0303"/>
      <sheetName val="0304"/>
      <sheetName val="0305"/>
      <sheetName val="0306"/>
      <sheetName val="0307"/>
      <sheetName val="0308"/>
      <sheetName val="0309"/>
      <sheetName val="0310"/>
      <sheetName val="0311"/>
      <sheetName val="0312"/>
      <sheetName val="0313"/>
      <sheetName val="0314"/>
      <sheetName val="0315"/>
      <sheetName val="0316"/>
      <sheetName val="0317"/>
      <sheetName val="0318"/>
      <sheetName val="0319"/>
      <sheetName val="0320"/>
      <sheetName val="0321"/>
      <sheetName val="0322"/>
      <sheetName val="0323"/>
      <sheetName val="0324"/>
      <sheetName val="0325"/>
      <sheetName val="0326"/>
      <sheetName val="0327"/>
      <sheetName val="0328"/>
      <sheetName val="0329"/>
      <sheetName val="0330"/>
      <sheetName val="0331"/>
      <sheetName val="總表"/>
      <sheetName val="杯蓋機201"/>
      <sheetName val="101"/>
      <sheetName val="102"/>
      <sheetName val="103"/>
      <sheetName val="104"/>
      <sheetName val="105"/>
      <sheetName val="106"/>
      <sheetName val="107"/>
      <sheetName val="501押"/>
      <sheetName val="202"/>
      <sheetName val="203"/>
      <sheetName val="204"/>
      <sheetName val="205"/>
      <sheetName val="206"/>
      <sheetName val="207"/>
      <sheetName val="208"/>
      <sheetName val="209"/>
      <sheetName val="210"/>
      <sheetName val="211"/>
      <sheetName val="301"/>
      <sheetName val="302"/>
      <sheetName val="303"/>
      <sheetName val="304"/>
      <sheetName val="305"/>
      <sheetName val="306"/>
      <sheetName val="501"/>
      <sheetName val="502"/>
      <sheetName val="印401"/>
      <sheetName val="印402"/>
      <sheetName val="印403"/>
      <sheetName val="吸管1"/>
      <sheetName val="2月份產值總表"/>
      <sheetName val="2月成型機良率統計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>
        <row r="10">
          <cell r="N10">
            <v>0</v>
          </cell>
        </row>
      </sheetData>
      <sheetData sheetId="72" refreshError="1">
        <row r="8">
          <cell r="N8">
            <v>0</v>
          </cell>
        </row>
      </sheetData>
      <sheetData sheetId="73" refreshError="1">
        <row r="82">
          <cell r="N82">
            <v>1541580</v>
          </cell>
        </row>
      </sheetData>
      <sheetData sheetId="74" refreshError="1">
        <row r="81">
          <cell r="K81" t="str">
            <v>PET-75平蓋-共用箱</v>
          </cell>
        </row>
        <row r="85">
          <cell r="N85">
            <v>742350</v>
          </cell>
        </row>
      </sheetData>
      <sheetData sheetId="75" refreshError="1">
        <row r="63">
          <cell r="N63">
            <v>1378105</v>
          </cell>
        </row>
      </sheetData>
      <sheetData sheetId="76" refreshError="1">
        <row r="71">
          <cell r="K71" t="str">
            <v>PET-98平蓋-U LINE箱</v>
          </cell>
        </row>
        <row r="74">
          <cell r="N74">
            <v>1883100</v>
          </cell>
        </row>
      </sheetData>
      <sheetData sheetId="77" refreshError="1">
        <row r="68">
          <cell r="K68" t="str">
            <v>咖啡杯蓋-PP90-白+516W箱</v>
          </cell>
        </row>
        <row r="72">
          <cell r="N72">
            <v>2870280</v>
          </cell>
        </row>
      </sheetData>
      <sheetData sheetId="78" refreshError="1">
        <row r="61">
          <cell r="K61" t="str">
            <v>PET-PL200-2oz平蓋-Karat</v>
          </cell>
        </row>
        <row r="65">
          <cell r="N65">
            <v>955250</v>
          </cell>
        </row>
      </sheetData>
      <sheetData sheetId="79" refreshError="1">
        <row r="75">
          <cell r="K75" t="str">
            <v>湯杯蓋-PP520-公版箱</v>
          </cell>
        </row>
        <row r="79">
          <cell r="N79">
            <v>4485716</v>
          </cell>
        </row>
      </sheetData>
      <sheetData sheetId="80" refreshError="1">
        <row r="32">
          <cell r="K32" t="str">
            <v>湯杯蓋-PP390-空白箱+BTH麥頭</v>
          </cell>
        </row>
        <row r="35">
          <cell r="K35" t="str">
            <v>湯杯蓋-PP390-公版箱</v>
          </cell>
        </row>
        <row r="38">
          <cell r="N38">
            <v>409640</v>
          </cell>
        </row>
      </sheetData>
      <sheetData sheetId="81" refreshError="1">
        <row r="54">
          <cell r="K54" t="str">
            <v>杯飲-PET-107-32-空白箱</v>
          </cell>
        </row>
        <row r="60">
          <cell r="N60">
            <v>1730355</v>
          </cell>
        </row>
      </sheetData>
      <sheetData sheetId="82" refreshError="1">
        <row r="88">
          <cell r="K88" t="str">
            <v>杯飲-PP-Deli-117-8oz-KARAT箱</v>
          </cell>
        </row>
        <row r="92">
          <cell r="N92">
            <v>2009000</v>
          </cell>
        </row>
      </sheetData>
      <sheetData sheetId="83" refreshError="1">
        <row r="85">
          <cell r="K85" t="str">
            <v>杯飲-PP-Q500-梅花杯-空白箱+未裝袋</v>
          </cell>
        </row>
        <row r="89">
          <cell r="N89">
            <v>2477120</v>
          </cell>
        </row>
      </sheetData>
      <sheetData sheetId="84" refreshError="1">
        <row r="33">
          <cell r="N33">
            <v>441900</v>
          </cell>
        </row>
      </sheetData>
      <sheetData sheetId="85" refreshError="1">
        <row r="80">
          <cell r="N80">
            <v>2808000</v>
          </cell>
        </row>
      </sheetData>
      <sheetData sheetId="86" refreshError="1">
        <row r="57">
          <cell r="K57" t="str">
            <v>杯飲-PP-1.5oz-醬料杯-透-Karat</v>
          </cell>
        </row>
        <row r="63">
          <cell r="N63">
            <v>523800</v>
          </cell>
        </row>
      </sheetData>
      <sheetData sheetId="87" refreshError="1">
        <row r="108">
          <cell r="K108" t="str">
            <v>杯飲-PET-92-12oz-WINSIGHT箱</v>
          </cell>
        </row>
        <row r="114">
          <cell r="N114">
            <v>16835416</v>
          </cell>
        </row>
      </sheetData>
      <sheetData sheetId="88" refreshError="1">
        <row r="102">
          <cell r="K102" t="str">
            <v>杯飲-PET-98-24oz-WINSIGHT箱</v>
          </cell>
        </row>
        <row r="106">
          <cell r="N106">
            <v>19715316</v>
          </cell>
        </row>
      </sheetData>
      <sheetData sheetId="89" refreshError="1">
        <row r="57">
          <cell r="N57">
            <v>1992984</v>
          </cell>
        </row>
      </sheetData>
      <sheetData sheetId="90" refreshError="1">
        <row r="69">
          <cell r="N69">
            <v>1747116</v>
          </cell>
        </row>
      </sheetData>
      <sheetData sheetId="91" refreshError="1">
        <row r="83">
          <cell r="N83">
            <v>2992096.8</v>
          </cell>
        </row>
      </sheetData>
      <sheetData sheetId="92" refreshError="1"/>
      <sheetData sheetId="93" refreshError="1"/>
      <sheetData sheetId="9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22"/>
  <sheetViews>
    <sheetView topLeftCell="A152" zoomScale="80" zoomScaleNormal="80" workbookViewId="0">
      <selection activeCell="O160" sqref="O160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9</v>
      </c>
      <c r="O3" s="76">
        <v>5</v>
      </c>
    </row>
    <row r="4" spans="1:16">
      <c r="A4" s="234" t="s">
        <v>187</v>
      </c>
      <c r="B4" s="234"/>
      <c r="C4" s="235">
        <v>41487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30" customHeight="1">
      <c r="A6" s="1067" t="s">
        <v>204</v>
      </c>
      <c r="B6" s="244" t="s">
        <v>205</v>
      </c>
      <c r="C6" s="244" t="e">
        <f>#REF!</f>
        <v>#REF!</v>
      </c>
      <c r="D6" s="13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59"/>
      <c r="I6" s="289">
        <v>0</v>
      </c>
      <c r="J6" s="1064" t="e">
        <f>#REF!</f>
        <v>#REF!</v>
      </c>
      <c r="K6" s="1065"/>
      <c r="L6" s="1066"/>
      <c r="M6" s="227">
        <v>10.56</v>
      </c>
      <c r="N6" s="1090" t="s">
        <v>206</v>
      </c>
      <c r="O6" s="1091"/>
      <c r="P6" s="1092"/>
    </row>
    <row r="7" spans="1:16" s="337" customFormat="1" ht="30" customHeight="1">
      <c r="A7" s="1075"/>
      <c r="B7" s="1076" t="s">
        <v>207</v>
      </c>
      <c r="C7" s="260" t="e">
        <f>#REF!</f>
        <v>#REF!</v>
      </c>
      <c r="D7" s="261" t="e">
        <f>#REF!</f>
        <v>#REF!</v>
      </c>
      <c r="E7" s="261" t="e">
        <f>#REF!</f>
        <v>#REF!</v>
      </c>
      <c r="F7" s="261" t="e">
        <f>#REF!</f>
        <v>#REF!</v>
      </c>
      <c r="G7" s="262" t="e">
        <f>#REF!</f>
        <v>#REF!</v>
      </c>
      <c r="H7" s="263"/>
      <c r="I7" s="270" t="e">
        <f>#REF!</f>
        <v>#REF!</v>
      </c>
      <c r="J7" s="1069" t="e">
        <f>#REF!</f>
        <v>#REF!</v>
      </c>
      <c r="K7" s="1096"/>
      <c r="L7" s="1097"/>
      <c r="M7" s="290">
        <v>1.47</v>
      </c>
      <c r="N7" s="1081" t="e">
        <f>#REF!</f>
        <v>#REF!</v>
      </c>
      <c r="O7" s="1082"/>
      <c r="P7" s="1083"/>
    </row>
    <row r="8" spans="1:16" s="337" customFormat="1" ht="23.25" customHeight="1">
      <c r="A8" s="1068"/>
      <c r="B8" s="1077"/>
      <c r="C8" s="260" t="e">
        <f>#REF!</f>
        <v>#REF!</v>
      </c>
      <c r="D8" s="261" t="e">
        <f>#REF!</f>
        <v>#REF!</v>
      </c>
      <c r="E8" s="261" t="e">
        <f>#REF!</f>
        <v>#REF!</v>
      </c>
      <c r="F8" s="261" t="e">
        <f>#REF!</f>
        <v>#REF!</v>
      </c>
      <c r="G8" s="262" t="e">
        <f>#REF!</f>
        <v>#REF!</v>
      </c>
      <c r="H8" s="263"/>
      <c r="I8" s="270" t="e">
        <f>#REF!</f>
        <v>#REF!</v>
      </c>
      <c r="J8" s="1069" t="e">
        <f>#REF!</f>
        <v>#REF!</v>
      </c>
      <c r="K8" s="1096"/>
      <c r="L8" s="1097"/>
      <c r="M8" s="290">
        <v>8.1199999999999992</v>
      </c>
      <c r="N8" s="1084"/>
      <c r="O8" s="1085"/>
      <c r="P8" s="1086"/>
    </row>
    <row r="9" spans="1:16" ht="15" customHeight="1">
      <c r="A9" s="1067" t="s">
        <v>208</v>
      </c>
      <c r="B9" s="93" t="s">
        <v>205</v>
      </c>
      <c r="C9" s="264" t="s">
        <v>209</v>
      </c>
      <c r="D9" s="134" t="s">
        <v>206</v>
      </c>
      <c r="E9" s="265" t="s">
        <v>206</v>
      </c>
      <c r="F9" s="134" t="s">
        <v>206</v>
      </c>
      <c r="G9" s="266" t="s">
        <v>206</v>
      </c>
      <c r="H9" s="267"/>
      <c r="I9" s="291" t="s">
        <v>206</v>
      </c>
      <c r="J9" s="1072" t="s">
        <v>206</v>
      </c>
      <c r="K9" s="1073"/>
      <c r="L9" s="1074"/>
      <c r="M9" s="292" t="s">
        <v>206</v>
      </c>
      <c r="N9" s="1087" t="s">
        <v>206</v>
      </c>
      <c r="O9" s="1088"/>
      <c r="P9" s="1089"/>
    </row>
    <row r="10" spans="1:16" ht="15" customHeight="1">
      <c r="A10" s="1068"/>
      <c r="B10" s="260" t="s">
        <v>207</v>
      </c>
      <c r="C10" s="268" t="s">
        <v>209</v>
      </c>
      <c r="D10" s="260" t="s">
        <v>206</v>
      </c>
      <c r="E10" s="261" t="s">
        <v>206</v>
      </c>
      <c r="F10" s="261" t="s">
        <v>206</v>
      </c>
      <c r="G10" s="269" t="s">
        <v>206</v>
      </c>
      <c r="H10" s="263"/>
      <c r="I10" s="293" t="s">
        <v>206</v>
      </c>
      <c r="J10" s="1069" t="s">
        <v>206</v>
      </c>
      <c r="K10" s="1070"/>
      <c r="L10" s="1071"/>
      <c r="M10" s="290" t="s">
        <v>206</v>
      </c>
      <c r="N10" s="1078" t="s">
        <v>206</v>
      </c>
      <c r="O10" s="1079"/>
      <c r="P10" s="1080"/>
    </row>
    <row r="11" spans="1:16" ht="15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 t="s">
        <v>206</v>
      </c>
      <c r="J12" s="1069"/>
      <c r="K12" s="1070"/>
      <c r="L12" s="1071"/>
      <c r="M12" s="290"/>
      <c r="N12" s="1078"/>
      <c r="O12" s="1079"/>
      <c r="P12" s="1080"/>
    </row>
    <row r="13" spans="1:16" ht="15" customHeight="1">
      <c r="A13" s="1067" t="s">
        <v>211</v>
      </c>
      <c r="B13" s="244" t="s">
        <v>205</v>
      </c>
      <c r="C13" s="304" t="s">
        <v>209</v>
      </c>
      <c r="D13" s="93" t="s">
        <v>206</v>
      </c>
      <c r="E13" s="134" t="s">
        <v>206</v>
      </c>
      <c r="F13" s="134" t="s">
        <v>206</v>
      </c>
      <c r="G13" s="266" t="s">
        <v>206</v>
      </c>
      <c r="H13" s="267"/>
      <c r="I13" s="291" t="s">
        <v>206</v>
      </c>
      <c r="J13" s="1072" t="s">
        <v>206</v>
      </c>
      <c r="K13" s="1073"/>
      <c r="L13" s="1074"/>
      <c r="M13" s="292" t="s">
        <v>206</v>
      </c>
      <c r="N13" s="1098"/>
      <c r="O13" s="1099"/>
      <c r="P13" s="1100"/>
    </row>
    <row r="14" spans="1:16" ht="15" customHeight="1">
      <c r="A14" s="1068"/>
      <c r="B14" s="260" t="s">
        <v>207</v>
      </c>
      <c r="C14" s="268" t="s">
        <v>209</v>
      </c>
      <c r="D14" s="261" t="s">
        <v>206</v>
      </c>
      <c r="E14" s="261" t="s">
        <v>206</v>
      </c>
      <c r="F14" s="261" t="s">
        <v>206</v>
      </c>
      <c r="G14" s="270" t="s">
        <v>206</v>
      </c>
      <c r="H14" s="263"/>
      <c r="I14" s="270" t="s">
        <v>206</v>
      </c>
      <c r="J14" s="1069" t="s">
        <v>206</v>
      </c>
      <c r="K14" s="1070"/>
      <c r="L14" s="1071"/>
      <c r="M14" s="290" t="s">
        <v>206</v>
      </c>
      <c r="N14" s="1078"/>
      <c r="O14" s="1079"/>
      <c r="P14" s="1080"/>
    </row>
    <row r="15" spans="1:16" s="76" customFormat="1" ht="46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ht="31.7" customHeight="1">
      <c r="A16" s="1101" t="s">
        <v>220</v>
      </c>
      <c r="B16" s="84" t="s">
        <v>205</v>
      </c>
      <c r="C16" s="1104" t="e">
        <f>#REF!</f>
        <v>#REF!</v>
      </c>
      <c r="D16" s="1105"/>
      <c r="E16" s="1106"/>
      <c r="F16" s="272" t="s">
        <v>221</v>
      </c>
      <c r="G16" s="244" t="e">
        <f>#REF!</f>
        <v>#REF!</v>
      </c>
      <c r="H16" s="273"/>
      <c r="I16" s="259" t="e">
        <f>#REF!</f>
        <v>#REF!</v>
      </c>
      <c r="J16" s="258" t="e">
        <f>#REF!</f>
        <v>#REF!</v>
      </c>
      <c r="K16" s="296" t="e">
        <f>#REF!</f>
        <v>#REF!</v>
      </c>
      <c r="L16" s="297" t="e">
        <f>#REF!</f>
        <v>#REF!</v>
      </c>
      <c r="M16" s="298">
        <v>10.31</v>
      </c>
      <c r="N16" s="1139" t="s">
        <v>206</v>
      </c>
      <c r="O16" s="1140"/>
      <c r="P16" s="1141"/>
    </row>
    <row r="17" spans="1:16" s="337" customFormat="1" ht="30.75" customHeight="1">
      <c r="A17" s="1102"/>
      <c r="B17" s="274" t="s">
        <v>207</v>
      </c>
      <c r="C17" s="1107" t="e">
        <f>#REF!</f>
        <v>#REF!</v>
      </c>
      <c r="D17" s="1108"/>
      <c r="E17" s="1109"/>
      <c r="F17" s="277" t="s">
        <v>222</v>
      </c>
      <c r="G17" s="260" t="e">
        <f>#REF!</f>
        <v>#REF!</v>
      </c>
      <c r="H17" s="278" t="e">
        <f>G17/1106*290</f>
        <v>#REF!</v>
      </c>
      <c r="I17" s="263" t="e">
        <f>#REF!</f>
        <v>#REF!</v>
      </c>
      <c r="J17" s="262" t="e">
        <f>#REF!</f>
        <v>#REF!</v>
      </c>
      <c r="K17" s="299" t="e">
        <f>#REF!</f>
        <v>#REF!</v>
      </c>
      <c r="L17" s="300" t="e">
        <f>#REF!</f>
        <v>#REF!</v>
      </c>
      <c r="M17" s="301">
        <v>10.41</v>
      </c>
      <c r="N17" s="1130" t="s">
        <v>206</v>
      </c>
      <c r="O17" s="1131"/>
      <c r="P17" s="1132"/>
    </row>
    <row r="18" spans="1:16" ht="32.25" customHeight="1">
      <c r="A18" s="1126" t="s">
        <v>223</v>
      </c>
      <c r="B18" s="244" t="s">
        <v>205</v>
      </c>
      <c r="C18" s="1104" t="e">
        <f>#REF!</f>
        <v>#REF!</v>
      </c>
      <c r="D18" s="1105"/>
      <c r="E18" s="1106"/>
      <c r="F18" s="279" t="s">
        <v>224</v>
      </c>
      <c r="G18" s="244">
        <v>327</v>
      </c>
      <c r="H18" s="273"/>
      <c r="I18" s="259">
        <v>221</v>
      </c>
      <c r="J18" s="258">
        <v>32</v>
      </c>
      <c r="K18" s="258">
        <v>8064</v>
      </c>
      <c r="L18" s="297">
        <v>0.14499999999999999</v>
      </c>
      <c r="M18" s="227">
        <v>1.44</v>
      </c>
      <c r="N18" s="1139"/>
      <c r="O18" s="1140"/>
      <c r="P18" s="1141"/>
    </row>
    <row r="19" spans="1:16" s="337" customFormat="1" ht="23.25" customHeight="1">
      <c r="A19" s="1127"/>
      <c r="B19" s="260" t="s">
        <v>207</v>
      </c>
      <c r="C19" s="1115" t="s">
        <v>209</v>
      </c>
      <c r="D19" s="1116"/>
      <c r="E19" s="1117"/>
      <c r="F19" s="280"/>
      <c r="G19" s="260"/>
      <c r="H19" s="278"/>
      <c r="I19" s="263"/>
      <c r="J19" s="262"/>
      <c r="K19" s="262"/>
      <c r="L19" s="300"/>
      <c r="M19" s="290"/>
      <c r="N19" s="1142" t="s">
        <v>206</v>
      </c>
      <c r="O19" s="1145"/>
      <c r="P19" s="1146"/>
    </row>
    <row r="20" spans="1:16" ht="36" customHeight="1">
      <c r="A20" s="1124" t="s">
        <v>225</v>
      </c>
      <c r="B20" s="244" t="s">
        <v>205</v>
      </c>
      <c r="C20" s="1103" t="e">
        <f>#REF!</f>
        <v>#REF!</v>
      </c>
      <c r="D20" s="1103"/>
      <c r="E20" s="1103"/>
      <c r="F20" s="85" t="s">
        <v>226</v>
      </c>
      <c r="G20" s="134" t="e">
        <f>#REF!</f>
        <v>#REF!</v>
      </c>
      <c r="H20" s="259"/>
      <c r="I20" s="259" t="e">
        <f>#REF!</f>
        <v>#REF!</v>
      </c>
      <c r="J20" s="258" t="e">
        <f>#REF!</f>
        <v>#REF!</v>
      </c>
      <c r="K20" s="302" t="e">
        <f>#REF!</f>
        <v>#REF!</v>
      </c>
      <c r="L20" s="297" t="e">
        <f>#REF!</f>
        <v>#REF!</v>
      </c>
      <c r="M20" s="227">
        <v>7.56</v>
      </c>
      <c r="N20" s="1136" t="e">
        <f>#REF!</f>
        <v>#REF!</v>
      </c>
      <c r="O20" s="1137"/>
      <c r="P20" s="1138"/>
    </row>
    <row r="21" spans="1:16" s="337" customFormat="1" ht="46.5" customHeight="1">
      <c r="A21" s="1125"/>
      <c r="B21" s="261" t="s">
        <v>207</v>
      </c>
      <c r="C21" s="1121" t="e">
        <f>#REF!</f>
        <v>#REF!</v>
      </c>
      <c r="D21" s="1122"/>
      <c r="E21" s="1123"/>
      <c r="F21" s="282" t="s">
        <v>226</v>
      </c>
      <c r="G21" s="260" t="e">
        <f>#REF!</f>
        <v>#REF!</v>
      </c>
      <c r="H21" s="263"/>
      <c r="I21" s="263" t="e">
        <f>#REF!</f>
        <v>#REF!</v>
      </c>
      <c r="J21" s="262" t="e">
        <f>#REF!</f>
        <v>#REF!</v>
      </c>
      <c r="K21" s="303" t="e">
        <f>#REF!</f>
        <v>#REF!</v>
      </c>
      <c r="L21" s="300" t="e">
        <f>#REF!</f>
        <v>#REF!</v>
      </c>
      <c r="M21" s="301">
        <v>7.25</v>
      </c>
      <c r="N21" s="1142" t="e">
        <f>#REF!</f>
        <v>#REF!</v>
      </c>
      <c r="O21" s="1143"/>
      <c r="P21" s="1144"/>
    </row>
    <row r="22" spans="1:16" ht="17.25" customHeight="1">
      <c r="A22" s="1110" t="s">
        <v>227</v>
      </c>
      <c r="B22" s="1111"/>
      <c r="C22" s="1112" t="s">
        <v>228</v>
      </c>
      <c r="D22" s="1113"/>
      <c r="E22" s="1114"/>
      <c r="F22" s="1118" t="s">
        <v>229</v>
      </c>
      <c r="G22" s="1119"/>
      <c r="H22" s="1119"/>
      <c r="I22" s="1119"/>
      <c r="J22" s="1120"/>
      <c r="K22" s="1112"/>
      <c r="L22" s="1128"/>
      <c r="M22" s="1128"/>
      <c r="N22" s="1128"/>
      <c r="O22" s="1128"/>
      <c r="P22" s="1129"/>
    </row>
  </sheetData>
  <mergeCells count="47">
    <mergeCell ref="K22:P22"/>
    <mergeCell ref="N17:P17"/>
    <mergeCell ref="N15:P15"/>
    <mergeCell ref="N20:P20"/>
    <mergeCell ref="N16:P16"/>
    <mergeCell ref="N18:P18"/>
    <mergeCell ref="N21:P21"/>
    <mergeCell ref="N19:P19"/>
    <mergeCell ref="A22:B22"/>
    <mergeCell ref="C22:E22"/>
    <mergeCell ref="C19:E19"/>
    <mergeCell ref="F22:J22"/>
    <mergeCell ref="C21:E21"/>
    <mergeCell ref="A20:A21"/>
    <mergeCell ref="A18:A19"/>
    <mergeCell ref="A13:A14"/>
    <mergeCell ref="A16:A17"/>
    <mergeCell ref="C20:E20"/>
    <mergeCell ref="C15:E15"/>
    <mergeCell ref="C16:E16"/>
    <mergeCell ref="C17:E17"/>
    <mergeCell ref="C18:E18"/>
    <mergeCell ref="J14:L14"/>
    <mergeCell ref="N14:P14"/>
    <mergeCell ref="J13:L13"/>
    <mergeCell ref="N13:P13"/>
    <mergeCell ref="N11:P11"/>
    <mergeCell ref="N12:P12"/>
    <mergeCell ref="D1:G1"/>
    <mergeCell ref="J4:L4"/>
    <mergeCell ref="J5:L5"/>
    <mergeCell ref="J9:L9"/>
    <mergeCell ref="J7:L7"/>
    <mergeCell ref="J8:L8"/>
    <mergeCell ref="N5:P5"/>
    <mergeCell ref="J6:L6"/>
    <mergeCell ref="A11:A12"/>
    <mergeCell ref="J12:L12"/>
    <mergeCell ref="J11:L11"/>
    <mergeCell ref="A6:A8"/>
    <mergeCell ref="A9:A10"/>
    <mergeCell ref="B7:B8"/>
    <mergeCell ref="N10:P10"/>
    <mergeCell ref="N7:P8"/>
    <mergeCell ref="J10:L10"/>
    <mergeCell ref="N9:P9"/>
    <mergeCell ref="N6:P6"/>
  </mergeCells>
  <phoneticPr fontId="26" type="noConversion"/>
  <pageMargins left="0.28999999999999998" right="0.33" top="0.17" bottom="0.25" header="0.2" footer="0.2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24"/>
  <sheetViews>
    <sheetView topLeftCell="A13" workbookViewId="0">
      <selection activeCell="J28" sqref="J28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.875" style="75" customWidth="1"/>
    <col min="12" max="13" width="8.125" style="75" customWidth="1"/>
    <col min="14" max="14" width="8" style="233" customWidth="1"/>
    <col min="15" max="15" width="11.875" style="233" customWidth="1"/>
    <col min="16" max="16" width="12.62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9" t="s">
        <v>230</v>
      </c>
      <c r="O1" s="79" t="s">
        <v>231</v>
      </c>
    </row>
    <row r="2" spans="1:16" ht="16.5" customHeight="1">
      <c r="D2" s="1093"/>
      <c r="E2" s="1093"/>
      <c r="F2" s="1093"/>
      <c r="G2" s="1093"/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9</v>
      </c>
      <c r="O3" s="76">
        <v>7</v>
      </c>
    </row>
    <row r="4" spans="1:16">
      <c r="M4" s="287" t="s">
        <v>191</v>
      </c>
      <c r="N4" s="76">
        <v>1</v>
      </c>
      <c r="O4" s="76">
        <v>0</v>
      </c>
    </row>
    <row r="5" spans="1:16">
      <c r="A5" s="234" t="s">
        <v>187</v>
      </c>
      <c r="B5" s="234"/>
      <c r="C5" s="235">
        <v>41519</v>
      </c>
      <c r="D5" s="236" t="s">
        <v>232</v>
      </c>
      <c r="E5" s="115"/>
      <c r="G5" s="238" t="s">
        <v>189</v>
      </c>
      <c r="H5" s="238" t="s">
        <v>190</v>
      </c>
      <c r="I5" s="238"/>
      <c r="J5" s="1094"/>
      <c r="K5" s="1094"/>
      <c r="L5" s="1094"/>
      <c r="M5" s="286"/>
      <c r="N5" s="76"/>
      <c r="O5" s="79"/>
    </row>
    <row r="6" spans="1:16" s="76" customFormat="1" ht="51.75" customHeight="1">
      <c r="A6" s="84" t="s">
        <v>192</v>
      </c>
      <c r="B6" s="84" t="s">
        <v>193</v>
      </c>
      <c r="C6" s="84" t="s">
        <v>194</v>
      </c>
      <c r="D6" s="84" t="s">
        <v>195</v>
      </c>
      <c r="E6" s="247" t="s">
        <v>196</v>
      </c>
      <c r="F6" s="247" t="s">
        <v>197</v>
      </c>
      <c r="G6" s="247" t="s">
        <v>198</v>
      </c>
      <c r="H6" s="257" t="s">
        <v>199</v>
      </c>
      <c r="I6" s="247" t="s">
        <v>200</v>
      </c>
      <c r="J6" s="1095" t="s">
        <v>201</v>
      </c>
      <c r="K6" s="1065"/>
      <c r="L6" s="1066"/>
      <c r="M6" s="288" t="s">
        <v>202</v>
      </c>
      <c r="N6" s="1063" t="s">
        <v>203</v>
      </c>
      <c r="O6" s="1063"/>
      <c r="P6" s="1063"/>
    </row>
    <row r="7" spans="1:16" ht="15" customHeight="1">
      <c r="A7" s="1067" t="s">
        <v>204</v>
      </c>
      <c r="B7" s="244" t="s">
        <v>205</v>
      </c>
      <c r="C7" s="264" t="s">
        <v>209</v>
      </c>
      <c r="D7" s="244"/>
      <c r="E7" s="84"/>
      <c r="F7" s="84"/>
      <c r="G7" s="258"/>
      <c r="H7" s="259"/>
      <c r="I7" s="289"/>
      <c r="J7" s="1064"/>
      <c r="K7" s="1156"/>
      <c r="L7" s="1157"/>
      <c r="M7" s="227"/>
      <c r="N7" s="1090"/>
      <c r="O7" s="1091"/>
      <c r="P7" s="1092"/>
    </row>
    <row r="8" spans="1:16" ht="15" customHeight="1">
      <c r="A8" s="1068"/>
      <c r="B8" s="260" t="s">
        <v>207</v>
      </c>
      <c r="C8" s="268" t="s">
        <v>209</v>
      </c>
      <c r="D8" s="261"/>
      <c r="E8" s="261"/>
      <c r="F8" s="261"/>
      <c r="G8" s="262"/>
      <c r="H8" s="263"/>
      <c r="I8" s="270"/>
      <c r="J8" s="1069"/>
      <c r="K8" s="1070"/>
      <c r="L8" s="1071"/>
      <c r="M8" s="290"/>
      <c r="N8" s="1078"/>
      <c r="O8" s="1079"/>
      <c r="P8" s="1080"/>
    </row>
    <row r="9" spans="1:16" ht="30.75" customHeight="1">
      <c r="A9" s="1067" t="s">
        <v>208</v>
      </c>
      <c r="B9" s="93" t="s">
        <v>205</v>
      </c>
      <c r="C9" s="264" t="e">
        <f>#REF!</f>
        <v>#REF!</v>
      </c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7.52</v>
      </c>
      <c r="N9" s="1153" t="e">
        <f>#REF!</f>
        <v>#REF!</v>
      </c>
      <c r="O9" s="1154"/>
      <c r="P9" s="1155"/>
    </row>
    <row r="10" spans="1:16" ht="21.75" customHeight="1">
      <c r="A10" s="1068"/>
      <c r="B10" s="260" t="s">
        <v>207</v>
      </c>
      <c r="C10" s="268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10.19</v>
      </c>
      <c r="N10" s="1078"/>
      <c r="O10" s="1079"/>
      <c r="P10" s="1080"/>
    </row>
    <row r="11" spans="1:16" ht="15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ht="15" customHeight="1">
      <c r="A13" s="1067" t="s">
        <v>211</v>
      </c>
      <c r="B13" s="244" t="s">
        <v>205</v>
      </c>
      <c r="C13" s="264" t="s">
        <v>209</v>
      </c>
      <c r="D13" s="93"/>
      <c r="E13" s="134"/>
      <c r="F13" s="134"/>
      <c r="G13" s="266"/>
      <c r="H13" s="267"/>
      <c r="I13" s="291"/>
      <c r="J13" s="1072"/>
      <c r="K13" s="1073"/>
      <c r="L13" s="1074"/>
      <c r="M13" s="292"/>
      <c r="N13" s="1098"/>
      <c r="O13" s="1099"/>
      <c r="P13" s="1100"/>
    </row>
    <row r="14" spans="1:16" ht="18.95" customHeight="1">
      <c r="A14" s="1068"/>
      <c r="B14" s="260" t="s">
        <v>207</v>
      </c>
      <c r="C14" s="268" t="s">
        <v>209</v>
      </c>
      <c r="D14" s="261"/>
      <c r="E14" s="261"/>
      <c r="F14" s="261"/>
      <c r="G14" s="270"/>
      <c r="H14" s="263"/>
      <c r="I14" s="270"/>
      <c r="J14" s="1069"/>
      <c r="K14" s="1070"/>
      <c r="L14" s="1071"/>
      <c r="M14" s="290"/>
      <c r="N14" s="1078"/>
      <c r="O14" s="1079"/>
      <c r="P14" s="1080"/>
    </row>
    <row r="15" spans="1:16" s="76" customFormat="1" ht="55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s="76" customFormat="1" ht="21" customHeight="1">
      <c r="A16" s="1126" t="s">
        <v>233</v>
      </c>
      <c r="B16" s="84" t="s">
        <v>205</v>
      </c>
      <c r="C16" s="1161" t="s">
        <v>209</v>
      </c>
      <c r="D16" s="1162"/>
      <c r="E16" s="1163"/>
      <c r="F16" s="231"/>
      <c r="G16" s="230"/>
      <c r="H16" s="230"/>
      <c r="I16" s="364"/>
      <c r="J16" s="335"/>
      <c r="K16" s="335"/>
      <c r="L16" s="227"/>
      <c r="M16" s="247"/>
      <c r="N16" s="1147"/>
      <c r="O16" s="1148"/>
      <c r="P16" s="1149"/>
    </row>
    <row r="17" spans="1:16" s="372" customFormat="1" ht="21.75" customHeight="1">
      <c r="A17" s="1165"/>
      <c r="B17" s="261" t="s">
        <v>207</v>
      </c>
      <c r="C17" s="1164" t="s">
        <v>209</v>
      </c>
      <c r="D17" s="1151"/>
      <c r="E17" s="1152"/>
      <c r="F17" s="362"/>
      <c r="G17" s="363"/>
      <c r="H17" s="363"/>
      <c r="I17" s="365"/>
      <c r="J17" s="293"/>
      <c r="K17" s="293"/>
      <c r="L17" s="290"/>
      <c r="M17" s="367"/>
      <c r="N17" s="1150"/>
      <c r="O17" s="1151"/>
      <c r="P17" s="1152"/>
    </row>
    <row r="18" spans="1:16" ht="21.75" customHeight="1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373" t="s">
        <v>234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27">
        <v>9.08</v>
      </c>
      <c r="N18" s="1139"/>
      <c r="O18" s="1140"/>
      <c r="P18" s="1141"/>
    </row>
    <row r="19" spans="1:16" ht="23.25" customHeight="1">
      <c r="A19" s="1127"/>
      <c r="B19" s="260" t="s">
        <v>207</v>
      </c>
      <c r="C19" s="1121" t="e">
        <f>#REF!</f>
        <v>#REF!</v>
      </c>
      <c r="D19" s="1122"/>
      <c r="E19" s="1123"/>
      <c r="F19" s="374" t="s">
        <v>234</v>
      </c>
      <c r="G19" s="260" t="e">
        <f>#REF!</f>
        <v>#REF!</v>
      </c>
      <c r="H19" s="278"/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290">
        <v>10.46</v>
      </c>
      <c r="N19" s="1142"/>
      <c r="O19" s="1145"/>
      <c r="P19" s="1146"/>
    </row>
    <row r="20" spans="1:16" ht="21.75" customHeight="1">
      <c r="A20" s="1126" t="s">
        <v>225</v>
      </c>
      <c r="B20" s="84" t="s">
        <v>205</v>
      </c>
      <c r="C20" s="1161" t="s">
        <v>209</v>
      </c>
      <c r="D20" s="1162"/>
      <c r="E20" s="1163"/>
      <c r="F20" s="85"/>
      <c r="G20" s="134"/>
      <c r="H20" s="259"/>
      <c r="I20" s="259"/>
      <c r="J20" s="258"/>
      <c r="K20" s="302"/>
      <c r="L20" s="297"/>
      <c r="M20" s="227"/>
      <c r="N20" s="1139"/>
      <c r="O20" s="1140"/>
      <c r="P20" s="1141"/>
    </row>
    <row r="21" spans="1:16" ht="22.7" customHeight="1">
      <c r="A21" s="1127"/>
      <c r="B21" s="261" t="s">
        <v>207</v>
      </c>
      <c r="C21" s="1121" t="s">
        <v>209</v>
      </c>
      <c r="D21" s="1122"/>
      <c r="E21" s="1123"/>
      <c r="F21" s="282"/>
      <c r="G21" s="261"/>
      <c r="H21" s="263"/>
      <c r="I21" s="263"/>
      <c r="J21" s="262"/>
      <c r="K21" s="333"/>
      <c r="L21" s="300"/>
      <c r="M21" s="301"/>
      <c r="N21" s="1130"/>
      <c r="O21" s="1131"/>
      <c r="P21" s="1132"/>
    </row>
    <row r="22" spans="1:16" ht="29.25" customHeight="1">
      <c r="A22" s="1126" t="s">
        <v>235</v>
      </c>
      <c r="B22" s="84" t="s">
        <v>205</v>
      </c>
      <c r="C22" s="1161" t="e">
        <f>#REF!</f>
        <v>#REF!</v>
      </c>
      <c r="D22" s="1162"/>
      <c r="E22" s="1163"/>
      <c r="F22" s="85" t="s">
        <v>236</v>
      </c>
      <c r="G22" s="134" t="e">
        <f>#REF!</f>
        <v>#REF!</v>
      </c>
      <c r="H22" s="259"/>
      <c r="I22" s="259" t="e">
        <f>#REF!</f>
        <v>#REF!</v>
      </c>
      <c r="J22" s="258" t="e">
        <f>#REF!</f>
        <v>#REF!</v>
      </c>
      <c r="K22" s="258" t="e">
        <f>#REF!</f>
        <v>#REF!</v>
      </c>
      <c r="L22" s="297" t="e">
        <f>#REF!</f>
        <v>#REF!</v>
      </c>
      <c r="M22" s="227">
        <v>12.13</v>
      </c>
      <c r="N22" s="1139"/>
      <c r="O22" s="1140"/>
      <c r="P22" s="1141"/>
    </row>
    <row r="23" spans="1:16" ht="30" customHeight="1">
      <c r="A23" s="1127"/>
      <c r="B23" s="261" t="s">
        <v>207</v>
      </c>
      <c r="C23" s="1121" t="e">
        <f>#REF!</f>
        <v>#REF!</v>
      </c>
      <c r="D23" s="1122"/>
      <c r="E23" s="1123"/>
      <c r="F23" s="282" t="s">
        <v>237</v>
      </c>
      <c r="G23" s="261" t="e">
        <f>#REF!</f>
        <v>#REF!</v>
      </c>
      <c r="H23" s="263"/>
      <c r="I23" s="263" t="e">
        <f>#REF!</f>
        <v>#REF!</v>
      </c>
      <c r="J23" s="262" t="e">
        <f>#REF!</f>
        <v>#REF!</v>
      </c>
      <c r="K23" s="262" t="e">
        <f>#REF!</f>
        <v>#REF!</v>
      </c>
      <c r="L23" s="300" t="e">
        <f>#REF!</f>
        <v>#REF!</v>
      </c>
      <c r="M23" s="301">
        <v>11.48</v>
      </c>
      <c r="N23" s="1130"/>
      <c r="O23" s="1131"/>
      <c r="P23" s="1132"/>
    </row>
    <row r="24" spans="1:16" ht="17.25" customHeight="1">
      <c r="A24" s="1110" t="s">
        <v>227</v>
      </c>
      <c r="B24" s="1111"/>
      <c r="C24" s="1112" t="s">
        <v>238</v>
      </c>
      <c r="D24" s="1113"/>
      <c r="E24" s="1114"/>
      <c r="F24" s="1118" t="s">
        <v>239</v>
      </c>
      <c r="G24" s="1119"/>
      <c r="H24" s="1119"/>
      <c r="I24" s="1119"/>
      <c r="J24" s="1120"/>
      <c r="K24" s="285"/>
      <c r="L24" s="1118"/>
      <c r="M24" s="1120"/>
      <c r="N24" s="1158"/>
      <c r="O24" s="1159"/>
      <c r="P24" s="1160"/>
    </row>
  </sheetData>
  <mergeCells count="51">
    <mergeCell ref="C17:E17"/>
    <mergeCell ref="C16:E16"/>
    <mergeCell ref="A16:A17"/>
    <mergeCell ref="A20:A21"/>
    <mergeCell ref="A7:A8"/>
    <mergeCell ref="A9:A10"/>
    <mergeCell ref="A11:A12"/>
    <mergeCell ref="A13:A14"/>
    <mergeCell ref="J13:L13"/>
    <mergeCell ref="J12:L12"/>
    <mergeCell ref="A24:B24"/>
    <mergeCell ref="C24:E24"/>
    <mergeCell ref="A22:A23"/>
    <mergeCell ref="A18:A19"/>
    <mergeCell ref="C23:E23"/>
    <mergeCell ref="C20:E20"/>
    <mergeCell ref="C18:E18"/>
    <mergeCell ref="C19:E19"/>
    <mergeCell ref="J14:L14"/>
    <mergeCell ref="F24:J24"/>
    <mergeCell ref="L24:M24"/>
    <mergeCell ref="C22:E22"/>
    <mergeCell ref="C21:E21"/>
    <mergeCell ref="C15:E15"/>
    <mergeCell ref="N24:P24"/>
    <mergeCell ref="N18:P18"/>
    <mergeCell ref="N19:P19"/>
    <mergeCell ref="N23:P23"/>
    <mergeCell ref="N20:P20"/>
    <mergeCell ref="N22:P22"/>
    <mergeCell ref="N21:P21"/>
    <mergeCell ref="D1:G2"/>
    <mergeCell ref="J5:L5"/>
    <mergeCell ref="J7:L7"/>
    <mergeCell ref="N8:P8"/>
    <mergeCell ref="N6:P6"/>
    <mergeCell ref="J6:L6"/>
    <mergeCell ref="J8:L8"/>
    <mergeCell ref="N7:P7"/>
    <mergeCell ref="N10:P10"/>
    <mergeCell ref="N11:P11"/>
    <mergeCell ref="J10:L10"/>
    <mergeCell ref="N9:P9"/>
    <mergeCell ref="J9:L9"/>
    <mergeCell ref="J11:L11"/>
    <mergeCell ref="N12:P12"/>
    <mergeCell ref="N16:P16"/>
    <mergeCell ref="N17:P17"/>
    <mergeCell ref="N15:P15"/>
    <mergeCell ref="N14:P14"/>
    <mergeCell ref="N13:P13"/>
  </mergeCells>
  <phoneticPr fontId="26" type="noConversion"/>
  <pageMargins left="0.4" right="0.17" top="0.22" bottom="0.2" header="0.2" footer="0.1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27"/>
  <sheetViews>
    <sheetView workbookViewId="0">
      <selection activeCell="C19" sqref="C19:E19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" style="75"/>
    <col min="12" max="13" width="8.125" style="75" customWidth="1"/>
    <col min="14" max="14" width="8" style="233" customWidth="1"/>
    <col min="15" max="15" width="11.875" style="233" customWidth="1"/>
    <col min="16" max="16" width="12.62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9" t="s">
        <v>230</v>
      </c>
      <c r="O1" s="79" t="s">
        <v>231</v>
      </c>
    </row>
    <row r="2" spans="1:16" ht="15" customHeight="1">
      <c r="D2" s="1093"/>
      <c r="E2" s="1093"/>
      <c r="F2" s="1093"/>
      <c r="G2" s="1093"/>
      <c r="M2" s="286" t="s">
        <v>185</v>
      </c>
      <c r="N2" s="76">
        <v>4</v>
      </c>
      <c r="O2" s="76">
        <v>3</v>
      </c>
    </row>
    <row r="3" spans="1:16" ht="15" customHeight="1">
      <c r="M3" s="287" t="s">
        <v>186</v>
      </c>
      <c r="N3" s="76">
        <v>8</v>
      </c>
      <c r="O3" s="76">
        <v>7</v>
      </c>
    </row>
    <row r="4" spans="1:16" ht="14.25" customHeight="1">
      <c r="M4" s="287" t="s">
        <v>191</v>
      </c>
      <c r="N4" s="76">
        <v>1</v>
      </c>
      <c r="O4" s="76"/>
    </row>
    <row r="5" spans="1:16">
      <c r="A5" s="234" t="s">
        <v>187</v>
      </c>
      <c r="B5" s="234"/>
      <c r="C5" s="235">
        <v>41520</v>
      </c>
      <c r="D5" s="236" t="s">
        <v>240</v>
      </c>
      <c r="E5" s="115"/>
      <c r="G5" s="238" t="s">
        <v>189</v>
      </c>
      <c r="H5" s="238" t="s">
        <v>190</v>
      </c>
      <c r="I5" s="238"/>
      <c r="J5" s="1094"/>
      <c r="K5" s="1094"/>
      <c r="L5" s="1094"/>
      <c r="M5" s="286"/>
      <c r="N5" s="76"/>
      <c r="O5" s="79"/>
    </row>
    <row r="6" spans="1:16" s="76" customFormat="1" ht="51.75" customHeight="1">
      <c r="A6" s="84" t="s">
        <v>192</v>
      </c>
      <c r="B6" s="84" t="s">
        <v>193</v>
      </c>
      <c r="C6" s="84" t="s">
        <v>194</v>
      </c>
      <c r="D6" s="84" t="s">
        <v>195</v>
      </c>
      <c r="E6" s="247" t="s">
        <v>196</v>
      </c>
      <c r="F6" s="247" t="s">
        <v>197</v>
      </c>
      <c r="G6" s="247" t="s">
        <v>198</v>
      </c>
      <c r="H6" s="257" t="s">
        <v>199</v>
      </c>
      <c r="I6" s="247" t="s">
        <v>200</v>
      </c>
      <c r="J6" s="1095" t="s">
        <v>201</v>
      </c>
      <c r="K6" s="1065"/>
      <c r="L6" s="1066"/>
      <c r="M6" s="288" t="s">
        <v>202</v>
      </c>
      <c r="N6" s="1063" t="s">
        <v>203</v>
      </c>
      <c r="O6" s="1063"/>
      <c r="P6" s="1063"/>
    </row>
    <row r="7" spans="1:16" ht="14.25" customHeight="1">
      <c r="A7" s="1067" t="s">
        <v>204</v>
      </c>
      <c r="B7" s="244" t="s">
        <v>205</v>
      </c>
      <c r="C7" s="264" t="s">
        <v>209</v>
      </c>
      <c r="D7" s="244"/>
      <c r="E7" s="84"/>
      <c r="F7" s="84"/>
      <c r="G7" s="258"/>
      <c r="H7" s="259"/>
      <c r="I7" s="289"/>
      <c r="J7" s="1064"/>
      <c r="K7" s="1156"/>
      <c r="L7" s="1157"/>
      <c r="M7" s="227"/>
      <c r="N7" s="1090"/>
      <c r="O7" s="1091"/>
      <c r="P7" s="1092"/>
    </row>
    <row r="8" spans="1:16" ht="14.25" customHeight="1">
      <c r="A8" s="1068"/>
      <c r="B8" s="260" t="s">
        <v>207</v>
      </c>
      <c r="C8" s="268" t="s">
        <v>209</v>
      </c>
      <c r="D8" s="261"/>
      <c r="E8" s="261"/>
      <c r="F8" s="261"/>
      <c r="G8" s="262"/>
      <c r="H8" s="263"/>
      <c r="I8" s="270"/>
      <c r="J8" s="1069"/>
      <c r="K8" s="1070"/>
      <c r="L8" s="1071"/>
      <c r="M8" s="290"/>
      <c r="N8" s="1078"/>
      <c r="O8" s="1079"/>
      <c r="P8" s="1080"/>
    </row>
    <row r="9" spans="1:16" ht="20.25" customHeight="1">
      <c r="A9" s="1067" t="s">
        <v>208</v>
      </c>
      <c r="B9" s="93" t="s">
        <v>205</v>
      </c>
      <c r="C9" s="244" t="e">
        <f>#REF!</f>
        <v>#REF!</v>
      </c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10.29</v>
      </c>
      <c r="N9" s="1153" t="e">
        <f>#REF!</f>
        <v>#REF!</v>
      </c>
      <c r="O9" s="1154"/>
      <c r="P9" s="1155"/>
    </row>
    <row r="10" spans="1:16" ht="21" customHeight="1">
      <c r="A10" s="1075"/>
      <c r="B10" s="1076" t="s">
        <v>207</v>
      </c>
      <c r="C10" s="1076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10.16</v>
      </c>
      <c r="N10" s="1169"/>
      <c r="O10" s="1170"/>
      <c r="P10" s="1171"/>
    </row>
    <row r="11" spans="1:16" ht="21" customHeight="1">
      <c r="A11" s="1068"/>
      <c r="B11" s="1077"/>
      <c r="C11" s="1077"/>
      <c r="D11" s="260" t="e">
        <f>#REF!</f>
        <v>#REF!</v>
      </c>
      <c r="E11" s="261" t="e">
        <f>#REF!</f>
        <v>#REF!</v>
      </c>
      <c r="F11" s="261" t="e">
        <f>#REF!</f>
        <v>#REF!</v>
      </c>
      <c r="G11" s="269" t="e">
        <f>#REF!</f>
        <v>#REF!</v>
      </c>
      <c r="H11" s="263"/>
      <c r="I11" s="293" t="e">
        <f>#REF!</f>
        <v>#REF!</v>
      </c>
      <c r="J11" s="1069" t="e">
        <f>#REF!</f>
        <v>#REF!</v>
      </c>
      <c r="K11" s="1070"/>
      <c r="L11" s="1071"/>
      <c r="M11" s="290">
        <v>0.1</v>
      </c>
      <c r="N11" s="1172"/>
      <c r="O11" s="1173"/>
      <c r="P11" s="1174"/>
    </row>
    <row r="12" spans="1:16" ht="15.75" customHeight="1">
      <c r="A12" s="1067" t="s">
        <v>210</v>
      </c>
      <c r="B12" s="244" t="s">
        <v>205</v>
      </c>
      <c r="C12" s="30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5" customHeight="1">
      <c r="A13" s="1068"/>
      <c r="B13" s="260" t="s">
        <v>207</v>
      </c>
      <c r="C13" s="268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ht="15" customHeight="1">
      <c r="A14" s="1067" t="s">
        <v>211</v>
      </c>
      <c r="B14" s="244" t="s">
        <v>205</v>
      </c>
      <c r="C14" s="304" t="s">
        <v>209</v>
      </c>
      <c r="D14" s="93"/>
      <c r="E14" s="134"/>
      <c r="F14" s="134"/>
      <c r="G14" s="266"/>
      <c r="H14" s="267"/>
      <c r="I14" s="291"/>
      <c r="J14" s="1072"/>
      <c r="K14" s="1073"/>
      <c r="L14" s="1074"/>
      <c r="M14" s="292"/>
      <c r="N14" s="1098"/>
      <c r="O14" s="1099"/>
      <c r="P14" s="1100"/>
    </row>
    <row r="15" spans="1:16" ht="15" customHeight="1">
      <c r="A15" s="1068"/>
      <c r="B15" s="260" t="s">
        <v>207</v>
      </c>
      <c r="C15" s="268" t="s">
        <v>209</v>
      </c>
      <c r="D15" s="261"/>
      <c r="E15" s="261"/>
      <c r="F15" s="261"/>
      <c r="G15" s="270"/>
      <c r="H15" s="263"/>
      <c r="I15" s="270"/>
      <c r="J15" s="1069"/>
      <c r="K15" s="1070"/>
      <c r="L15" s="1071"/>
      <c r="M15" s="290"/>
      <c r="N15" s="1078"/>
      <c r="O15" s="1079"/>
      <c r="P15" s="1080"/>
    </row>
    <row r="16" spans="1:16" s="76" customFormat="1" ht="70.5" customHeight="1">
      <c r="A16" s="84" t="s">
        <v>212</v>
      </c>
      <c r="B16" s="84" t="s">
        <v>193</v>
      </c>
      <c r="C16" s="1095" t="s">
        <v>213</v>
      </c>
      <c r="D16" s="1065"/>
      <c r="E16" s="1066"/>
      <c r="F16" s="257" t="s">
        <v>214</v>
      </c>
      <c r="G16" s="271" t="s">
        <v>215</v>
      </c>
      <c r="H16" s="257" t="s">
        <v>216</v>
      </c>
      <c r="I16" s="257" t="s">
        <v>217</v>
      </c>
      <c r="J16" s="294" t="s">
        <v>218</v>
      </c>
      <c r="K16" s="294" t="s">
        <v>219</v>
      </c>
      <c r="L16" s="295" t="s">
        <v>201</v>
      </c>
      <c r="M16" s="257" t="s">
        <v>202</v>
      </c>
      <c r="N16" s="1133" t="s">
        <v>203</v>
      </c>
      <c r="O16" s="1134"/>
      <c r="P16" s="1135"/>
    </row>
    <row r="17" spans="1:16" s="76" customFormat="1" ht="15" customHeight="1">
      <c r="A17" s="1126" t="s">
        <v>233</v>
      </c>
      <c r="B17" s="84" t="s">
        <v>205</v>
      </c>
      <c r="C17" s="1104" t="s">
        <v>209</v>
      </c>
      <c r="D17" s="1105"/>
      <c r="E17" s="1106"/>
      <c r="F17" s="231"/>
      <c r="G17" s="230"/>
      <c r="H17" s="230"/>
      <c r="I17" s="364"/>
      <c r="J17" s="335"/>
      <c r="K17" s="335"/>
      <c r="L17" s="227"/>
      <c r="M17" s="247"/>
      <c r="N17" s="1147"/>
      <c r="O17" s="1148"/>
      <c r="P17" s="1149"/>
    </row>
    <row r="18" spans="1:16" s="228" customFormat="1" ht="15.75" customHeight="1">
      <c r="A18" s="1165"/>
      <c r="B18" s="261" t="s">
        <v>207</v>
      </c>
      <c r="C18" s="1107" t="s">
        <v>209</v>
      </c>
      <c r="D18" s="1108"/>
      <c r="E18" s="1109"/>
      <c r="F18" s="362"/>
      <c r="G18" s="363"/>
      <c r="H18" s="363"/>
      <c r="I18" s="365"/>
      <c r="J18" s="293"/>
      <c r="K18" s="293"/>
      <c r="L18" s="290"/>
      <c r="M18" s="367"/>
      <c r="N18" s="1150"/>
      <c r="O18" s="1151"/>
      <c r="P18" s="1152"/>
    </row>
    <row r="19" spans="1:16" ht="15" customHeight="1">
      <c r="A19" s="1126" t="s">
        <v>241</v>
      </c>
      <c r="B19" s="84" t="s">
        <v>205</v>
      </c>
      <c r="C19" s="1104" t="s">
        <v>209</v>
      </c>
      <c r="D19" s="1105"/>
      <c r="E19" s="1106"/>
      <c r="F19" s="272"/>
      <c r="G19" s="244"/>
      <c r="H19" s="273"/>
      <c r="I19" s="259"/>
      <c r="J19" s="258"/>
      <c r="K19" s="258"/>
      <c r="L19" s="297"/>
      <c r="M19" s="298"/>
      <c r="N19" s="1139"/>
      <c r="O19" s="1140"/>
      <c r="P19" s="1141"/>
    </row>
    <row r="20" spans="1:16" ht="15.75" customHeight="1">
      <c r="A20" s="1127"/>
      <c r="B20" s="274" t="s">
        <v>207</v>
      </c>
      <c r="C20" s="1107" t="s">
        <v>209</v>
      </c>
      <c r="D20" s="1108"/>
      <c r="E20" s="1109"/>
      <c r="F20" s="277"/>
      <c r="G20" s="260"/>
      <c r="H20" s="278">
        <f>G20/1106*290</f>
        <v>0</v>
      </c>
      <c r="I20" s="263"/>
      <c r="J20" s="262"/>
      <c r="K20" s="262"/>
      <c r="L20" s="300"/>
      <c r="M20" s="301"/>
      <c r="N20" s="1130"/>
      <c r="O20" s="1131"/>
      <c r="P20" s="1132"/>
    </row>
    <row r="21" spans="1:16" ht="19.5" customHeight="1">
      <c r="A21" s="1126" t="s">
        <v>223</v>
      </c>
      <c r="B21" s="244" t="s">
        <v>205</v>
      </c>
      <c r="C21" s="1161" t="e">
        <f>#REF!</f>
        <v>#REF!</v>
      </c>
      <c r="D21" s="1162"/>
      <c r="E21" s="1163"/>
      <c r="F21" s="279" t="s">
        <v>234</v>
      </c>
      <c r="G21" s="244" t="e">
        <f>#REF!</f>
        <v>#REF!</v>
      </c>
      <c r="H21" s="273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10.33</v>
      </c>
      <c r="N21" s="1139"/>
      <c r="O21" s="1140"/>
      <c r="P21" s="1141"/>
    </row>
    <row r="22" spans="1:16" ht="18" customHeight="1">
      <c r="A22" s="1127"/>
      <c r="B22" s="260" t="s">
        <v>207</v>
      </c>
      <c r="C22" s="1121" t="e">
        <f>#REF!</f>
        <v>#REF!</v>
      </c>
      <c r="D22" s="1122"/>
      <c r="E22" s="1123"/>
      <c r="F22" s="280" t="s">
        <v>234</v>
      </c>
      <c r="G22" s="260" t="e">
        <f>#REF!</f>
        <v>#REF!</v>
      </c>
      <c r="H22" s="278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290">
        <v>10.39</v>
      </c>
      <c r="N22" s="1142"/>
      <c r="O22" s="1145"/>
      <c r="P22" s="1146"/>
    </row>
    <row r="23" spans="1:16" ht="15.75" customHeight="1">
      <c r="A23" s="1126" t="s">
        <v>225</v>
      </c>
      <c r="B23" s="84" t="s">
        <v>205</v>
      </c>
      <c r="C23" s="1104" t="s">
        <v>209</v>
      </c>
      <c r="D23" s="1105"/>
      <c r="E23" s="1106"/>
      <c r="F23" s="85"/>
      <c r="G23" s="134"/>
      <c r="H23" s="259"/>
      <c r="I23" s="259"/>
      <c r="J23" s="258"/>
      <c r="K23" s="302"/>
      <c r="L23" s="297"/>
      <c r="M23" s="227"/>
      <c r="N23" s="1139"/>
      <c r="O23" s="1140"/>
      <c r="P23" s="1141"/>
    </row>
    <row r="24" spans="1:16" ht="16.5" customHeight="1">
      <c r="A24" s="1127"/>
      <c r="B24" s="261" t="s">
        <v>207</v>
      </c>
      <c r="C24" s="1107" t="s">
        <v>209</v>
      </c>
      <c r="D24" s="1108"/>
      <c r="E24" s="1109"/>
      <c r="F24" s="282"/>
      <c r="G24" s="261"/>
      <c r="H24" s="263"/>
      <c r="I24" s="263"/>
      <c r="J24" s="262"/>
      <c r="K24" s="303"/>
      <c r="L24" s="355"/>
      <c r="M24" s="356"/>
      <c r="N24" s="1166"/>
      <c r="O24" s="1167"/>
      <c r="P24" s="1168"/>
    </row>
    <row r="25" spans="1:16" ht="45" customHeight="1">
      <c r="A25" s="1126" t="s">
        <v>235</v>
      </c>
      <c r="B25" s="84" t="s">
        <v>205</v>
      </c>
      <c r="C25" s="1161" t="e">
        <f>#REF!</f>
        <v>#REF!</v>
      </c>
      <c r="D25" s="1162"/>
      <c r="E25" s="1163"/>
      <c r="F25" s="85" t="s">
        <v>236</v>
      </c>
      <c r="G25" s="134" t="e">
        <f>#REF!</f>
        <v>#REF!</v>
      </c>
      <c r="H25" s="259"/>
      <c r="I25" s="259" t="e">
        <f>#REF!</f>
        <v>#REF!</v>
      </c>
      <c r="J25" s="258" t="e">
        <f>#REF!</f>
        <v>#REF!</v>
      </c>
      <c r="K25" s="258" t="e">
        <f>#REF!</f>
        <v>#REF!</v>
      </c>
      <c r="L25" s="297" t="e">
        <f>#REF!</f>
        <v>#REF!</v>
      </c>
      <c r="M25" s="227">
        <v>11.17</v>
      </c>
      <c r="N25" s="1139" t="e">
        <f>#REF!</f>
        <v>#REF!</v>
      </c>
      <c r="O25" s="1140"/>
      <c r="P25" s="1141"/>
    </row>
    <row r="26" spans="1:16" ht="24" customHeight="1">
      <c r="A26" s="1127"/>
      <c r="B26" s="261" t="s">
        <v>207</v>
      </c>
      <c r="C26" s="1121" t="e">
        <f>#REF!</f>
        <v>#REF!</v>
      </c>
      <c r="D26" s="1122"/>
      <c r="E26" s="1123"/>
      <c r="F26" s="282" t="s">
        <v>237</v>
      </c>
      <c r="G26" s="261" t="e">
        <f>#REF!</f>
        <v>#REF!</v>
      </c>
      <c r="H26" s="263"/>
      <c r="I26" s="263" t="e">
        <f>#REF!</f>
        <v>#REF!</v>
      </c>
      <c r="J26" s="262" t="e">
        <f>#REF!</f>
        <v>#REF!</v>
      </c>
      <c r="K26" s="316" t="e">
        <f>#REF!</f>
        <v>#REF!</v>
      </c>
      <c r="L26" s="355" t="e">
        <f>#REF!</f>
        <v>#REF!</v>
      </c>
      <c r="M26" s="356">
        <v>11.48</v>
      </c>
      <c r="N26" s="1166"/>
      <c r="O26" s="1167"/>
      <c r="P26" s="1168"/>
    </row>
    <row r="27" spans="1:16" ht="17.25" customHeight="1">
      <c r="A27" s="1110" t="s">
        <v>227</v>
      </c>
      <c r="B27" s="1111"/>
      <c r="C27" s="1112" t="s">
        <v>242</v>
      </c>
      <c r="D27" s="1113"/>
      <c r="E27" s="1114"/>
      <c r="F27" s="1118" t="s">
        <v>243</v>
      </c>
      <c r="G27" s="1119"/>
      <c r="H27" s="1119"/>
      <c r="I27" s="1119"/>
      <c r="J27" s="1119"/>
      <c r="K27" s="283"/>
      <c r="L27" s="1119"/>
      <c r="M27" s="1119"/>
      <c r="N27" s="1159"/>
      <c r="O27" s="1159"/>
      <c r="P27" s="1160"/>
    </row>
  </sheetData>
  <mergeCells count="59">
    <mergeCell ref="D1:G2"/>
    <mergeCell ref="C19:E19"/>
    <mergeCell ref="J13:L13"/>
    <mergeCell ref="C17:E17"/>
    <mergeCell ref="C18:E18"/>
    <mergeCell ref="C10:C11"/>
    <mergeCell ref="J9:L9"/>
    <mergeCell ref="J10:L10"/>
    <mergeCell ref="J11:L11"/>
    <mergeCell ref="J12:L12"/>
    <mergeCell ref="J5:L5"/>
    <mergeCell ref="J6:L6"/>
    <mergeCell ref="J15:L15"/>
    <mergeCell ref="J14:L14"/>
    <mergeCell ref="C16:E16"/>
    <mergeCell ref="N16:P16"/>
    <mergeCell ref="N18:P18"/>
    <mergeCell ref="N19:P19"/>
    <mergeCell ref="A27:B27"/>
    <mergeCell ref="C27:E27"/>
    <mergeCell ref="F27:J27"/>
    <mergeCell ref="C26:E26"/>
    <mergeCell ref="A25:A26"/>
    <mergeCell ref="C25:E25"/>
    <mergeCell ref="C21:E21"/>
    <mergeCell ref="C23:E23"/>
    <mergeCell ref="A21:A22"/>
    <mergeCell ref="A23:A24"/>
    <mergeCell ref="C22:E22"/>
    <mergeCell ref="C20:E20"/>
    <mergeCell ref="C24:E24"/>
    <mergeCell ref="N12:P12"/>
    <mergeCell ref="N10:P11"/>
    <mergeCell ref="N14:P14"/>
    <mergeCell ref="N13:P13"/>
    <mergeCell ref="N15:P15"/>
    <mergeCell ref="A7:A8"/>
    <mergeCell ref="A9:A11"/>
    <mergeCell ref="B10:B11"/>
    <mergeCell ref="A19:A20"/>
    <mergeCell ref="A12:A13"/>
    <mergeCell ref="A17:A18"/>
    <mergeCell ref="A14:A15"/>
    <mergeCell ref="N6:P6"/>
    <mergeCell ref="J7:L7"/>
    <mergeCell ref="N7:P7"/>
    <mergeCell ref="J8:L8"/>
    <mergeCell ref="L27:M27"/>
    <mergeCell ref="N27:P27"/>
    <mergeCell ref="N26:P26"/>
    <mergeCell ref="N23:P23"/>
    <mergeCell ref="N21:P21"/>
    <mergeCell ref="N22:P22"/>
    <mergeCell ref="N20:P20"/>
    <mergeCell ref="N24:P24"/>
    <mergeCell ref="N25:P25"/>
    <mergeCell ref="N8:P8"/>
    <mergeCell ref="N9:P9"/>
    <mergeCell ref="N17:P17"/>
  </mergeCells>
  <phoneticPr fontId="26" type="noConversion"/>
  <pageMargins left="0.43" right="0.16" top="0.35" bottom="0.16" header="0.31" footer="0.24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P26"/>
  <sheetViews>
    <sheetView topLeftCell="A14" workbookViewId="0">
      <selection activeCell="E13" sqref="E13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2.62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9" t="s">
        <v>230</v>
      </c>
      <c r="O1" s="79" t="s">
        <v>231</v>
      </c>
    </row>
    <row r="2" spans="1:16" ht="16.5" customHeight="1">
      <c r="D2" s="1093"/>
      <c r="E2" s="1093"/>
      <c r="F2" s="1093"/>
      <c r="G2" s="1093"/>
      <c r="M2" s="286" t="s">
        <v>185</v>
      </c>
      <c r="N2" s="76">
        <v>4</v>
      </c>
      <c r="O2" s="76">
        <v>3</v>
      </c>
    </row>
    <row r="3" spans="1:16">
      <c r="M3" s="287" t="s">
        <v>186</v>
      </c>
      <c r="N3" s="76">
        <v>10</v>
      </c>
      <c r="O3" s="76">
        <v>8</v>
      </c>
    </row>
    <row r="4" spans="1:16">
      <c r="M4" s="287" t="s">
        <v>191</v>
      </c>
      <c r="N4" s="76">
        <v>1</v>
      </c>
      <c r="O4" s="76">
        <v>0</v>
      </c>
    </row>
    <row r="5" spans="1:16">
      <c r="A5" s="234" t="s">
        <v>187</v>
      </c>
      <c r="B5" s="234"/>
      <c r="C5" s="235">
        <v>41521</v>
      </c>
      <c r="D5" s="236" t="s">
        <v>244</v>
      </c>
      <c r="E5" s="115"/>
      <c r="G5" s="238" t="s">
        <v>189</v>
      </c>
      <c r="H5" s="238" t="s">
        <v>190</v>
      </c>
      <c r="I5" s="238"/>
      <c r="J5" s="1094"/>
      <c r="K5" s="1094"/>
      <c r="L5" s="1094"/>
      <c r="M5" s="286"/>
      <c r="N5" s="76"/>
      <c r="O5" s="79"/>
    </row>
    <row r="6" spans="1:16" s="76" customFormat="1" ht="51.75" customHeight="1">
      <c r="A6" s="84" t="s">
        <v>192</v>
      </c>
      <c r="B6" s="84" t="s">
        <v>193</v>
      </c>
      <c r="C6" s="84" t="s">
        <v>194</v>
      </c>
      <c r="D6" s="84" t="s">
        <v>195</v>
      </c>
      <c r="E6" s="247" t="s">
        <v>196</v>
      </c>
      <c r="F6" s="247" t="s">
        <v>197</v>
      </c>
      <c r="G6" s="247" t="s">
        <v>198</v>
      </c>
      <c r="H6" s="257" t="s">
        <v>199</v>
      </c>
      <c r="I6" s="247" t="s">
        <v>200</v>
      </c>
      <c r="J6" s="1095" t="s">
        <v>201</v>
      </c>
      <c r="K6" s="1065"/>
      <c r="L6" s="1066"/>
      <c r="M6" s="288" t="s">
        <v>202</v>
      </c>
      <c r="N6" s="1063" t="s">
        <v>203</v>
      </c>
      <c r="O6" s="1063"/>
      <c r="P6" s="1063"/>
    </row>
    <row r="7" spans="1:16" ht="15" customHeight="1">
      <c r="A7" s="1067" t="s">
        <v>204</v>
      </c>
      <c r="B7" s="244" t="s">
        <v>205</v>
      </c>
      <c r="C7" s="244" t="s">
        <v>209</v>
      </c>
      <c r="D7" s="244"/>
      <c r="E7" s="84"/>
      <c r="F7" s="84"/>
      <c r="G7" s="258"/>
      <c r="H7" s="259"/>
      <c r="I7" s="289"/>
      <c r="J7" s="1064"/>
      <c r="K7" s="1156"/>
      <c r="L7" s="1157"/>
      <c r="M7" s="227"/>
      <c r="N7" s="1090"/>
      <c r="O7" s="1091"/>
      <c r="P7" s="1092"/>
    </row>
    <row r="8" spans="1:16" ht="15" customHeight="1">
      <c r="A8" s="1068"/>
      <c r="B8" s="260" t="s">
        <v>207</v>
      </c>
      <c r="C8" s="260" t="s">
        <v>209</v>
      </c>
      <c r="D8" s="261"/>
      <c r="E8" s="261"/>
      <c r="F8" s="261"/>
      <c r="G8" s="262"/>
      <c r="H8" s="263"/>
      <c r="I8" s="270"/>
      <c r="J8" s="1069"/>
      <c r="K8" s="1070"/>
      <c r="L8" s="1071"/>
      <c r="M8" s="290"/>
      <c r="N8" s="1078"/>
      <c r="O8" s="1079"/>
      <c r="P8" s="1080"/>
    </row>
    <row r="9" spans="1:16" ht="19.5" customHeight="1">
      <c r="A9" s="1067" t="s">
        <v>208</v>
      </c>
      <c r="B9" s="93" t="s">
        <v>205</v>
      </c>
      <c r="C9" s="244" t="e">
        <f>#REF!</f>
        <v>#REF!</v>
      </c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8.09</v>
      </c>
      <c r="N9" s="1153" t="e">
        <f>#REF!</f>
        <v>#REF!</v>
      </c>
      <c r="O9" s="1154"/>
      <c r="P9" s="1155"/>
    </row>
    <row r="10" spans="1:16" ht="19.5" customHeight="1">
      <c r="A10" s="1068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9.4</v>
      </c>
      <c r="N10" s="1078"/>
      <c r="O10" s="1079"/>
      <c r="P10" s="1080"/>
    </row>
    <row r="11" spans="1:16" ht="14.25" customHeight="1">
      <c r="A11" s="1067" t="s">
        <v>210</v>
      </c>
      <c r="B11" s="244" t="s">
        <v>205</v>
      </c>
      <c r="C11" s="93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68"/>
      <c r="B12" s="260" t="s">
        <v>207</v>
      </c>
      <c r="C12" s="260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ht="15.75" customHeight="1">
      <c r="A13" s="1067" t="s">
        <v>211</v>
      </c>
      <c r="B13" s="244" t="s">
        <v>205</v>
      </c>
      <c r="C13" s="93" t="s">
        <v>209</v>
      </c>
      <c r="D13" s="93"/>
      <c r="E13" s="134"/>
      <c r="F13" s="134"/>
      <c r="G13" s="266"/>
      <c r="H13" s="267"/>
      <c r="I13" s="291"/>
      <c r="J13" s="1072"/>
      <c r="K13" s="1073"/>
      <c r="L13" s="1074"/>
      <c r="M13" s="292"/>
      <c r="N13" s="1098"/>
      <c r="O13" s="1099"/>
      <c r="P13" s="1100"/>
    </row>
    <row r="14" spans="1:16" ht="16.5" customHeight="1">
      <c r="A14" s="1068"/>
      <c r="B14" s="260" t="s">
        <v>207</v>
      </c>
      <c r="C14" s="260" t="s">
        <v>209</v>
      </c>
      <c r="D14" s="261"/>
      <c r="E14" s="261"/>
      <c r="F14" s="261"/>
      <c r="G14" s="270"/>
      <c r="H14" s="263"/>
      <c r="I14" s="270"/>
      <c r="J14" s="1069"/>
      <c r="K14" s="1070"/>
      <c r="L14" s="1071"/>
      <c r="M14" s="290"/>
      <c r="N14" s="1078"/>
      <c r="O14" s="1079"/>
      <c r="P14" s="1080"/>
    </row>
    <row r="15" spans="1:16" s="76" customFormat="1" ht="55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s="76" customFormat="1" ht="19.5" customHeight="1">
      <c r="A16" s="1126" t="s">
        <v>233</v>
      </c>
      <c r="B16" s="84" t="s">
        <v>205</v>
      </c>
      <c r="C16" s="1104" t="s">
        <v>209</v>
      </c>
      <c r="D16" s="1105"/>
      <c r="E16" s="1106"/>
      <c r="F16" s="231"/>
      <c r="G16" s="230"/>
      <c r="H16" s="230"/>
      <c r="I16" s="364"/>
      <c r="J16" s="335"/>
      <c r="K16" s="335"/>
      <c r="L16" s="227"/>
      <c r="M16" s="247"/>
      <c r="N16" s="1147"/>
      <c r="O16" s="1148"/>
      <c r="P16" s="1149"/>
    </row>
    <row r="17" spans="1:16" s="76" customFormat="1" ht="18.95" customHeight="1">
      <c r="A17" s="1165"/>
      <c r="B17" s="261" t="s">
        <v>207</v>
      </c>
      <c r="C17" s="1107" t="s">
        <v>209</v>
      </c>
      <c r="D17" s="1108"/>
      <c r="E17" s="1109"/>
      <c r="F17" s="362"/>
      <c r="G17" s="363"/>
      <c r="H17" s="363"/>
      <c r="I17" s="365"/>
      <c r="J17" s="293"/>
      <c r="K17" s="293"/>
      <c r="L17" s="290"/>
      <c r="M17" s="367"/>
      <c r="N17" s="1175"/>
      <c r="O17" s="1176"/>
      <c r="P17" s="1176"/>
    </row>
    <row r="18" spans="1:16" ht="22.7" customHeight="1">
      <c r="A18" s="1126" t="s">
        <v>241</v>
      </c>
      <c r="B18" s="84" t="s">
        <v>205</v>
      </c>
      <c r="C18" s="1161" t="e">
        <f>#REF!</f>
        <v>#REF!</v>
      </c>
      <c r="D18" s="1162"/>
      <c r="E18" s="1163"/>
      <c r="F18" s="272" t="s">
        <v>245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98">
        <v>1.05</v>
      </c>
      <c r="N18" s="1177"/>
      <c r="O18" s="1178"/>
      <c r="P18" s="1179"/>
    </row>
    <row r="19" spans="1:16" ht="32.25" customHeight="1">
      <c r="A19" s="1127"/>
      <c r="B19" s="274" t="s">
        <v>207</v>
      </c>
      <c r="C19" s="1121" t="e">
        <f>#REF!</f>
        <v>#REF!</v>
      </c>
      <c r="D19" s="1122"/>
      <c r="E19" s="1123"/>
      <c r="F19" s="277" t="s">
        <v>245</v>
      </c>
      <c r="G19" s="260" t="e">
        <f>#REF!</f>
        <v>#REF!</v>
      </c>
      <c r="H19" s="278" t="e">
        <f>G19/1106*290</f>
        <v>#REF!</v>
      </c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301">
        <v>3.08</v>
      </c>
      <c r="N19" s="1142" t="e">
        <f>#REF!</f>
        <v>#REF!</v>
      </c>
      <c r="O19" s="1145"/>
      <c r="P19" s="1146"/>
    </row>
    <row r="20" spans="1:16" ht="25.5" customHeight="1">
      <c r="A20" s="1126" t="s">
        <v>223</v>
      </c>
      <c r="B20" s="244" t="s">
        <v>205</v>
      </c>
      <c r="C20" s="1161" t="e">
        <f>#REF!</f>
        <v>#REF!</v>
      </c>
      <c r="D20" s="1162"/>
      <c r="E20" s="1163"/>
      <c r="F20" s="279" t="s">
        <v>234</v>
      </c>
      <c r="G20" s="244" t="e">
        <f>#REF!</f>
        <v>#REF!</v>
      </c>
      <c r="H20" s="273"/>
      <c r="I20" s="259" t="e">
        <f>#REF!</f>
        <v>#REF!</v>
      </c>
      <c r="J20" s="258" t="e">
        <f>#REF!</f>
        <v>#REF!</v>
      </c>
      <c r="K20" s="258" t="e">
        <f>#REF!</f>
        <v>#REF!</v>
      </c>
      <c r="L20" s="297" t="e">
        <f>#REF!</f>
        <v>#REF!</v>
      </c>
      <c r="M20" s="227">
        <v>8.42</v>
      </c>
      <c r="N20" s="1139"/>
      <c r="O20" s="1140"/>
      <c r="P20" s="1141"/>
    </row>
    <row r="21" spans="1:16" ht="27" customHeight="1">
      <c r="A21" s="1127"/>
      <c r="B21" s="260" t="s">
        <v>207</v>
      </c>
      <c r="C21" s="1121" t="e">
        <f>#REF!</f>
        <v>#REF!</v>
      </c>
      <c r="D21" s="1122"/>
      <c r="E21" s="1123"/>
      <c r="F21" s="280" t="s">
        <v>234</v>
      </c>
      <c r="G21" s="260" t="e">
        <f>#REF!</f>
        <v>#REF!</v>
      </c>
      <c r="H21" s="278"/>
      <c r="I21" s="263" t="e">
        <f>#REF!</f>
        <v>#REF!</v>
      </c>
      <c r="J21" s="262" t="e">
        <f>#REF!</f>
        <v>#REF!</v>
      </c>
      <c r="K21" s="262" t="e">
        <f>#REF!</f>
        <v>#REF!</v>
      </c>
      <c r="L21" s="300" t="e">
        <f>#REF!</f>
        <v>#REF!</v>
      </c>
      <c r="M21" s="290">
        <v>3.16</v>
      </c>
      <c r="N21" s="1142"/>
      <c r="O21" s="1145"/>
      <c r="P21" s="1146"/>
    </row>
    <row r="22" spans="1:16" ht="20.25" customHeight="1">
      <c r="A22" s="1126" t="s">
        <v>225</v>
      </c>
      <c r="B22" s="244" t="s">
        <v>205</v>
      </c>
      <c r="C22" s="1104" t="s">
        <v>209</v>
      </c>
      <c r="D22" s="1105"/>
      <c r="E22" s="1106"/>
      <c r="F22" s="85"/>
      <c r="G22" s="134"/>
      <c r="H22" s="259"/>
      <c r="I22" s="259"/>
      <c r="J22" s="258"/>
      <c r="K22" s="302"/>
      <c r="L22" s="297"/>
      <c r="M22" s="227"/>
      <c r="N22" s="1139"/>
      <c r="O22" s="1140"/>
      <c r="P22" s="1141"/>
    </row>
    <row r="23" spans="1:16" s="281" customFormat="1" ht="20.25" customHeight="1">
      <c r="A23" s="1127"/>
      <c r="B23" s="261" t="s">
        <v>207</v>
      </c>
      <c r="C23" s="1107" t="s">
        <v>209</v>
      </c>
      <c r="D23" s="1108"/>
      <c r="E23" s="1109"/>
      <c r="F23" s="282"/>
      <c r="G23" s="261"/>
      <c r="H23" s="263"/>
      <c r="I23" s="263"/>
      <c r="J23" s="262"/>
      <c r="K23" s="333"/>
      <c r="L23" s="300"/>
      <c r="M23" s="301"/>
      <c r="N23" s="1130"/>
      <c r="O23" s="1131"/>
      <c r="P23" s="1132"/>
    </row>
    <row r="24" spans="1:16" ht="33" customHeight="1">
      <c r="A24" s="1126" t="s">
        <v>235</v>
      </c>
      <c r="B24" s="244" t="s">
        <v>205</v>
      </c>
      <c r="C24" s="1161" t="e">
        <f>#REF!</f>
        <v>#REF!</v>
      </c>
      <c r="D24" s="1162"/>
      <c r="E24" s="1163"/>
      <c r="F24" s="85" t="s">
        <v>236</v>
      </c>
      <c r="G24" s="134" t="e">
        <f>#REF!</f>
        <v>#REF!</v>
      </c>
      <c r="H24" s="259"/>
      <c r="I24" s="259" t="e">
        <f>#REF!</f>
        <v>#REF!</v>
      </c>
      <c r="J24" s="258" t="e">
        <f>#REF!</f>
        <v>#REF!</v>
      </c>
      <c r="K24" s="302" t="e">
        <f>#REF!</f>
        <v>#REF!</v>
      </c>
      <c r="L24" s="297" t="e">
        <f>#REF!</f>
        <v>#REF!</v>
      </c>
      <c r="M24" s="227">
        <v>10.09</v>
      </c>
      <c r="N24" s="1139" t="e">
        <f>#REF!</f>
        <v>#REF!</v>
      </c>
      <c r="O24" s="1140"/>
      <c r="P24" s="1141"/>
    </row>
    <row r="25" spans="1:16" s="281" customFormat="1" ht="24.75" customHeight="1">
      <c r="A25" s="1127"/>
      <c r="B25" s="261" t="s">
        <v>207</v>
      </c>
      <c r="C25" s="1121" t="e">
        <f>#REF!</f>
        <v>#REF!</v>
      </c>
      <c r="D25" s="1122"/>
      <c r="E25" s="1123"/>
      <c r="F25" s="282" t="s">
        <v>237</v>
      </c>
      <c r="G25" s="261" t="e">
        <f>#REF!</f>
        <v>#REF!</v>
      </c>
      <c r="H25" s="263"/>
      <c r="I25" s="263" t="e">
        <f>#REF!</f>
        <v>#REF!</v>
      </c>
      <c r="J25" s="262" t="e">
        <f>#REF!</f>
        <v>#REF!</v>
      </c>
      <c r="K25" s="333" t="e">
        <f>#REF!</f>
        <v>#REF!</v>
      </c>
      <c r="L25" s="300" t="e">
        <f>#REF!</f>
        <v>#REF!</v>
      </c>
      <c r="M25" s="301">
        <v>11.23</v>
      </c>
      <c r="N25" s="1130"/>
      <c r="O25" s="1131"/>
      <c r="P25" s="1132"/>
    </row>
    <row r="26" spans="1:16" s="281" customFormat="1" ht="17.25" customHeight="1">
      <c r="A26" s="1110" t="s">
        <v>227</v>
      </c>
      <c r="B26" s="1111"/>
      <c r="C26" s="1112" t="s">
        <v>246</v>
      </c>
      <c r="D26" s="1113"/>
      <c r="E26" s="1114"/>
      <c r="F26" s="1118" t="s">
        <v>247</v>
      </c>
      <c r="G26" s="1119"/>
      <c r="H26" s="1119"/>
      <c r="I26" s="1119"/>
      <c r="J26" s="1120"/>
      <c r="K26" s="285"/>
      <c r="L26" s="1118"/>
      <c r="M26" s="1120"/>
      <c r="N26" s="1158"/>
      <c r="O26" s="1159"/>
      <c r="P26" s="1160"/>
    </row>
  </sheetData>
  <mergeCells count="56">
    <mergeCell ref="A16:A17"/>
    <mergeCell ref="A18:A19"/>
    <mergeCell ref="C18:E18"/>
    <mergeCell ref="A26:B26"/>
    <mergeCell ref="A20:A21"/>
    <mergeCell ref="A22:A23"/>
    <mergeCell ref="A24:A25"/>
    <mergeCell ref="C24:E24"/>
    <mergeCell ref="C17:E17"/>
    <mergeCell ref="C19:E19"/>
    <mergeCell ref="N13:P13"/>
    <mergeCell ref="C15:E15"/>
    <mergeCell ref="N15:P15"/>
    <mergeCell ref="A7:A8"/>
    <mergeCell ref="A9:A10"/>
    <mergeCell ref="A11:A12"/>
    <mergeCell ref="A13:A14"/>
    <mergeCell ref="N14:P14"/>
    <mergeCell ref="N10:P10"/>
    <mergeCell ref="N11:P11"/>
    <mergeCell ref="D1:G2"/>
    <mergeCell ref="C26:E26"/>
    <mergeCell ref="F26:J26"/>
    <mergeCell ref="J13:L13"/>
    <mergeCell ref="L26:M26"/>
    <mergeCell ref="J14:L14"/>
    <mergeCell ref="C16:E16"/>
    <mergeCell ref="J5:L5"/>
    <mergeCell ref="J6:L6"/>
    <mergeCell ref="J11:L11"/>
    <mergeCell ref="N26:P26"/>
    <mergeCell ref="C21:E21"/>
    <mergeCell ref="N21:P21"/>
    <mergeCell ref="C20:E20"/>
    <mergeCell ref="N24:P24"/>
    <mergeCell ref="N25:P25"/>
    <mergeCell ref="C25:E25"/>
    <mergeCell ref="C22:E22"/>
    <mergeCell ref="N22:P22"/>
    <mergeCell ref="C23:E23"/>
    <mergeCell ref="N17:P17"/>
    <mergeCell ref="N23:P23"/>
    <mergeCell ref="N20:P20"/>
    <mergeCell ref="N16:P16"/>
    <mergeCell ref="N18:P18"/>
    <mergeCell ref="N19:P19"/>
    <mergeCell ref="N6:P6"/>
    <mergeCell ref="J7:L7"/>
    <mergeCell ref="N7:P7"/>
    <mergeCell ref="J12:L12"/>
    <mergeCell ref="N12:P12"/>
    <mergeCell ref="J8:L8"/>
    <mergeCell ref="N8:P8"/>
    <mergeCell ref="J9:L9"/>
    <mergeCell ref="N9:P9"/>
    <mergeCell ref="J10:L10"/>
  </mergeCells>
  <phoneticPr fontId="26" type="noConversion"/>
  <pageMargins left="0.39" right="0.17" top="0.31" bottom="0.27" header="0.35" footer="0.32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25"/>
  <sheetViews>
    <sheetView workbookViewId="0">
      <selection activeCell="N2" sqref="N2:O4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.25" style="75" customWidth="1"/>
    <col min="12" max="13" width="8.125" style="75" customWidth="1"/>
    <col min="14" max="14" width="8" style="233" customWidth="1"/>
    <col min="15" max="15" width="11.875" style="233" customWidth="1"/>
    <col min="16" max="16" width="12.62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9" t="s">
        <v>230</v>
      </c>
      <c r="O1" s="79" t="s">
        <v>231</v>
      </c>
    </row>
    <row r="2" spans="1:16" ht="16.5" customHeight="1">
      <c r="D2" s="1093"/>
      <c r="E2" s="1093"/>
      <c r="F2" s="1093"/>
      <c r="G2" s="1093"/>
      <c r="M2" s="286" t="s">
        <v>185</v>
      </c>
      <c r="N2" s="76">
        <v>4</v>
      </c>
      <c r="O2" s="76">
        <v>2</v>
      </c>
    </row>
    <row r="3" spans="1:16">
      <c r="M3" s="287" t="s">
        <v>186</v>
      </c>
      <c r="N3" s="76">
        <v>10</v>
      </c>
      <c r="O3" s="76">
        <v>7</v>
      </c>
    </row>
    <row r="4" spans="1:16">
      <c r="M4" s="287" t="s">
        <v>191</v>
      </c>
      <c r="N4" s="76">
        <v>2</v>
      </c>
      <c r="O4" s="76">
        <v>0</v>
      </c>
    </row>
    <row r="5" spans="1:16">
      <c r="A5" s="234" t="s">
        <v>187</v>
      </c>
      <c r="B5" s="234"/>
      <c r="C5" s="235">
        <v>41522</v>
      </c>
      <c r="D5" s="236" t="s">
        <v>248</v>
      </c>
      <c r="E5" s="115"/>
      <c r="G5" s="238" t="s">
        <v>189</v>
      </c>
      <c r="H5" s="238" t="s">
        <v>190</v>
      </c>
      <c r="I5" s="238"/>
      <c r="J5" s="1094"/>
      <c r="K5" s="1094"/>
      <c r="L5" s="1094"/>
      <c r="M5" s="286"/>
      <c r="N5" s="76"/>
      <c r="O5" s="79"/>
    </row>
    <row r="6" spans="1:16" s="76" customFormat="1" ht="50.25" customHeight="1">
      <c r="A6" s="84" t="s">
        <v>192</v>
      </c>
      <c r="B6" s="84" t="s">
        <v>193</v>
      </c>
      <c r="C6" s="84" t="s">
        <v>194</v>
      </c>
      <c r="D6" s="84" t="s">
        <v>195</v>
      </c>
      <c r="E6" s="247" t="s">
        <v>196</v>
      </c>
      <c r="F6" s="247" t="s">
        <v>197</v>
      </c>
      <c r="G6" s="247" t="s">
        <v>198</v>
      </c>
      <c r="H6" s="257" t="s">
        <v>199</v>
      </c>
      <c r="I6" s="247" t="s">
        <v>200</v>
      </c>
      <c r="J6" s="1095" t="s">
        <v>201</v>
      </c>
      <c r="K6" s="1065"/>
      <c r="L6" s="1066"/>
      <c r="M6" s="288" t="s">
        <v>202</v>
      </c>
      <c r="N6" s="1063" t="s">
        <v>203</v>
      </c>
      <c r="O6" s="1063"/>
      <c r="P6" s="1063"/>
    </row>
    <row r="7" spans="1:16" ht="17.25" customHeight="1">
      <c r="A7" s="1067" t="s">
        <v>204</v>
      </c>
      <c r="B7" s="244" t="s">
        <v>205</v>
      </c>
      <c r="C7" s="244" t="s">
        <v>209</v>
      </c>
      <c r="D7" s="244"/>
      <c r="E7" s="84"/>
      <c r="F7" s="84"/>
      <c r="G7" s="258"/>
      <c r="H7" s="259"/>
      <c r="I7" s="289"/>
      <c r="J7" s="1064"/>
      <c r="K7" s="1156"/>
      <c r="L7" s="1157"/>
      <c r="M7" s="227"/>
      <c r="N7" s="1090"/>
      <c r="O7" s="1091"/>
      <c r="P7" s="1092"/>
    </row>
    <row r="8" spans="1:16" ht="16.5" customHeight="1">
      <c r="A8" s="1068"/>
      <c r="B8" s="260" t="s">
        <v>207</v>
      </c>
      <c r="C8" s="260" t="s">
        <v>209</v>
      </c>
      <c r="D8" s="261"/>
      <c r="E8" s="261"/>
      <c r="F8" s="261"/>
      <c r="G8" s="262"/>
      <c r="H8" s="263"/>
      <c r="I8" s="270"/>
      <c r="J8" s="1069"/>
      <c r="K8" s="1070"/>
      <c r="L8" s="1071"/>
      <c r="M8" s="290"/>
      <c r="N8" s="1078"/>
      <c r="O8" s="1079"/>
      <c r="P8" s="1080"/>
    </row>
    <row r="9" spans="1:16" ht="21" customHeight="1">
      <c r="A9" s="1067" t="s">
        <v>208</v>
      </c>
      <c r="B9" s="1180" t="s">
        <v>205</v>
      </c>
      <c r="C9" s="1182" t="e">
        <f>#REF!</f>
        <v>#REF!</v>
      </c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4.22</v>
      </c>
      <c r="N9" s="1087"/>
      <c r="O9" s="1088"/>
      <c r="P9" s="1089"/>
    </row>
    <row r="10" spans="1:16" ht="21" customHeight="1">
      <c r="A10" s="1075"/>
      <c r="B10" s="1181"/>
      <c r="C10" s="1183"/>
      <c r="D10" s="93" t="e">
        <f>#REF!</f>
        <v>#REF!</v>
      </c>
      <c r="E10" s="265" t="e">
        <f>#REF!</f>
        <v>#REF!</v>
      </c>
      <c r="F10" s="134" t="e">
        <f>#REF!</f>
        <v>#REF!</v>
      </c>
      <c r="G10" s="266" t="e">
        <f>#REF!</f>
        <v>#REF!</v>
      </c>
      <c r="H10" s="267"/>
      <c r="I10" s="291" t="e">
        <f>#REF!</f>
        <v>#REF!</v>
      </c>
      <c r="J10" s="1072" t="e">
        <f>#REF!</f>
        <v>#REF!</v>
      </c>
      <c r="K10" s="1073"/>
      <c r="L10" s="1074"/>
      <c r="M10" s="292">
        <v>3.5</v>
      </c>
      <c r="N10" s="1190"/>
      <c r="O10" s="1191"/>
      <c r="P10" s="1192"/>
    </row>
    <row r="11" spans="1:16" ht="20.25" customHeight="1">
      <c r="A11" s="1068"/>
      <c r="B11" s="260" t="s">
        <v>207</v>
      </c>
      <c r="C11" s="268" t="e">
        <f>#REF!</f>
        <v>#REF!</v>
      </c>
      <c r="D11" s="260" t="e">
        <f>#REF!</f>
        <v>#REF!</v>
      </c>
      <c r="E11" s="261" t="e">
        <f>#REF!</f>
        <v>#REF!</v>
      </c>
      <c r="F11" s="261" t="e">
        <f>#REF!</f>
        <v>#REF!</v>
      </c>
      <c r="G11" s="269" t="e">
        <f>#REF!</f>
        <v>#REF!</v>
      </c>
      <c r="H11" s="263"/>
      <c r="I11" s="293" t="e">
        <f>#REF!</f>
        <v>#REF!</v>
      </c>
      <c r="J11" s="1069" t="e">
        <f>#REF!</f>
        <v>#REF!</v>
      </c>
      <c r="K11" s="1070"/>
      <c r="L11" s="1071"/>
      <c r="M11" s="290">
        <v>9.4499999999999993</v>
      </c>
      <c r="N11" s="1078"/>
      <c r="O11" s="1079"/>
      <c r="P11" s="1080"/>
    </row>
    <row r="12" spans="1:16" ht="15.75" customHeight="1">
      <c r="A12" s="1067" t="s">
        <v>210</v>
      </c>
      <c r="B12" s="244" t="s">
        <v>205</v>
      </c>
      <c r="C12" s="24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5.75" customHeight="1">
      <c r="A13" s="1068"/>
      <c r="B13" s="260" t="s">
        <v>207</v>
      </c>
      <c r="C13" s="260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51.7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s="76" customFormat="1" ht="22.7" customHeight="1">
      <c r="A15" s="1126" t="s">
        <v>233</v>
      </c>
      <c r="B15" s="84" t="s">
        <v>205</v>
      </c>
      <c r="C15" s="1161" t="s">
        <v>209</v>
      </c>
      <c r="D15" s="1162"/>
      <c r="E15" s="1163"/>
      <c r="F15" s="231"/>
      <c r="G15" s="230"/>
      <c r="H15" s="230"/>
      <c r="I15" s="364"/>
      <c r="J15" s="334"/>
      <c r="K15" s="371"/>
      <c r="L15" s="227"/>
      <c r="M15" s="247"/>
      <c r="N15" s="1147"/>
      <c r="O15" s="1148"/>
      <c r="P15" s="1149"/>
    </row>
    <row r="16" spans="1:16" s="76" customFormat="1" ht="19.5" customHeight="1">
      <c r="A16" s="1189"/>
      <c r="B16" s="261" t="s">
        <v>207</v>
      </c>
      <c r="C16" s="1164" t="s">
        <v>209</v>
      </c>
      <c r="D16" s="1151"/>
      <c r="E16" s="1152"/>
      <c r="F16" s="362"/>
      <c r="G16" s="367"/>
      <c r="H16" s="367"/>
      <c r="I16" s="365"/>
      <c r="J16" s="269"/>
      <c r="K16" s="366"/>
      <c r="L16" s="290"/>
      <c r="M16" s="367"/>
      <c r="N16" s="1175"/>
      <c r="O16" s="1176"/>
      <c r="P16" s="1176"/>
    </row>
    <row r="17" spans="1:16" ht="21.75" customHeight="1">
      <c r="A17" s="1126" t="s">
        <v>241</v>
      </c>
      <c r="B17" s="314" t="s">
        <v>205</v>
      </c>
      <c r="C17" s="1184" t="e">
        <f>#REF!</f>
        <v>#REF!</v>
      </c>
      <c r="D17" s="1185"/>
      <c r="E17" s="1186"/>
      <c r="F17" s="370" t="s">
        <v>245</v>
      </c>
      <c r="G17" s="84" t="e">
        <f>#REF!</f>
        <v>#REF!</v>
      </c>
      <c r="H17" s="259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98">
        <v>3.48</v>
      </c>
      <c r="N17" s="1187"/>
      <c r="O17" s="1188"/>
      <c r="P17" s="1188"/>
    </row>
    <row r="18" spans="1:16" ht="18" customHeight="1">
      <c r="A18" s="1127"/>
      <c r="B18" s="274" t="s">
        <v>207</v>
      </c>
      <c r="C18" s="1164" t="s">
        <v>209</v>
      </c>
      <c r="D18" s="1151"/>
      <c r="E18" s="1152"/>
      <c r="F18" s="277"/>
      <c r="G18" s="260"/>
      <c r="H18" s="278">
        <f>G18/1106*290</f>
        <v>0</v>
      </c>
      <c r="I18" s="263"/>
      <c r="J18" s="262"/>
      <c r="K18" s="262"/>
      <c r="L18" s="300"/>
      <c r="M18" s="301"/>
      <c r="N18" s="1142"/>
      <c r="O18" s="1145"/>
      <c r="P18" s="1146"/>
    </row>
    <row r="19" spans="1:16" ht="21.75" customHeight="1">
      <c r="A19" s="1126" t="s">
        <v>223</v>
      </c>
      <c r="B19" s="244" t="s">
        <v>205</v>
      </c>
      <c r="C19" s="1161" t="e">
        <f>#REF!</f>
        <v>#REF!</v>
      </c>
      <c r="D19" s="1162"/>
      <c r="E19" s="1163"/>
      <c r="F19" s="279" t="s">
        <v>234</v>
      </c>
      <c r="G19" s="244" t="e">
        <f>#REF!</f>
        <v>#REF!</v>
      </c>
      <c r="H19" s="273"/>
      <c r="I19" s="259" t="e">
        <f>#REF!</f>
        <v>#REF!</v>
      </c>
      <c r="J19" s="258" t="e">
        <f>#REF!</f>
        <v>#REF!</v>
      </c>
      <c r="K19" s="258" t="e">
        <f>#REF!</f>
        <v>#REF!</v>
      </c>
      <c r="L19" s="297" t="e">
        <f>#REF!</f>
        <v>#REF!</v>
      </c>
      <c r="M19" s="227">
        <v>8.2899999999999991</v>
      </c>
      <c r="N19" s="1139"/>
      <c r="O19" s="1140"/>
      <c r="P19" s="1141"/>
    </row>
    <row r="20" spans="1:16" ht="21" customHeight="1">
      <c r="A20" s="1127"/>
      <c r="B20" s="260" t="s">
        <v>207</v>
      </c>
      <c r="C20" s="1121" t="e">
        <f>#REF!</f>
        <v>#REF!</v>
      </c>
      <c r="D20" s="1122"/>
      <c r="E20" s="1123"/>
      <c r="F20" s="280" t="s">
        <v>234</v>
      </c>
      <c r="G20" s="260" t="e">
        <f>#REF!</f>
        <v>#REF!</v>
      </c>
      <c r="H20" s="278"/>
      <c r="I20" s="263" t="e">
        <f>#REF!</f>
        <v>#REF!</v>
      </c>
      <c r="J20" s="262" t="e">
        <f>#REF!</f>
        <v>#REF!</v>
      </c>
      <c r="K20" s="262" t="e">
        <f>#REF!</f>
        <v>#REF!</v>
      </c>
      <c r="L20" s="300" t="e">
        <f>#REF!</f>
        <v>#REF!</v>
      </c>
      <c r="M20" s="290">
        <v>10</v>
      </c>
      <c r="N20" s="1142"/>
      <c r="O20" s="1145"/>
      <c r="P20" s="1146"/>
    </row>
    <row r="21" spans="1:16" ht="17.25" customHeight="1">
      <c r="A21" s="1126" t="s">
        <v>225</v>
      </c>
      <c r="B21" s="84" t="s">
        <v>205</v>
      </c>
      <c r="C21" s="1161" t="s">
        <v>209</v>
      </c>
      <c r="D21" s="1162"/>
      <c r="E21" s="1163"/>
      <c r="F21" s="85"/>
      <c r="G21" s="134"/>
      <c r="H21" s="259"/>
      <c r="I21" s="259"/>
      <c r="J21" s="258"/>
      <c r="K21" s="302"/>
      <c r="L21" s="297"/>
      <c r="M21" s="227"/>
      <c r="N21" s="1139"/>
      <c r="O21" s="1140"/>
      <c r="P21" s="1141"/>
    </row>
    <row r="22" spans="1:16" ht="17.25" customHeight="1">
      <c r="A22" s="1127"/>
      <c r="B22" s="261" t="s">
        <v>207</v>
      </c>
      <c r="C22" s="1164" t="s">
        <v>209</v>
      </c>
      <c r="D22" s="1151"/>
      <c r="E22" s="1152"/>
      <c r="F22" s="282"/>
      <c r="G22" s="261"/>
      <c r="H22" s="263"/>
      <c r="I22" s="263"/>
      <c r="J22" s="262"/>
      <c r="K22" s="333"/>
      <c r="L22" s="300"/>
      <c r="M22" s="301"/>
      <c r="N22" s="1130"/>
      <c r="O22" s="1131"/>
      <c r="P22" s="1132"/>
    </row>
    <row r="23" spans="1:16" ht="21" customHeight="1">
      <c r="A23" s="1126" t="s">
        <v>235</v>
      </c>
      <c r="B23" s="84" t="s">
        <v>205</v>
      </c>
      <c r="C23" s="1161" t="e">
        <f>#REF!</f>
        <v>#REF!</v>
      </c>
      <c r="D23" s="1162"/>
      <c r="E23" s="1163"/>
      <c r="F23" s="85" t="s">
        <v>236</v>
      </c>
      <c r="G23" s="134" t="e">
        <f>#REF!</f>
        <v>#REF!</v>
      </c>
      <c r="H23" s="259"/>
      <c r="I23" s="259" t="e">
        <f>#REF!</f>
        <v>#REF!</v>
      </c>
      <c r="J23" s="258" t="e">
        <f>#REF!</f>
        <v>#REF!</v>
      </c>
      <c r="K23" s="258" t="e">
        <f>#REF!</f>
        <v>#REF!</v>
      </c>
      <c r="L23" s="297" t="e">
        <f>#REF!</f>
        <v>#REF!</v>
      </c>
      <c r="M23" s="227">
        <v>11.29</v>
      </c>
      <c r="N23" s="1139" t="e">
        <f>#REF!</f>
        <v>#REF!</v>
      </c>
      <c r="O23" s="1140"/>
      <c r="P23" s="1141"/>
    </row>
    <row r="24" spans="1:16" ht="59.25" customHeight="1">
      <c r="A24" s="1127"/>
      <c r="B24" s="261" t="s">
        <v>207</v>
      </c>
      <c r="C24" s="1121" t="e">
        <f>#REF!</f>
        <v>#REF!</v>
      </c>
      <c r="D24" s="1122"/>
      <c r="E24" s="1123"/>
      <c r="F24" s="282" t="s">
        <v>249</v>
      </c>
      <c r="G24" s="261" t="e">
        <f>#REF!</f>
        <v>#REF!</v>
      </c>
      <c r="H24" s="263"/>
      <c r="I24" s="263" t="e">
        <f>#REF!</f>
        <v>#REF!</v>
      </c>
      <c r="J24" s="262" t="e">
        <f>#REF!</f>
        <v>#REF!</v>
      </c>
      <c r="K24" s="262" t="e">
        <f>#REF!</f>
        <v>#REF!</v>
      </c>
      <c r="L24" s="300" t="e">
        <f>#REF!</f>
        <v>#REF!</v>
      </c>
      <c r="M24" s="301">
        <v>3.42</v>
      </c>
      <c r="N24" s="1130" t="e">
        <f>#REF!</f>
        <v>#REF!</v>
      </c>
      <c r="O24" s="1131"/>
      <c r="P24" s="1132"/>
    </row>
    <row r="25" spans="1:16" ht="17.25" customHeight="1">
      <c r="A25" s="1110" t="s">
        <v>227</v>
      </c>
      <c r="B25" s="1111"/>
      <c r="C25" s="1112" t="s">
        <v>250</v>
      </c>
      <c r="D25" s="1113"/>
      <c r="E25" s="1114"/>
      <c r="F25" s="1118" t="s">
        <v>298</v>
      </c>
      <c r="G25" s="1119"/>
      <c r="H25" s="1119"/>
      <c r="I25" s="1119"/>
      <c r="J25" s="1120"/>
      <c r="K25" s="285"/>
      <c r="L25" s="1118"/>
      <c r="M25" s="1120"/>
      <c r="N25" s="1158"/>
      <c r="O25" s="1159"/>
      <c r="P25" s="1160"/>
    </row>
  </sheetData>
  <mergeCells count="54">
    <mergeCell ref="A23:A24"/>
    <mergeCell ref="N23:P23"/>
    <mergeCell ref="C23:E23"/>
    <mergeCell ref="A25:B25"/>
    <mergeCell ref="C25:E25"/>
    <mergeCell ref="F25:J25"/>
    <mergeCell ref="N25:P25"/>
    <mergeCell ref="L25:M25"/>
    <mergeCell ref="C24:E24"/>
    <mergeCell ref="N24:P24"/>
    <mergeCell ref="N19:P19"/>
    <mergeCell ref="C21:E21"/>
    <mergeCell ref="D1:G2"/>
    <mergeCell ref="C15:E15"/>
    <mergeCell ref="C16:E16"/>
    <mergeCell ref="N18:P18"/>
    <mergeCell ref="J5:L5"/>
    <mergeCell ref="J6:L6"/>
    <mergeCell ref="N8:P8"/>
    <mergeCell ref="C14:E14"/>
    <mergeCell ref="J10:L10"/>
    <mergeCell ref="N9:P10"/>
    <mergeCell ref="N6:P6"/>
    <mergeCell ref="N15:P15"/>
    <mergeCell ref="N16:P16"/>
    <mergeCell ref="A21:A22"/>
    <mergeCell ref="C17:E17"/>
    <mergeCell ref="N13:P13"/>
    <mergeCell ref="N14:P14"/>
    <mergeCell ref="J13:L13"/>
    <mergeCell ref="C22:E22"/>
    <mergeCell ref="C20:E20"/>
    <mergeCell ref="N17:P17"/>
    <mergeCell ref="N21:P21"/>
    <mergeCell ref="N20:P20"/>
    <mergeCell ref="A15:A16"/>
    <mergeCell ref="C19:E19"/>
    <mergeCell ref="C18:E18"/>
    <mergeCell ref="A19:A20"/>
    <mergeCell ref="A17:A18"/>
    <mergeCell ref="N22:P22"/>
    <mergeCell ref="A7:A8"/>
    <mergeCell ref="N12:P12"/>
    <mergeCell ref="J8:L8"/>
    <mergeCell ref="N11:P11"/>
    <mergeCell ref="A9:A11"/>
    <mergeCell ref="A12:A13"/>
    <mergeCell ref="J7:L7"/>
    <mergeCell ref="N7:P7"/>
    <mergeCell ref="J12:L12"/>
    <mergeCell ref="J9:L9"/>
    <mergeCell ref="J11:L11"/>
    <mergeCell ref="B9:B10"/>
    <mergeCell ref="C9:C10"/>
  </mergeCells>
  <phoneticPr fontId="26" type="noConversion"/>
  <pageMargins left="0.48" right="0.21" top="0.17" bottom="0.18" header="0.17" footer="0.2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P28"/>
  <sheetViews>
    <sheetView workbookViewId="0">
      <selection activeCell="I10" sqref="I10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2.62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9" t="s">
        <v>230</v>
      </c>
      <c r="O1" s="79" t="s">
        <v>231</v>
      </c>
    </row>
    <row r="2" spans="1:16" ht="16.5" customHeight="1">
      <c r="D2" s="1093"/>
      <c r="E2" s="1093"/>
      <c r="F2" s="1093"/>
      <c r="G2" s="1093"/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10</v>
      </c>
      <c r="O3" s="76">
        <v>8</v>
      </c>
    </row>
    <row r="4" spans="1:16">
      <c r="M4" s="287" t="s">
        <v>191</v>
      </c>
      <c r="N4" s="76">
        <v>2</v>
      </c>
      <c r="O4" s="76">
        <v>0</v>
      </c>
    </row>
    <row r="5" spans="1:16">
      <c r="A5" s="234" t="s">
        <v>187</v>
      </c>
      <c r="B5" s="234"/>
      <c r="C5" s="235">
        <v>41523</v>
      </c>
      <c r="D5" s="236" t="s">
        <v>248</v>
      </c>
      <c r="E5" s="115"/>
      <c r="G5" s="238" t="s">
        <v>189</v>
      </c>
      <c r="H5" s="238" t="s">
        <v>190</v>
      </c>
      <c r="I5" s="238"/>
      <c r="J5" s="1094"/>
      <c r="K5" s="1094"/>
      <c r="L5" s="1094"/>
      <c r="M5" s="286"/>
      <c r="N5" s="76"/>
      <c r="O5" s="79"/>
    </row>
    <row r="6" spans="1:16" s="76" customFormat="1" ht="51.75" customHeight="1">
      <c r="A6" s="84" t="s">
        <v>192</v>
      </c>
      <c r="B6" s="84" t="s">
        <v>193</v>
      </c>
      <c r="C6" s="84" t="s">
        <v>194</v>
      </c>
      <c r="D6" s="84" t="s">
        <v>195</v>
      </c>
      <c r="E6" s="247" t="s">
        <v>196</v>
      </c>
      <c r="F6" s="247" t="s">
        <v>197</v>
      </c>
      <c r="G6" s="247" t="s">
        <v>198</v>
      </c>
      <c r="H6" s="257" t="s">
        <v>199</v>
      </c>
      <c r="I6" s="247" t="s">
        <v>200</v>
      </c>
      <c r="J6" s="1095" t="s">
        <v>201</v>
      </c>
      <c r="K6" s="1065"/>
      <c r="L6" s="1066"/>
      <c r="M6" s="288" t="s">
        <v>202</v>
      </c>
      <c r="N6" s="1063" t="s">
        <v>203</v>
      </c>
      <c r="O6" s="1063"/>
      <c r="P6" s="1063"/>
    </row>
    <row r="7" spans="1:16" ht="17.25" customHeight="1">
      <c r="A7" s="1067" t="s">
        <v>204</v>
      </c>
      <c r="B7" s="244" t="s">
        <v>205</v>
      </c>
      <c r="C7" s="304" t="s">
        <v>209</v>
      </c>
      <c r="D7" s="244"/>
      <c r="E7" s="84"/>
      <c r="F7" s="84"/>
      <c r="G7" s="258"/>
      <c r="H7" s="259"/>
      <c r="I7" s="289"/>
      <c r="J7" s="1064"/>
      <c r="K7" s="1156"/>
      <c r="L7" s="1157"/>
      <c r="M7" s="227"/>
      <c r="N7" s="1090"/>
      <c r="O7" s="1091"/>
      <c r="P7" s="1092"/>
    </row>
    <row r="8" spans="1:16" ht="16.5" customHeight="1">
      <c r="A8" s="1068"/>
      <c r="B8" s="260" t="s">
        <v>207</v>
      </c>
      <c r="C8" s="268" t="s">
        <v>209</v>
      </c>
      <c r="D8" s="260"/>
      <c r="E8" s="261"/>
      <c r="F8" s="261"/>
      <c r="G8" s="262"/>
      <c r="H8" s="263"/>
      <c r="I8" s="270"/>
      <c r="J8" s="1069"/>
      <c r="K8" s="1070"/>
      <c r="L8" s="1071"/>
      <c r="M8" s="290"/>
      <c r="N8" s="1081"/>
      <c r="O8" s="1082"/>
      <c r="P8" s="1083"/>
    </row>
    <row r="9" spans="1:16" ht="19.5" customHeight="1">
      <c r="A9" s="1067" t="s">
        <v>208</v>
      </c>
      <c r="B9" s="1180" t="s">
        <v>205</v>
      </c>
      <c r="C9" s="1182" t="e">
        <f>#REF!</f>
        <v>#REF!</v>
      </c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2.56</v>
      </c>
      <c r="N9" s="1153"/>
      <c r="O9" s="1154"/>
      <c r="P9" s="1155"/>
    </row>
    <row r="10" spans="1:16" ht="19.5" customHeight="1">
      <c r="A10" s="1075"/>
      <c r="B10" s="1181"/>
      <c r="C10" s="1183"/>
      <c r="D10" s="93" t="e">
        <f>#REF!</f>
        <v>#REF!</v>
      </c>
      <c r="E10" s="265" t="e">
        <f>#REF!</f>
        <v>#REF!</v>
      </c>
      <c r="F10" s="134" t="e">
        <f>#REF!</f>
        <v>#REF!</v>
      </c>
      <c r="G10" s="266" t="e">
        <f>#REF!</f>
        <v>#REF!</v>
      </c>
      <c r="H10" s="267"/>
      <c r="I10" s="291" t="e">
        <f>#REF!</f>
        <v>#REF!</v>
      </c>
      <c r="J10" s="1072" t="e">
        <f>#REF!</f>
        <v>#REF!</v>
      </c>
      <c r="K10" s="1073"/>
      <c r="L10" s="1074"/>
      <c r="M10" s="292">
        <v>6.43</v>
      </c>
      <c r="N10" s="1196"/>
      <c r="O10" s="1197"/>
      <c r="P10" s="1198"/>
    </row>
    <row r="11" spans="1:16" ht="21" customHeight="1">
      <c r="A11" s="1068"/>
      <c r="B11" s="260" t="s">
        <v>207</v>
      </c>
      <c r="C11" s="268" t="e">
        <f>#REF!</f>
        <v>#REF!</v>
      </c>
      <c r="D11" s="260" t="e">
        <f>#REF!</f>
        <v>#REF!</v>
      </c>
      <c r="E11" s="261" t="e">
        <f>#REF!</f>
        <v>#REF!</v>
      </c>
      <c r="F11" s="261" t="e">
        <f>#REF!</f>
        <v>#REF!</v>
      </c>
      <c r="G11" s="269" t="e">
        <f>#REF!</f>
        <v>#REF!</v>
      </c>
      <c r="H11" s="263"/>
      <c r="I11" s="293" t="e">
        <f>#REF!</f>
        <v>#REF!</v>
      </c>
      <c r="J11" s="1069" t="e">
        <f>#REF!</f>
        <v>#REF!</v>
      </c>
      <c r="K11" s="1070"/>
      <c r="L11" s="1071"/>
      <c r="M11" s="290">
        <v>8.41</v>
      </c>
      <c r="N11" s="1078"/>
      <c r="O11" s="1079"/>
      <c r="P11" s="1080"/>
    </row>
    <row r="12" spans="1:16" ht="16.5" customHeight="1">
      <c r="A12" s="1067" t="s">
        <v>210</v>
      </c>
      <c r="B12" s="244" t="s">
        <v>205</v>
      </c>
      <c r="C12" s="30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8" customHeight="1">
      <c r="A13" s="1068"/>
      <c r="B13" s="260" t="s">
        <v>207</v>
      </c>
      <c r="C13" s="268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ht="18" customHeight="1">
      <c r="A14" s="1067" t="s">
        <v>211</v>
      </c>
      <c r="B14" s="244" t="s">
        <v>205</v>
      </c>
      <c r="C14" s="304" t="s">
        <v>209</v>
      </c>
      <c r="D14" s="93"/>
      <c r="E14" s="134"/>
      <c r="F14" s="134"/>
      <c r="G14" s="266"/>
      <c r="H14" s="267"/>
      <c r="I14" s="291"/>
      <c r="J14" s="1072"/>
      <c r="K14" s="1073"/>
      <c r="L14" s="1074"/>
      <c r="M14" s="292"/>
      <c r="N14" s="1193"/>
      <c r="O14" s="1194"/>
      <c r="P14" s="1195"/>
    </row>
    <row r="15" spans="1:16" ht="17.25" customHeight="1">
      <c r="A15" s="1127"/>
      <c r="B15" s="260" t="s">
        <v>207</v>
      </c>
      <c r="C15" s="268" t="s">
        <v>209</v>
      </c>
      <c r="D15" s="261"/>
      <c r="E15" s="261"/>
      <c r="F15" s="261"/>
      <c r="G15" s="270"/>
      <c r="H15" s="263"/>
      <c r="I15" s="270"/>
      <c r="J15" s="1069"/>
      <c r="K15" s="1070"/>
      <c r="L15" s="1071"/>
      <c r="M15" s="290"/>
      <c r="N15" s="1078"/>
      <c r="O15" s="1079"/>
      <c r="P15" s="1080"/>
    </row>
    <row r="16" spans="1:16" s="76" customFormat="1" ht="55.5" customHeight="1">
      <c r="A16" s="84" t="s">
        <v>212</v>
      </c>
      <c r="B16" s="84" t="s">
        <v>193</v>
      </c>
      <c r="C16" s="1095" t="s">
        <v>213</v>
      </c>
      <c r="D16" s="1065"/>
      <c r="E16" s="1066"/>
      <c r="F16" s="257" t="s">
        <v>214</v>
      </c>
      <c r="G16" s="271" t="s">
        <v>215</v>
      </c>
      <c r="H16" s="257" t="s">
        <v>216</v>
      </c>
      <c r="I16" s="257" t="s">
        <v>217</v>
      </c>
      <c r="J16" s="294" t="s">
        <v>218</v>
      </c>
      <c r="K16" s="294" t="s">
        <v>219</v>
      </c>
      <c r="L16" s="295" t="s">
        <v>201</v>
      </c>
      <c r="M16" s="257" t="s">
        <v>202</v>
      </c>
      <c r="N16" s="1133" t="s">
        <v>203</v>
      </c>
      <c r="O16" s="1134"/>
      <c r="P16" s="1135"/>
    </row>
    <row r="17" spans="1:16" s="76" customFormat="1" ht="18" customHeight="1">
      <c r="A17" s="1126" t="s">
        <v>233</v>
      </c>
      <c r="B17" s="84" t="s">
        <v>205</v>
      </c>
      <c r="C17" s="1104" t="s">
        <v>209</v>
      </c>
      <c r="D17" s="1105"/>
      <c r="E17" s="1106"/>
      <c r="F17" s="231"/>
      <c r="G17" s="230"/>
      <c r="H17" s="230"/>
      <c r="I17" s="364"/>
      <c r="J17" s="334"/>
      <c r="K17" s="334"/>
      <c r="L17" s="227"/>
      <c r="M17" s="247"/>
      <c r="N17" s="1147"/>
      <c r="O17" s="1148"/>
      <c r="P17" s="1149"/>
    </row>
    <row r="18" spans="1:16" s="76" customFormat="1" ht="18" customHeight="1">
      <c r="A18" s="1165"/>
      <c r="B18" s="261" t="s">
        <v>207</v>
      </c>
      <c r="C18" s="1107" t="s">
        <v>209</v>
      </c>
      <c r="D18" s="1108"/>
      <c r="E18" s="1109"/>
      <c r="F18" s="362"/>
      <c r="G18" s="363"/>
      <c r="H18" s="363"/>
      <c r="I18" s="365"/>
      <c r="J18" s="269"/>
      <c r="K18" s="366"/>
      <c r="L18" s="290"/>
      <c r="M18" s="367"/>
      <c r="N18" s="1175"/>
      <c r="O18" s="1176"/>
      <c r="P18" s="1176"/>
    </row>
    <row r="19" spans="1:16" ht="21.75" customHeight="1">
      <c r="A19" s="1126" t="s">
        <v>241</v>
      </c>
      <c r="B19" s="84" t="s">
        <v>205</v>
      </c>
      <c r="C19" s="1104" t="e">
        <f>#REF!</f>
        <v>#REF!</v>
      </c>
      <c r="D19" s="1105"/>
      <c r="E19" s="1106"/>
      <c r="F19" s="272" t="s">
        <v>245</v>
      </c>
      <c r="G19" s="244" t="e">
        <f>#REF!</f>
        <v>#REF!</v>
      </c>
      <c r="H19" s="273"/>
      <c r="I19" s="259" t="e">
        <f>#REF!</f>
        <v>#REF!</v>
      </c>
      <c r="J19" s="258" t="e">
        <f>#REF!</f>
        <v>#REF!</v>
      </c>
      <c r="K19" s="258" t="e">
        <f>#REF!</f>
        <v>#REF!</v>
      </c>
      <c r="L19" s="297" t="e">
        <f>#REF!</f>
        <v>#REF!</v>
      </c>
      <c r="M19" s="298">
        <v>3.24</v>
      </c>
      <c r="N19" s="1177"/>
      <c r="O19" s="1178"/>
      <c r="P19" s="1179"/>
    </row>
    <row r="20" spans="1:16" ht="17.25" customHeight="1">
      <c r="A20" s="1127"/>
      <c r="B20" s="274" t="s">
        <v>207</v>
      </c>
      <c r="C20" s="1107" t="s">
        <v>209</v>
      </c>
      <c r="D20" s="1108"/>
      <c r="E20" s="1109"/>
      <c r="F20" s="277"/>
      <c r="G20" s="260"/>
      <c r="H20" s="278">
        <f>G20/1106*290</f>
        <v>0</v>
      </c>
      <c r="I20" s="263"/>
      <c r="J20" s="262"/>
      <c r="K20" s="262"/>
      <c r="L20" s="300"/>
      <c r="M20" s="301"/>
      <c r="N20" s="1142"/>
      <c r="O20" s="1145"/>
      <c r="P20" s="1146"/>
    </row>
    <row r="21" spans="1:16" ht="22.7" customHeight="1">
      <c r="A21" s="1126" t="s">
        <v>223</v>
      </c>
      <c r="B21" s="1199" t="s">
        <v>205</v>
      </c>
      <c r="C21" s="1104" t="e">
        <f>#REF!</f>
        <v>#REF!</v>
      </c>
      <c r="D21" s="1105"/>
      <c r="E21" s="1106"/>
      <c r="F21" s="279" t="s">
        <v>234</v>
      </c>
      <c r="G21" s="1199" t="e">
        <f>#REF!</f>
        <v>#REF!</v>
      </c>
      <c r="H21" s="273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8.2899999999999991</v>
      </c>
      <c r="N21" s="1139"/>
      <c r="O21" s="1140"/>
      <c r="P21" s="1141"/>
    </row>
    <row r="22" spans="1:16" ht="22.7" customHeight="1">
      <c r="A22" s="1189"/>
      <c r="B22" s="1165"/>
      <c r="C22" s="1104" t="e">
        <f>#REF!</f>
        <v>#REF!</v>
      </c>
      <c r="D22" s="1105"/>
      <c r="E22" s="1106"/>
      <c r="F22" s="279" t="s">
        <v>234</v>
      </c>
      <c r="G22" s="1165"/>
      <c r="H22" s="273"/>
      <c r="I22" s="259" t="e">
        <f>#REF!</f>
        <v>#REF!</v>
      </c>
      <c r="J22" s="258" t="e">
        <f>#REF!</f>
        <v>#REF!</v>
      </c>
      <c r="K22" s="258" t="e">
        <f>#REF!</f>
        <v>#REF!</v>
      </c>
      <c r="L22" s="297" t="e">
        <f>#REF!</f>
        <v>#REF!</v>
      </c>
      <c r="M22" s="227">
        <v>0.49</v>
      </c>
      <c r="N22" s="1203"/>
      <c r="O22" s="1204"/>
      <c r="P22" s="1205"/>
    </row>
    <row r="23" spans="1:16" ht="24" customHeight="1">
      <c r="A23" s="1127"/>
      <c r="B23" s="260" t="s">
        <v>207</v>
      </c>
      <c r="C23" s="1107" t="e">
        <f>#REF!</f>
        <v>#REF!</v>
      </c>
      <c r="D23" s="1108"/>
      <c r="E23" s="1109"/>
      <c r="F23" s="280" t="s">
        <v>234</v>
      </c>
      <c r="G23" s="260" t="e">
        <f>#REF!</f>
        <v>#REF!</v>
      </c>
      <c r="H23" s="278"/>
      <c r="I23" s="263" t="e">
        <f>#REF!</f>
        <v>#REF!</v>
      </c>
      <c r="J23" s="262" t="e">
        <f>#REF!</f>
        <v>#REF!</v>
      </c>
      <c r="K23" s="262" t="e">
        <f>#REF!</f>
        <v>#REF!</v>
      </c>
      <c r="L23" s="300" t="e">
        <f>#REF!</f>
        <v>#REF!</v>
      </c>
      <c r="M23" s="290">
        <v>7.56</v>
      </c>
      <c r="N23" s="1142"/>
      <c r="O23" s="1145"/>
      <c r="P23" s="1146"/>
    </row>
    <row r="24" spans="1:16" s="132" customFormat="1" ht="18" customHeight="1">
      <c r="A24" s="1206" t="s">
        <v>225</v>
      </c>
      <c r="B24" s="134" t="s">
        <v>205</v>
      </c>
      <c r="C24" s="1104" t="s">
        <v>209</v>
      </c>
      <c r="D24" s="1105"/>
      <c r="E24" s="1106"/>
      <c r="F24" s="95"/>
      <c r="G24" s="134"/>
      <c r="H24" s="267"/>
      <c r="I24" s="267"/>
      <c r="J24" s="266"/>
      <c r="K24" s="368"/>
      <c r="L24" s="369"/>
      <c r="M24" s="292"/>
      <c r="N24" s="1200"/>
      <c r="O24" s="1201"/>
      <c r="P24" s="1202"/>
    </row>
    <row r="25" spans="1:16" ht="17.25" customHeight="1">
      <c r="A25" s="1127"/>
      <c r="B25" s="261" t="s">
        <v>207</v>
      </c>
      <c r="C25" s="1107" t="s">
        <v>209</v>
      </c>
      <c r="D25" s="1108"/>
      <c r="E25" s="1109"/>
      <c r="F25" s="282"/>
      <c r="G25" s="261"/>
      <c r="H25" s="263"/>
      <c r="I25" s="263"/>
      <c r="J25" s="262"/>
      <c r="K25" s="333"/>
      <c r="L25" s="300"/>
      <c r="M25" s="301"/>
      <c r="N25" s="1130"/>
      <c r="O25" s="1131"/>
      <c r="P25" s="1132"/>
    </row>
    <row r="26" spans="1:16" s="132" customFormat="1" ht="21.75" customHeight="1">
      <c r="A26" s="1206" t="s">
        <v>235</v>
      </c>
      <c r="B26" s="134" t="s">
        <v>205</v>
      </c>
      <c r="C26" s="1207" t="e">
        <f>#REF!</f>
        <v>#REF!</v>
      </c>
      <c r="D26" s="1208"/>
      <c r="E26" s="1209"/>
      <c r="F26" s="95" t="s">
        <v>299</v>
      </c>
      <c r="G26" s="134" t="e">
        <f>#REF!</f>
        <v>#REF!</v>
      </c>
      <c r="H26" s="267"/>
      <c r="I26" s="267" t="e">
        <f>#REF!</f>
        <v>#REF!</v>
      </c>
      <c r="J26" s="266" t="e">
        <f>#REF!</f>
        <v>#REF!</v>
      </c>
      <c r="K26" s="258" t="e">
        <f>#REF!</f>
        <v>#REF!</v>
      </c>
      <c r="L26" s="369" t="e">
        <f>#REF!</f>
        <v>#REF!</v>
      </c>
      <c r="M26" s="292">
        <v>6.59</v>
      </c>
      <c r="N26" s="1200"/>
      <c r="O26" s="1201"/>
      <c r="P26" s="1202"/>
    </row>
    <row r="27" spans="1:16" ht="21.75" customHeight="1">
      <c r="A27" s="1127"/>
      <c r="B27" s="261" t="s">
        <v>207</v>
      </c>
      <c r="C27" s="1121" t="e">
        <f>#REF!</f>
        <v>#REF!</v>
      </c>
      <c r="D27" s="1122"/>
      <c r="E27" s="1123"/>
      <c r="F27" s="282" t="s">
        <v>249</v>
      </c>
      <c r="G27" s="261" t="e">
        <f>#REF!</f>
        <v>#REF!</v>
      </c>
      <c r="H27" s="263"/>
      <c r="I27" s="263" t="e">
        <f>#REF!</f>
        <v>#REF!</v>
      </c>
      <c r="J27" s="262" t="e">
        <f>#REF!</f>
        <v>#REF!</v>
      </c>
      <c r="K27" s="262" t="e">
        <f>#REF!</f>
        <v>#REF!</v>
      </c>
      <c r="L27" s="300" t="e">
        <f>#REF!</f>
        <v>#REF!</v>
      </c>
      <c r="M27" s="301">
        <v>6.51</v>
      </c>
      <c r="N27" s="1130"/>
      <c r="O27" s="1131"/>
      <c r="P27" s="1132"/>
    </row>
    <row r="28" spans="1:16" ht="17.25" customHeight="1">
      <c r="A28" s="1110" t="s">
        <v>227</v>
      </c>
      <c r="B28" s="1111"/>
      <c r="C28" s="1112" t="s">
        <v>300</v>
      </c>
      <c r="D28" s="1113"/>
      <c r="E28" s="1114"/>
      <c r="F28" s="1118" t="s">
        <v>301</v>
      </c>
      <c r="G28" s="1119"/>
      <c r="H28" s="1119"/>
      <c r="I28" s="1119"/>
      <c r="J28" s="1120"/>
      <c r="K28" s="285"/>
      <c r="L28" s="1118"/>
      <c r="M28" s="1120"/>
      <c r="N28" s="1158"/>
      <c r="O28" s="1159"/>
      <c r="P28" s="1160"/>
    </row>
  </sheetData>
  <mergeCells count="64">
    <mergeCell ref="A12:A13"/>
    <mergeCell ref="A28:B28"/>
    <mergeCell ref="C28:E28"/>
    <mergeCell ref="C9:C10"/>
    <mergeCell ref="C26:E26"/>
    <mergeCell ref="C16:E16"/>
    <mergeCell ref="F28:J28"/>
    <mergeCell ref="L28:M28"/>
    <mergeCell ref="D1:G2"/>
    <mergeCell ref="A21:A23"/>
    <mergeCell ref="A24:A25"/>
    <mergeCell ref="A26:A27"/>
    <mergeCell ref="B9:B10"/>
    <mergeCell ref="B21:B22"/>
    <mergeCell ref="C21:E21"/>
    <mergeCell ref="C17:E17"/>
    <mergeCell ref="A7:A8"/>
    <mergeCell ref="C23:E23"/>
    <mergeCell ref="J15:L15"/>
    <mergeCell ref="J5:L5"/>
    <mergeCell ref="J6:L6"/>
    <mergeCell ref="A9:A11"/>
    <mergeCell ref="N28:P28"/>
    <mergeCell ref="A14:A15"/>
    <mergeCell ref="A17:A18"/>
    <mergeCell ref="A19:A20"/>
    <mergeCell ref="C27:E27"/>
    <mergeCell ref="C24:E24"/>
    <mergeCell ref="N24:P24"/>
    <mergeCell ref="C25:E25"/>
    <mergeCell ref="N25:P25"/>
    <mergeCell ref="N26:P26"/>
    <mergeCell ref="N27:P27"/>
    <mergeCell ref="C20:E20"/>
    <mergeCell ref="N20:P20"/>
    <mergeCell ref="N21:P21"/>
    <mergeCell ref="C22:E22"/>
    <mergeCell ref="N22:P22"/>
    <mergeCell ref="N23:P23"/>
    <mergeCell ref="G21:G22"/>
    <mergeCell ref="N18:P18"/>
    <mergeCell ref="C19:E19"/>
    <mergeCell ref="N19:P19"/>
    <mergeCell ref="C18:E18"/>
    <mergeCell ref="N9:P9"/>
    <mergeCell ref="J10:L10"/>
    <mergeCell ref="N10:P10"/>
    <mergeCell ref="J11:L11"/>
    <mergeCell ref="N11:P11"/>
    <mergeCell ref="J9:L9"/>
    <mergeCell ref="N17:P17"/>
    <mergeCell ref="J12:L12"/>
    <mergeCell ref="N12:P12"/>
    <mergeCell ref="J13:L13"/>
    <mergeCell ref="N13:P13"/>
    <mergeCell ref="J14:L14"/>
    <mergeCell ref="N14:P14"/>
    <mergeCell ref="N15:P15"/>
    <mergeCell ref="N16:P16"/>
    <mergeCell ref="N6:P6"/>
    <mergeCell ref="J7:L7"/>
    <mergeCell ref="N7:P7"/>
    <mergeCell ref="J8:L8"/>
    <mergeCell ref="N8:P8"/>
  </mergeCells>
  <phoneticPr fontId="26" type="noConversion"/>
  <pageMargins left="0.51" right="0.17" top="0.17" bottom="0.17" header="0.23" footer="0.17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P26"/>
  <sheetViews>
    <sheetView topLeftCell="B13" workbookViewId="0">
      <selection activeCell="J24" sqref="J24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.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6</v>
      </c>
      <c r="O3" s="76">
        <v>7</v>
      </c>
    </row>
    <row r="4" spans="1:16">
      <c r="A4" s="234" t="s">
        <v>187</v>
      </c>
      <c r="B4" s="234"/>
      <c r="C4" s="235">
        <v>41524</v>
      </c>
      <c r="D4" s="236" t="s">
        <v>302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9.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8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2.7" customHeight="1">
      <c r="A8" s="1067" t="s">
        <v>208</v>
      </c>
      <c r="B8" s="1180" t="s">
        <v>205</v>
      </c>
      <c r="C8" s="1182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1.08</v>
      </c>
      <c r="N8" s="1087" t="e">
        <f>#REF!</f>
        <v>#REF!</v>
      </c>
      <c r="O8" s="1088"/>
      <c r="P8" s="1089"/>
    </row>
    <row r="9" spans="1:16" ht="22.7" customHeight="1">
      <c r="A9" s="1075"/>
      <c r="B9" s="1181"/>
      <c r="C9" s="1183"/>
      <c r="D9" s="332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8.06</v>
      </c>
      <c r="N9" s="1190"/>
      <c r="O9" s="1191"/>
      <c r="P9" s="1192"/>
    </row>
    <row r="10" spans="1:16" ht="22.7" customHeight="1">
      <c r="A10" s="1068"/>
      <c r="B10" s="260" t="s">
        <v>207</v>
      </c>
      <c r="C10" s="268" t="e">
        <f>#REF!</f>
        <v>#REF!</v>
      </c>
      <c r="D10" s="361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8.5500000000000007</v>
      </c>
      <c r="N10" s="1078"/>
      <c r="O10" s="1079"/>
      <c r="P10" s="1080"/>
    </row>
    <row r="11" spans="1:16" ht="18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6.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ht="18" customHeight="1">
      <c r="A13" s="1067" t="s">
        <v>211</v>
      </c>
      <c r="B13" s="244" t="s">
        <v>205</v>
      </c>
      <c r="C13" s="304" t="s">
        <v>209</v>
      </c>
      <c r="D13" s="93"/>
      <c r="E13" s="134"/>
      <c r="F13" s="134"/>
      <c r="G13" s="266"/>
      <c r="H13" s="267"/>
      <c r="I13" s="291"/>
      <c r="J13" s="1072"/>
      <c r="K13" s="1073"/>
      <c r="L13" s="1074"/>
      <c r="M13" s="292"/>
      <c r="N13" s="1098"/>
      <c r="O13" s="1099"/>
      <c r="P13" s="1100"/>
    </row>
    <row r="14" spans="1:16" ht="18.95" customHeight="1">
      <c r="A14" s="1068"/>
      <c r="B14" s="260" t="s">
        <v>207</v>
      </c>
      <c r="C14" s="268" t="s">
        <v>209</v>
      </c>
      <c r="D14" s="261"/>
      <c r="E14" s="261"/>
      <c r="F14" s="261"/>
      <c r="G14" s="270"/>
      <c r="H14" s="263"/>
      <c r="I14" s="270"/>
      <c r="J14" s="1069"/>
      <c r="K14" s="1070"/>
      <c r="L14" s="1071"/>
      <c r="M14" s="290"/>
      <c r="N14" s="1078"/>
      <c r="O14" s="1079"/>
      <c r="P14" s="1080"/>
    </row>
    <row r="15" spans="1:16" s="76" customFormat="1" ht="46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ht="20.25" customHeight="1">
      <c r="A16" s="1126" t="s">
        <v>303</v>
      </c>
      <c r="B16" s="84" t="s">
        <v>205</v>
      </c>
      <c r="C16" s="1161" t="s">
        <v>209</v>
      </c>
      <c r="D16" s="1162"/>
      <c r="E16" s="1163"/>
      <c r="F16" s="272"/>
      <c r="G16" s="244"/>
      <c r="H16" s="273"/>
      <c r="I16" s="259"/>
      <c r="J16" s="258"/>
      <c r="K16" s="258"/>
      <c r="L16" s="297"/>
      <c r="M16" s="298"/>
      <c r="N16" s="1139"/>
      <c r="O16" s="1140"/>
      <c r="P16" s="1141"/>
    </row>
    <row r="17" spans="1:16" ht="18.95" customHeight="1">
      <c r="A17" s="1127"/>
      <c r="B17" s="274" t="s">
        <v>207</v>
      </c>
      <c r="C17" s="1121" t="s">
        <v>209</v>
      </c>
      <c r="D17" s="1122"/>
      <c r="E17" s="1123"/>
      <c r="F17" s="277"/>
      <c r="G17" s="260"/>
      <c r="H17" s="278"/>
      <c r="I17" s="263"/>
      <c r="J17" s="262"/>
      <c r="K17" s="262"/>
      <c r="L17" s="300"/>
      <c r="M17" s="301"/>
      <c r="N17" s="1130"/>
      <c r="O17" s="1131"/>
      <c r="P17" s="1132"/>
    </row>
    <row r="18" spans="1:16" ht="26.25" customHeight="1">
      <c r="A18" s="1126" t="s">
        <v>304</v>
      </c>
      <c r="B18" s="84" t="s">
        <v>205</v>
      </c>
      <c r="C18" s="1161" t="e">
        <f>#REF!</f>
        <v>#REF!</v>
      </c>
      <c r="D18" s="1105"/>
      <c r="E18" s="1106"/>
      <c r="F18" s="272" t="s">
        <v>245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98">
        <v>7.45</v>
      </c>
      <c r="N18" s="1139"/>
      <c r="O18" s="1140"/>
      <c r="P18" s="1141"/>
    </row>
    <row r="19" spans="1:16" ht="20.25" customHeight="1">
      <c r="A19" s="1127"/>
      <c r="B19" s="260" t="s">
        <v>207</v>
      </c>
      <c r="C19" s="1121" t="s">
        <v>209</v>
      </c>
      <c r="D19" s="1122"/>
      <c r="E19" s="1123"/>
      <c r="F19" s="280"/>
      <c r="G19" s="260"/>
      <c r="H19" s="278"/>
      <c r="I19" s="263"/>
      <c r="J19" s="262"/>
      <c r="K19" s="262"/>
      <c r="L19" s="300"/>
      <c r="M19" s="290"/>
      <c r="N19" s="1142"/>
      <c r="O19" s="1145"/>
      <c r="P19" s="1146"/>
    </row>
    <row r="20" spans="1:16" ht="20.25" customHeight="1">
      <c r="A20" s="1126" t="s">
        <v>223</v>
      </c>
      <c r="B20" s="84" t="s">
        <v>205</v>
      </c>
      <c r="C20" s="1161" t="s">
        <v>209</v>
      </c>
      <c r="D20" s="1162"/>
      <c r="E20" s="1163"/>
      <c r="F20" s="272"/>
      <c r="G20" s="244"/>
      <c r="H20" s="273"/>
      <c r="I20" s="259"/>
      <c r="J20" s="258"/>
      <c r="K20" s="258"/>
      <c r="L20" s="297"/>
      <c r="M20" s="298"/>
      <c r="N20" s="1139"/>
      <c r="O20" s="1140"/>
      <c r="P20" s="1141"/>
    </row>
    <row r="21" spans="1:16" ht="27" customHeight="1">
      <c r="A21" s="1127"/>
      <c r="B21" s="260" t="s">
        <v>207</v>
      </c>
      <c r="C21" s="1121" t="e">
        <f>#REF!</f>
        <v>#REF!</v>
      </c>
      <c r="D21" s="1122"/>
      <c r="E21" s="1123"/>
      <c r="F21" s="280" t="s">
        <v>234</v>
      </c>
      <c r="G21" s="260" t="e">
        <f>#REF!</f>
        <v>#REF!</v>
      </c>
      <c r="H21" s="278"/>
      <c r="I21" s="263" t="e">
        <f>#REF!</f>
        <v>#REF!</v>
      </c>
      <c r="J21" s="262" t="e">
        <f>#REF!</f>
        <v>#REF!</v>
      </c>
      <c r="K21" s="262" t="e">
        <f>#REF!</f>
        <v>#REF!</v>
      </c>
      <c r="L21" s="300" t="e">
        <f>#REF!</f>
        <v>#REF!</v>
      </c>
      <c r="M21" s="290">
        <v>11.22</v>
      </c>
      <c r="N21" s="1142"/>
      <c r="O21" s="1145"/>
      <c r="P21" s="1146"/>
    </row>
    <row r="22" spans="1:16" ht="20.25" customHeight="1">
      <c r="A22" s="1124" t="s">
        <v>225</v>
      </c>
      <c r="B22" s="244" t="s">
        <v>205</v>
      </c>
      <c r="C22" s="1161" t="s">
        <v>209</v>
      </c>
      <c r="D22" s="1162"/>
      <c r="E22" s="1163"/>
      <c r="F22" s="85"/>
      <c r="G22" s="93"/>
      <c r="H22" s="259"/>
      <c r="I22" s="273"/>
      <c r="J22" s="326"/>
      <c r="K22" s="302"/>
      <c r="L22" s="297"/>
      <c r="M22" s="227"/>
      <c r="N22" s="1210"/>
      <c r="O22" s="1211"/>
      <c r="P22" s="1212"/>
    </row>
    <row r="23" spans="1:16" ht="20.25" customHeight="1">
      <c r="A23" s="1125"/>
      <c r="B23" s="261" t="s">
        <v>207</v>
      </c>
      <c r="C23" s="1121" t="s">
        <v>209</v>
      </c>
      <c r="D23" s="1122"/>
      <c r="E23" s="1123"/>
      <c r="F23" s="282"/>
      <c r="G23" s="260"/>
      <c r="H23" s="263"/>
      <c r="I23" s="263"/>
      <c r="J23" s="262"/>
      <c r="K23" s="303"/>
      <c r="L23" s="300"/>
      <c r="M23" s="301"/>
      <c r="N23" s="1166"/>
      <c r="O23" s="1167"/>
      <c r="P23" s="1168"/>
    </row>
    <row r="24" spans="1:16" ht="25.5" customHeight="1">
      <c r="A24" s="1124" t="s">
        <v>235</v>
      </c>
      <c r="B24" s="244" t="s">
        <v>205</v>
      </c>
      <c r="C24" s="1161" t="e">
        <f>#REF!</f>
        <v>#REF!</v>
      </c>
      <c r="D24" s="1162"/>
      <c r="E24" s="1163"/>
      <c r="F24" s="85" t="s">
        <v>299</v>
      </c>
      <c r="G24" s="93" t="e">
        <f>#REF!</f>
        <v>#REF!</v>
      </c>
      <c r="H24" s="259"/>
      <c r="I24" s="273" t="e">
        <f>#REF!</f>
        <v>#REF!</v>
      </c>
      <c r="J24" s="326" t="e">
        <f>#REF!</f>
        <v>#REF!</v>
      </c>
      <c r="K24" s="302" t="e">
        <f>#REF!</f>
        <v>#REF!</v>
      </c>
      <c r="L24" s="297" t="e">
        <f>#REF!</f>
        <v>#REF!</v>
      </c>
      <c r="M24" s="227">
        <v>7.07</v>
      </c>
      <c r="N24" s="1210" t="e">
        <f>#REF!</f>
        <v>#REF!</v>
      </c>
      <c r="O24" s="1211"/>
      <c r="P24" s="1212"/>
    </row>
    <row r="25" spans="1:16" ht="24.75" customHeight="1">
      <c r="A25" s="1125"/>
      <c r="B25" s="261" t="s">
        <v>207</v>
      </c>
      <c r="C25" s="1121" t="e">
        <f>#REF!</f>
        <v>#REF!</v>
      </c>
      <c r="D25" s="1122"/>
      <c r="E25" s="1123"/>
      <c r="F25" s="282" t="s">
        <v>299</v>
      </c>
      <c r="G25" s="260" t="e">
        <f>#REF!</f>
        <v>#REF!</v>
      </c>
      <c r="H25" s="263"/>
      <c r="I25" s="263" t="e">
        <f>#REF!</f>
        <v>#REF!</v>
      </c>
      <c r="J25" s="262" t="e">
        <f>#REF!</f>
        <v>#REF!</v>
      </c>
      <c r="K25" s="303" t="e">
        <f>#REF!</f>
        <v>#REF!</v>
      </c>
      <c r="L25" s="300" t="e">
        <f>#REF!</f>
        <v>#REF!</v>
      </c>
      <c r="M25" s="301">
        <v>8.09</v>
      </c>
      <c r="N25" s="1166"/>
      <c r="O25" s="1167"/>
      <c r="P25" s="1168"/>
    </row>
    <row r="26" spans="1:16" ht="17.25" customHeight="1">
      <c r="A26" s="1110" t="s">
        <v>227</v>
      </c>
      <c r="B26" s="1111"/>
      <c r="C26" s="1112" t="s">
        <v>390</v>
      </c>
      <c r="D26" s="1113"/>
      <c r="E26" s="1114"/>
      <c r="F26" s="1118" t="s">
        <v>138</v>
      </c>
      <c r="G26" s="1119"/>
      <c r="H26" s="1119"/>
      <c r="I26" s="1119"/>
      <c r="J26" s="1120"/>
      <c r="K26" s="285"/>
      <c r="L26" s="1118"/>
      <c r="M26" s="1120"/>
      <c r="N26" s="1158"/>
      <c r="O26" s="1159"/>
      <c r="P26" s="1160"/>
    </row>
  </sheetData>
  <mergeCells count="59">
    <mergeCell ref="A24:A25"/>
    <mergeCell ref="N26:P26"/>
    <mergeCell ref="N25:P25"/>
    <mergeCell ref="N24:P24"/>
    <mergeCell ref="F26:J26"/>
    <mergeCell ref="L26:M26"/>
    <mergeCell ref="C25:E25"/>
    <mergeCell ref="C26:E26"/>
    <mergeCell ref="A26:B26"/>
    <mergeCell ref="C24:E24"/>
    <mergeCell ref="A20:A21"/>
    <mergeCell ref="A22:A23"/>
    <mergeCell ref="C18:E18"/>
    <mergeCell ref="A6:A7"/>
    <mergeCell ref="A8:A10"/>
    <mergeCell ref="A11:A12"/>
    <mergeCell ref="A13:A14"/>
    <mergeCell ref="A16:A17"/>
    <mergeCell ref="C17:E17"/>
    <mergeCell ref="C16:E16"/>
    <mergeCell ref="A18:A19"/>
    <mergeCell ref="C19:E19"/>
    <mergeCell ref="N18:P18"/>
    <mergeCell ref="B8:B9"/>
    <mergeCell ref="C8:C9"/>
    <mergeCell ref="C15:E15"/>
    <mergeCell ref="J9:L9"/>
    <mergeCell ref="N16:P16"/>
    <mergeCell ref="J11:L11"/>
    <mergeCell ref="N11:P11"/>
    <mergeCell ref="J10:L10"/>
    <mergeCell ref="N10:P10"/>
    <mergeCell ref="N17:P17"/>
    <mergeCell ref="N14:P14"/>
    <mergeCell ref="N12:P12"/>
    <mergeCell ref="J13:L13"/>
    <mergeCell ref="N15:P15"/>
    <mergeCell ref="N13:P13"/>
    <mergeCell ref="N19:P19"/>
    <mergeCell ref="C23:E23"/>
    <mergeCell ref="N23:P23"/>
    <mergeCell ref="C20:E20"/>
    <mergeCell ref="N20:P20"/>
    <mergeCell ref="C21:E21"/>
    <mergeCell ref="N21:P21"/>
    <mergeCell ref="N22:P22"/>
    <mergeCell ref="C22:E22"/>
    <mergeCell ref="J12:L12"/>
    <mergeCell ref="J14:L14"/>
    <mergeCell ref="N8:P9"/>
    <mergeCell ref="D1:G1"/>
    <mergeCell ref="J4:L4"/>
    <mergeCell ref="J5:L5"/>
    <mergeCell ref="N5:P5"/>
    <mergeCell ref="J6:L6"/>
    <mergeCell ref="N6:P6"/>
    <mergeCell ref="J7:L7"/>
    <mergeCell ref="N7:P7"/>
    <mergeCell ref="J8:L8"/>
  </mergeCells>
  <phoneticPr fontId="26" type="noConversion"/>
  <pageMargins left="0.17" right="0.17" top="0.32" bottom="0.28000000000000003" header="0.17" footer="0.24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O24"/>
  <sheetViews>
    <sheetView workbookViewId="0">
      <selection activeCell="J26" sqref="J26"/>
    </sheetView>
  </sheetViews>
  <sheetFormatPr defaultRowHeight="16.5"/>
  <cols>
    <col min="1" max="1" width="11.625" style="75" bestFit="1" customWidth="1"/>
    <col min="2" max="2" width="5.5" style="75" bestFit="1" customWidth="1"/>
    <col min="3" max="3" width="8.5" style="75" bestFit="1" customWidth="1"/>
    <col min="4" max="4" width="5.5" style="75" bestFit="1" customWidth="1"/>
    <col min="5" max="5" width="7.5" style="75" bestFit="1" customWidth="1"/>
    <col min="6" max="6" width="8" style="75" bestFit="1" customWidth="1"/>
    <col min="7" max="7" width="9.5" style="75" bestFit="1" customWidth="1"/>
    <col min="8" max="8" width="8" style="75" bestFit="1" customWidth="1"/>
    <col min="9" max="9" width="7.75" style="75" bestFit="1" customWidth="1"/>
    <col min="10" max="10" width="9.75" style="75" bestFit="1" customWidth="1"/>
    <col min="11" max="11" width="7.625" style="75" bestFit="1" customWidth="1"/>
    <col min="12" max="12" width="9.625" style="75" bestFit="1" customWidth="1"/>
    <col min="13" max="14" width="5.5" style="233" bestFit="1" customWidth="1"/>
    <col min="15" max="15" width="24.25" style="233" customWidth="1"/>
    <col min="16" max="16384" width="9" style="75"/>
  </cols>
  <sheetData>
    <row r="1" spans="1:15" ht="16.5" customHeight="1">
      <c r="D1" s="1093" t="s">
        <v>182</v>
      </c>
      <c r="E1" s="1093"/>
      <c r="F1" s="1093"/>
      <c r="G1" s="1093"/>
      <c r="M1" s="76" t="s">
        <v>183</v>
      </c>
      <c r="N1" s="76" t="s">
        <v>184</v>
      </c>
    </row>
    <row r="2" spans="1:15">
      <c r="L2" s="286" t="s">
        <v>185</v>
      </c>
      <c r="M2" s="76">
        <v>1</v>
      </c>
      <c r="N2" s="76">
        <v>3</v>
      </c>
    </row>
    <row r="3" spans="1:15">
      <c r="L3" s="287" t="s">
        <v>186</v>
      </c>
      <c r="M3" s="76">
        <v>9</v>
      </c>
      <c r="N3" s="76">
        <v>5</v>
      </c>
    </row>
    <row r="4" spans="1:15">
      <c r="A4" s="234" t="s">
        <v>187</v>
      </c>
      <c r="B4" s="234"/>
      <c r="C4" s="235">
        <v>41494</v>
      </c>
      <c r="D4" s="236" t="s">
        <v>188</v>
      </c>
      <c r="E4" s="115"/>
      <c r="G4" s="238" t="s">
        <v>189</v>
      </c>
      <c r="H4" s="238"/>
      <c r="I4" s="1094"/>
      <c r="J4" s="1094"/>
      <c r="K4" s="1094"/>
      <c r="L4" s="287" t="s">
        <v>191</v>
      </c>
      <c r="M4" s="76">
        <v>1</v>
      </c>
      <c r="N4" s="76">
        <v>0</v>
      </c>
    </row>
    <row r="5" spans="1:15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47" t="s">
        <v>200</v>
      </c>
      <c r="I5" s="1095" t="s">
        <v>201</v>
      </c>
      <c r="J5" s="1065"/>
      <c r="K5" s="1066"/>
      <c r="L5" s="288" t="s">
        <v>202</v>
      </c>
      <c r="M5" s="1063" t="s">
        <v>203</v>
      </c>
      <c r="N5" s="1063"/>
      <c r="O5" s="1063"/>
    </row>
    <row r="6" spans="1:15" s="76" customFormat="1" ht="27.95" customHeight="1">
      <c r="A6" s="1067" t="s">
        <v>204</v>
      </c>
      <c r="B6" s="1199" t="s">
        <v>205</v>
      </c>
      <c r="C6" s="1199" t="e">
        <f>#REF!</f>
        <v>#REF!</v>
      </c>
      <c r="D6" s="244" t="e">
        <f>#REF!</f>
        <v>#REF!</v>
      </c>
      <c r="E6" s="247" t="e">
        <f>#REF!</f>
        <v>#REF!</v>
      </c>
      <c r="F6" s="247" t="e">
        <f>#REF!</f>
        <v>#REF!</v>
      </c>
      <c r="G6" s="247" t="e">
        <f>#REF!</f>
        <v>#REF!</v>
      </c>
      <c r="H6" s="247" t="e">
        <f>#REF!</f>
        <v>#REF!</v>
      </c>
      <c r="I6" s="1213" t="e">
        <f>#REF!</f>
        <v>#REF!</v>
      </c>
      <c r="J6" s="1214"/>
      <c r="K6" s="1215"/>
      <c r="L6" s="232">
        <v>5.2</v>
      </c>
      <c r="M6" s="1133"/>
      <c r="N6" s="1134"/>
      <c r="O6" s="1135"/>
    </row>
    <row r="7" spans="1:15" ht="24.75" customHeight="1">
      <c r="A7" s="1216"/>
      <c r="B7" s="1165"/>
      <c r="C7" s="1165"/>
      <c r="D7" s="244" t="e">
        <f>#REF!</f>
        <v>#REF!</v>
      </c>
      <c r="E7" s="84" t="e">
        <f>#REF!</f>
        <v>#REF!</v>
      </c>
      <c r="F7" s="84" t="e">
        <f>#REF!</f>
        <v>#REF!</v>
      </c>
      <c r="G7" s="289" t="e">
        <f>#REF!</f>
        <v>#REF!</v>
      </c>
      <c r="H7" s="289" t="e">
        <f>#REF!</f>
        <v>#REF!</v>
      </c>
      <c r="I7" s="1064" t="e">
        <f>#REF!</f>
        <v>#REF!</v>
      </c>
      <c r="J7" s="1156"/>
      <c r="K7" s="1157"/>
      <c r="L7" s="227">
        <v>5.38</v>
      </c>
      <c r="M7" s="1090"/>
      <c r="N7" s="1091"/>
      <c r="O7" s="1092"/>
    </row>
    <row r="8" spans="1:15" ht="24" customHeight="1">
      <c r="A8" s="1165"/>
      <c r="B8" s="260" t="s">
        <v>207</v>
      </c>
      <c r="C8" s="260" t="e">
        <f>#REF!</f>
        <v>#REF!</v>
      </c>
      <c r="D8" s="261" t="e">
        <f>#REF!</f>
        <v>#REF!</v>
      </c>
      <c r="E8" s="261" t="e">
        <f>#REF!</f>
        <v>#REF!</v>
      </c>
      <c r="F8" s="261" t="e">
        <f>#REF!</f>
        <v>#REF!</v>
      </c>
      <c r="G8" s="270" t="e">
        <f>#REF!</f>
        <v>#REF!</v>
      </c>
      <c r="H8" s="270" t="e">
        <f>#REF!</f>
        <v>#REF!</v>
      </c>
      <c r="I8" s="1069" t="e">
        <f>#REF!</f>
        <v>#REF!</v>
      </c>
      <c r="J8" s="1070"/>
      <c r="K8" s="1071"/>
      <c r="L8" s="290">
        <v>12.47</v>
      </c>
      <c r="M8" s="1078"/>
      <c r="N8" s="1079"/>
      <c r="O8" s="1080"/>
    </row>
    <row r="9" spans="1:15" ht="15" customHeight="1">
      <c r="A9" s="1067" t="s">
        <v>208</v>
      </c>
      <c r="B9" s="93" t="s">
        <v>205</v>
      </c>
      <c r="C9" s="264" t="s">
        <v>209</v>
      </c>
      <c r="D9" s="134"/>
      <c r="E9" s="265"/>
      <c r="F9" s="134"/>
      <c r="G9" s="266"/>
      <c r="H9" s="291"/>
      <c r="I9" s="1072"/>
      <c r="J9" s="1073"/>
      <c r="K9" s="1074"/>
      <c r="L9" s="292"/>
      <c r="M9" s="1153"/>
      <c r="N9" s="1154"/>
      <c r="O9" s="1155"/>
    </row>
    <row r="10" spans="1:15" ht="15" customHeight="1">
      <c r="A10" s="1068"/>
      <c r="B10" s="260" t="s">
        <v>207</v>
      </c>
      <c r="C10" s="268" t="s">
        <v>209</v>
      </c>
      <c r="D10" s="260"/>
      <c r="E10" s="261"/>
      <c r="F10" s="261"/>
      <c r="G10" s="269"/>
      <c r="H10" s="293"/>
      <c r="I10" s="1069"/>
      <c r="J10" s="1070"/>
      <c r="K10" s="1071"/>
      <c r="L10" s="290"/>
      <c r="M10" s="1078"/>
      <c r="N10" s="1079"/>
      <c r="O10" s="1080"/>
    </row>
    <row r="11" spans="1:15" ht="15" customHeight="1">
      <c r="A11" s="1067" t="s">
        <v>210</v>
      </c>
      <c r="B11" s="244" t="s">
        <v>205</v>
      </c>
      <c r="C11" s="268" t="s">
        <v>209</v>
      </c>
      <c r="D11" s="93"/>
      <c r="E11" s="134"/>
      <c r="F11" s="134"/>
      <c r="G11" s="266"/>
      <c r="H11" s="291"/>
      <c r="I11" s="1072"/>
      <c r="J11" s="1073"/>
      <c r="K11" s="1074"/>
      <c r="L11" s="292"/>
      <c r="M11" s="1098"/>
      <c r="N11" s="1099"/>
      <c r="O11" s="1100"/>
    </row>
    <row r="12" spans="1:15" ht="18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70"/>
      <c r="I12" s="1069"/>
      <c r="J12" s="1070"/>
      <c r="K12" s="1071"/>
      <c r="L12" s="290"/>
      <c r="M12" s="1078"/>
      <c r="N12" s="1079"/>
      <c r="O12" s="1080"/>
    </row>
    <row r="13" spans="1:15" ht="36" customHeight="1">
      <c r="A13" s="1067" t="s">
        <v>211</v>
      </c>
      <c r="B13" s="244" t="s">
        <v>205</v>
      </c>
      <c r="C13" s="304" t="e">
        <f>#REF!</f>
        <v>#REF!</v>
      </c>
      <c r="D13" s="93" t="e">
        <f>#REF!</f>
        <v>#REF!</v>
      </c>
      <c r="E13" s="134" t="e">
        <f>#REF!</f>
        <v>#REF!</v>
      </c>
      <c r="F13" s="134" t="e">
        <f>#REF!</f>
        <v>#REF!</v>
      </c>
      <c r="G13" s="291" t="e">
        <f>#REF!</f>
        <v>#REF!</v>
      </c>
      <c r="H13" s="291" t="e">
        <f>#REF!</f>
        <v>#REF!</v>
      </c>
      <c r="I13" s="1072" t="e">
        <f>#REF!</f>
        <v>#REF!</v>
      </c>
      <c r="J13" s="1073"/>
      <c r="K13" s="1074"/>
      <c r="L13" s="292">
        <v>0.38</v>
      </c>
      <c r="M13" s="1098" t="e">
        <f>#REF!</f>
        <v>#REF!</v>
      </c>
      <c r="N13" s="1099"/>
      <c r="O13" s="1100"/>
    </row>
    <row r="14" spans="1:15" ht="45" customHeight="1">
      <c r="A14" s="1068"/>
      <c r="B14" s="260" t="s">
        <v>207</v>
      </c>
      <c r="C14" s="268" t="e">
        <f>#REF!</f>
        <v>#REF!</v>
      </c>
      <c r="D14" s="261" t="e">
        <f>#REF!</f>
        <v>#REF!</v>
      </c>
      <c r="E14" s="261" t="e">
        <f>#REF!</f>
        <v>#REF!</v>
      </c>
      <c r="F14" s="261" t="e">
        <f>#REF!</f>
        <v>#REF!</v>
      </c>
      <c r="G14" s="270" t="e">
        <f>#REF!</f>
        <v>#REF!</v>
      </c>
      <c r="H14" s="270" t="e">
        <f>#REF!</f>
        <v>#REF!</v>
      </c>
      <c r="I14" s="1069" t="e">
        <f>#REF!</f>
        <v>#REF!</v>
      </c>
      <c r="J14" s="1070"/>
      <c r="K14" s="1071"/>
      <c r="L14" s="290">
        <v>2.4300000000000002</v>
      </c>
      <c r="M14" s="1078" t="e">
        <f>#REF!</f>
        <v>#REF!</v>
      </c>
      <c r="N14" s="1079"/>
      <c r="O14" s="1080"/>
    </row>
    <row r="15" spans="1:15" s="76" customFormat="1" ht="46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217</v>
      </c>
      <c r="I15" s="294" t="s">
        <v>218</v>
      </c>
      <c r="J15" s="294" t="s">
        <v>219</v>
      </c>
      <c r="K15" s="295" t="s">
        <v>201</v>
      </c>
      <c r="L15" s="257" t="s">
        <v>202</v>
      </c>
      <c r="M15" s="1133" t="s">
        <v>203</v>
      </c>
      <c r="N15" s="1134"/>
      <c r="O15" s="1135"/>
    </row>
    <row r="16" spans="1:15" ht="32.25" customHeight="1">
      <c r="A16" s="1126" t="s">
        <v>303</v>
      </c>
      <c r="B16" s="84" t="s">
        <v>205</v>
      </c>
      <c r="C16" s="1161" t="e">
        <f>#REF!</f>
        <v>#REF!</v>
      </c>
      <c r="D16" s="1162"/>
      <c r="E16" s="1163"/>
      <c r="F16" s="272" t="e">
        <f>#REF!</f>
        <v>#REF!</v>
      </c>
      <c r="G16" s="244" t="e">
        <f>#REF!</f>
        <v>#REF!</v>
      </c>
      <c r="H16" s="259" t="e">
        <f>#REF!</f>
        <v>#REF!</v>
      </c>
      <c r="I16" s="289" t="e">
        <f>#REF!</f>
        <v>#REF!</v>
      </c>
      <c r="J16" s="289" t="e">
        <f>#REF!</f>
        <v>#REF!</v>
      </c>
      <c r="K16" s="297" t="e">
        <f>#REF!</f>
        <v>#REF!</v>
      </c>
      <c r="L16" s="298">
        <v>11.33</v>
      </c>
      <c r="M16" s="1139" t="e">
        <f>#REF!</f>
        <v>#REF!</v>
      </c>
      <c r="N16" s="1140"/>
      <c r="O16" s="1141"/>
    </row>
    <row r="17" spans="1:15" ht="33.75" customHeight="1">
      <c r="A17" s="1127"/>
      <c r="B17" s="274" t="s">
        <v>207</v>
      </c>
      <c r="C17" s="1121" t="e">
        <f>#REF!</f>
        <v>#REF!</v>
      </c>
      <c r="D17" s="1122"/>
      <c r="E17" s="1123"/>
      <c r="F17" s="277" t="e">
        <f>#REF!</f>
        <v>#REF!</v>
      </c>
      <c r="G17" s="260" t="e">
        <f>#REF!</f>
        <v>#REF!</v>
      </c>
      <c r="H17" s="263" t="e">
        <f>#REF!</f>
        <v>#REF!</v>
      </c>
      <c r="I17" s="270" t="e">
        <f>#REF!</f>
        <v>#REF!</v>
      </c>
      <c r="J17" s="270" t="e">
        <f>#REF!</f>
        <v>#REF!</v>
      </c>
      <c r="K17" s="300" t="e">
        <f>#REF!</f>
        <v>#REF!</v>
      </c>
      <c r="L17" s="301">
        <v>6.52</v>
      </c>
      <c r="M17" s="1130" t="e">
        <f>#REF!</f>
        <v>#REF!</v>
      </c>
      <c r="N17" s="1131"/>
      <c r="O17" s="1132"/>
    </row>
    <row r="18" spans="1:15" ht="18.95" customHeight="1">
      <c r="A18" s="1126" t="s">
        <v>304</v>
      </c>
      <c r="B18" s="84" t="s">
        <v>205</v>
      </c>
      <c r="C18" s="1161" t="e">
        <f>#REF!</f>
        <v>#REF!</v>
      </c>
      <c r="D18" s="1105"/>
      <c r="E18" s="1106"/>
      <c r="F18" s="272" t="e">
        <f>#REF!</f>
        <v>#REF!</v>
      </c>
      <c r="G18" s="244" t="e">
        <f>#REF!</f>
        <v>#REF!</v>
      </c>
      <c r="H18" s="259" t="e">
        <f>#REF!</f>
        <v>#REF!</v>
      </c>
      <c r="I18" s="289" t="e">
        <f>#REF!</f>
        <v>#REF!</v>
      </c>
      <c r="J18" s="289" t="e">
        <f>#REF!</f>
        <v>#REF!</v>
      </c>
      <c r="K18" s="297" t="e">
        <f>#REF!</f>
        <v>#REF!</v>
      </c>
      <c r="L18" s="298">
        <v>5.59</v>
      </c>
      <c r="M18" s="1139"/>
      <c r="N18" s="1140"/>
      <c r="O18" s="1141"/>
    </row>
    <row r="19" spans="1:15" ht="18" customHeight="1">
      <c r="A19" s="1127"/>
      <c r="B19" s="260" t="s">
        <v>207</v>
      </c>
      <c r="C19" s="1121" t="s">
        <v>209</v>
      </c>
      <c r="D19" s="1122"/>
      <c r="E19" s="1123"/>
      <c r="F19" s="280"/>
      <c r="G19" s="260"/>
      <c r="H19" s="263"/>
      <c r="I19" s="270"/>
      <c r="J19" s="270"/>
      <c r="K19" s="300"/>
      <c r="L19" s="290"/>
      <c r="M19" s="1142"/>
      <c r="N19" s="1145"/>
      <c r="O19" s="1146"/>
    </row>
    <row r="20" spans="1:15" ht="18.95" customHeight="1">
      <c r="A20" s="1126" t="s">
        <v>223</v>
      </c>
      <c r="B20" s="84" t="s">
        <v>205</v>
      </c>
      <c r="C20" s="1121" t="s">
        <v>209</v>
      </c>
      <c r="D20" s="1122"/>
      <c r="E20" s="1123"/>
      <c r="F20" s="272"/>
      <c r="G20" s="244"/>
      <c r="H20" s="259"/>
      <c r="I20" s="289"/>
      <c r="J20" s="289"/>
      <c r="K20" s="297"/>
      <c r="L20" s="298"/>
      <c r="M20" s="1139"/>
      <c r="N20" s="1140"/>
      <c r="O20" s="1141"/>
    </row>
    <row r="21" spans="1:15" ht="18" customHeight="1">
      <c r="A21" s="1127"/>
      <c r="B21" s="260" t="s">
        <v>207</v>
      </c>
      <c r="C21" s="1121" t="s">
        <v>209</v>
      </c>
      <c r="D21" s="1122"/>
      <c r="E21" s="1123"/>
      <c r="F21" s="280"/>
      <c r="G21" s="260"/>
      <c r="H21" s="263"/>
      <c r="I21" s="270"/>
      <c r="J21" s="270"/>
      <c r="K21" s="300"/>
      <c r="L21" s="290"/>
      <c r="M21" s="1142"/>
      <c r="N21" s="1145"/>
      <c r="O21" s="1146"/>
    </row>
    <row r="22" spans="1:15" ht="30.75" customHeight="1">
      <c r="A22" s="1124" t="s">
        <v>225</v>
      </c>
      <c r="B22" s="244" t="s">
        <v>205</v>
      </c>
      <c r="C22" s="1161" t="e">
        <f>#REF!</f>
        <v>#REF!</v>
      </c>
      <c r="D22" s="1162"/>
      <c r="E22" s="1163"/>
      <c r="F22" s="85" t="e">
        <f>#REF!</f>
        <v>#REF!</v>
      </c>
      <c r="G22" s="93" t="e">
        <f>#REF!</f>
        <v>#REF!</v>
      </c>
      <c r="H22" s="273" t="e">
        <f>#REF!</f>
        <v>#REF!</v>
      </c>
      <c r="I22" s="358" t="e">
        <f>#REF!</f>
        <v>#REF!</v>
      </c>
      <c r="J22" s="359" t="e">
        <f>#REF!</f>
        <v>#REF!</v>
      </c>
      <c r="K22" s="297" t="e">
        <f>#REF!</f>
        <v>#REF!</v>
      </c>
      <c r="L22" s="227">
        <v>8.02</v>
      </c>
      <c r="M22" s="1210"/>
      <c r="N22" s="1211"/>
      <c r="O22" s="1212"/>
    </row>
    <row r="23" spans="1:15" ht="24.75" customHeight="1">
      <c r="A23" s="1125"/>
      <c r="B23" s="261" t="s">
        <v>207</v>
      </c>
      <c r="C23" s="1121" t="e">
        <f>#REF!</f>
        <v>#REF!</v>
      </c>
      <c r="D23" s="1122"/>
      <c r="E23" s="1123"/>
      <c r="F23" s="282" t="e">
        <f>#REF!</f>
        <v>#REF!</v>
      </c>
      <c r="G23" s="260" t="e">
        <f>#REF!</f>
        <v>#REF!</v>
      </c>
      <c r="H23" s="263" t="e">
        <f>#REF!</f>
        <v>#REF!</v>
      </c>
      <c r="I23" s="270" t="e">
        <f>#REF!</f>
        <v>#REF!</v>
      </c>
      <c r="J23" s="360" t="e">
        <f>#REF!</f>
        <v>#REF!</v>
      </c>
      <c r="K23" s="300" t="e">
        <f>#REF!</f>
        <v>#REF!</v>
      </c>
      <c r="L23" s="301">
        <v>7.47</v>
      </c>
      <c r="M23" s="1166"/>
      <c r="N23" s="1167"/>
      <c r="O23" s="1168"/>
    </row>
    <row r="24" spans="1:15" ht="17.25" customHeight="1">
      <c r="A24" s="1110" t="s">
        <v>227</v>
      </c>
      <c r="B24" s="1111"/>
      <c r="C24" s="1112" t="s">
        <v>139</v>
      </c>
      <c r="D24" s="1113"/>
      <c r="E24" s="1114"/>
      <c r="F24" s="1118" t="s">
        <v>140</v>
      </c>
      <c r="G24" s="1119"/>
      <c r="H24" s="1119"/>
      <c r="I24" s="1120"/>
      <c r="J24" s="285"/>
      <c r="K24" s="1118"/>
      <c r="L24" s="1120"/>
      <c r="M24" s="1158"/>
      <c r="N24" s="1159"/>
      <c r="O24" s="1160"/>
    </row>
  </sheetData>
  <mergeCells count="55">
    <mergeCell ref="A6:A8"/>
    <mergeCell ref="A9:A10"/>
    <mergeCell ref="M20:O20"/>
    <mergeCell ref="C21:E21"/>
    <mergeCell ref="M21:O21"/>
    <mergeCell ref="B6:B7"/>
    <mergeCell ref="C6:C7"/>
    <mergeCell ref="A11:A12"/>
    <mergeCell ref="A13:A14"/>
    <mergeCell ref="A16:A17"/>
    <mergeCell ref="C15:E15"/>
    <mergeCell ref="I12:K12"/>
    <mergeCell ref="M12:O12"/>
    <mergeCell ref="A18:A19"/>
    <mergeCell ref="M13:O13"/>
    <mergeCell ref="M14:O14"/>
    <mergeCell ref="M24:O24"/>
    <mergeCell ref="A22:A23"/>
    <mergeCell ref="C20:E20"/>
    <mergeCell ref="C22:E22"/>
    <mergeCell ref="M22:O22"/>
    <mergeCell ref="C23:E23"/>
    <mergeCell ref="M23:O23"/>
    <mergeCell ref="A24:B24"/>
    <mergeCell ref="A20:A21"/>
    <mergeCell ref="C24:E24"/>
    <mergeCell ref="F24:I24"/>
    <mergeCell ref="K24:L24"/>
    <mergeCell ref="M16:O16"/>
    <mergeCell ref="M15:O15"/>
    <mergeCell ref="M19:O19"/>
    <mergeCell ref="M17:O17"/>
    <mergeCell ref="I11:K11"/>
    <mergeCell ref="M11:O11"/>
    <mergeCell ref="M18:O18"/>
    <mergeCell ref="C18:E18"/>
    <mergeCell ref="C19:E19"/>
    <mergeCell ref="I13:K13"/>
    <mergeCell ref="I14:K14"/>
    <mergeCell ref="C17:E17"/>
    <mergeCell ref="C16:E16"/>
    <mergeCell ref="I10:K10"/>
    <mergeCell ref="M10:O10"/>
    <mergeCell ref="I6:K6"/>
    <mergeCell ref="M6:O6"/>
    <mergeCell ref="D1:G1"/>
    <mergeCell ref="I4:K4"/>
    <mergeCell ref="I5:K5"/>
    <mergeCell ref="M5:O5"/>
    <mergeCell ref="I7:K7"/>
    <mergeCell ref="M7:O7"/>
    <mergeCell ref="I8:K8"/>
    <mergeCell ref="M8:O8"/>
    <mergeCell ref="I9:K9"/>
    <mergeCell ref="M9:O9"/>
  </mergeCells>
  <phoneticPr fontId="26" type="noConversion"/>
  <pageMargins left="0.24" right="0.17" top="0.22" bottom="0.22" header="0.22" footer="0.17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P23"/>
  <sheetViews>
    <sheetView topLeftCell="A10" workbookViewId="0">
      <selection activeCell="C21" sqref="C21:E21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10.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8</v>
      </c>
      <c r="O3" s="76">
        <v>8</v>
      </c>
    </row>
    <row r="4" spans="1:16">
      <c r="A4" s="234" t="s">
        <v>187</v>
      </c>
      <c r="B4" s="234"/>
      <c r="C4" s="235">
        <v>41526</v>
      </c>
      <c r="D4" s="236" t="s">
        <v>232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6.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0.25" customHeight="1">
      <c r="A8" s="1067" t="s">
        <v>208</v>
      </c>
      <c r="B8" s="1180" t="s">
        <v>205</v>
      </c>
      <c r="C8" s="1182" t="e">
        <f>#REF!</f>
        <v>#REF!</v>
      </c>
      <c r="D8" s="305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2.29</v>
      </c>
      <c r="N8" s="1087" t="e">
        <f>#REF!</f>
        <v>#REF!</v>
      </c>
      <c r="O8" s="1088"/>
      <c r="P8" s="1089"/>
    </row>
    <row r="9" spans="1:16" ht="21" customHeight="1">
      <c r="A9" s="1075"/>
      <c r="B9" s="1220"/>
      <c r="C9" s="1221"/>
      <c r="D9" s="93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2.42</v>
      </c>
      <c r="N9" s="1217"/>
      <c r="O9" s="1218"/>
      <c r="P9" s="1219"/>
    </row>
    <row r="10" spans="1:16" ht="20.25" customHeight="1">
      <c r="A10" s="1075"/>
      <c r="B10" s="1181"/>
      <c r="C10" s="1183"/>
      <c r="D10" s="93" t="e">
        <f>#REF!</f>
        <v>#REF!</v>
      </c>
      <c r="E10" s="265" t="e">
        <f>#REF!</f>
        <v>#REF!</v>
      </c>
      <c r="F10" s="134" t="e">
        <f>#REF!</f>
        <v>#REF!</v>
      </c>
      <c r="G10" s="266" t="e">
        <f>#REF!</f>
        <v>#REF!</v>
      </c>
      <c r="H10" s="267"/>
      <c r="I10" s="291" t="e">
        <f>#REF!</f>
        <v>#REF!</v>
      </c>
      <c r="J10" s="1072" t="e">
        <f>#REF!</f>
        <v>#REF!</v>
      </c>
      <c r="K10" s="1073"/>
      <c r="L10" s="1074"/>
      <c r="M10" s="292">
        <v>1.52</v>
      </c>
      <c r="N10" s="1190"/>
      <c r="O10" s="1191"/>
      <c r="P10" s="1192"/>
    </row>
    <row r="11" spans="1:16" ht="18" customHeight="1">
      <c r="A11" s="1068"/>
      <c r="B11" s="260" t="s">
        <v>207</v>
      </c>
      <c r="C11" s="268" t="e">
        <f>#REF!</f>
        <v>#REF!</v>
      </c>
      <c r="D11" s="260" t="e">
        <f>#REF!</f>
        <v>#REF!</v>
      </c>
      <c r="E11" s="261" t="e">
        <f>#REF!</f>
        <v>#REF!</v>
      </c>
      <c r="F11" s="261" t="e">
        <f>#REF!</f>
        <v>#REF!</v>
      </c>
      <c r="G11" s="269" t="e">
        <f>#REF!</f>
        <v>#REF!</v>
      </c>
      <c r="H11" s="263"/>
      <c r="I11" s="293" t="e">
        <f>#REF!</f>
        <v>#REF!</v>
      </c>
      <c r="J11" s="1069" t="e">
        <f>#REF!</f>
        <v>#REF!</v>
      </c>
      <c r="K11" s="1070"/>
      <c r="L11" s="1071"/>
      <c r="M11" s="290">
        <v>8.02</v>
      </c>
      <c r="N11" s="1078" t="e">
        <f>#REF!</f>
        <v>#REF!</v>
      </c>
      <c r="O11" s="1079"/>
      <c r="P11" s="1080"/>
    </row>
    <row r="12" spans="1:16" ht="15" customHeight="1">
      <c r="A12" s="1067" t="s">
        <v>210</v>
      </c>
      <c r="B12" s="244" t="s">
        <v>205</v>
      </c>
      <c r="C12" s="30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5" customHeight="1">
      <c r="A13" s="1068"/>
      <c r="B13" s="260" t="s">
        <v>207</v>
      </c>
      <c r="C13" s="268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52.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24" customHeight="1">
      <c r="A15" s="1126" t="s">
        <v>241</v>
      </c>
      <c r="B15" s="84" t="s">
        <v>205</v>
      </c>
      <c r="C15" s="1161" t="e">
        <f>#REF!</f>
        <v>#REF!</v>
      </c>
      <c r="D15" s="1162"/>
      <c r="E15" s="1163"/>
      <c r="F15" s="272" t="s">
        <v>245</v>
      </c>
      <c r="G15" s="244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98">
        <v>6.53</v>
      </c>
      <c r="N15" s="1139"/>
      <c r="O15" s="1140"/>
      <c r="P15" s="1141"/>
    </row>
    <row r="16" spans="1:16" ht="24.75" customHeight="1">
      <c r="A16" s="1127"/>
      <c r="B16" s="274" t="s">
        <v>207</v>
      </c>
      <c r="C16" s="1121" t="e">
        <f>#REF!</f>
        <v>#REF!</v>
      </c>
      <c r="D16" s="1122"/>
      <c r="E16" s="1123"/>
      <c r="F16" s="277" t="s">
        <v>245</v>
      </c>
      <c r="G16" s="260" t="e">
        <f>#REF!</f>
        <v>#REF!</v>
      </c>
      <c r="H16" s="278" t="e">
        <f>G16/1106*290</f>
        <v>#REF!</v>
      </c>
      <c r="I16" s="263" t="e">
        <f>#REF!</f>
        <v>#REF!</v>
      </c>
      <c r="J16" s="262" t="e">
        <f>#REF!</f>
        <v>#REF!</v>
      </c>
      <c r="K16" s="262" t="e">
        <f>#REF!</f>
        <v>#REF!</v>
      </c>
      <c r="L16" s="300" t="e">
        <f>#REF!</f>
        <v>#REF!</v>
      </c>
      <c r="M16" s="301">
        <v>4.05</v>
      </c>
      <c r="N16" s="1130"/>
      <c r="O16" s="1131"/>
      <c r="P16" s="1132"/>
    </row>
    <row r="17" spans="1:16" ht="23.25" customHeight="1">
      <c r="A17" s="1126" t="s">
        <v>223</v>
      </c>
      <c r="B17" s="244" t="s">
        <v>205</v>
      </c>
      <c r="C17" s="1161" t="e">
        <f>#REF!</f>
        <v>#REF!</v>
      </c>
      <c r="D17" s="1162"/>
      <c r="E17" s="1163"/>
      <c r="F17" s="279" t="s">
        <v>234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6.15</v>
      </c>
      <c r="N17" s="1139"/>
      <c r="O17" s="1140"/>
      <c r="P17" s="1141"/>
    </row>
    <row r="18" spans="1:16" ht="22.7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234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1.57</v>
      </c>
      <c r="N18" s="1142"/>
      <c r="O18" s="1145"/>
      <c r="P18" s="1146"/>
    </row>
    <row r="19" spans="1:16" ht="21" customHeight="1">
      <c r="A19" s="1124" t="s">
        <v>225</v>
      </c>
      <c r="B19" s="244" t="s">
        <v>205</v>
      </c>
      <c r="C19" s="1161" t="s">
        <v>209</v>
      </c>
      <c r="D19" s="1162"/>
      <c r="E19" s="1163"/>
      <c r="F19" s="85"/>
      <c r="G19" s="93"/>
      <c r="H19" s="259"/>
      <c r="I19" s="273"/>
      <c r="J19" s="326"/>
      <c r="K19" s="302"/>
      <c r="L19" s="297"/>
      <c r="M19" s="227"/>
      <c r="N19" s="1210"/>
      <c r="O19" s="1211"/>
      <c r="P19" s="1212"/>
    </row>
    <row r="20" spans="1:16" ht="23.25" customHeight="1">
      <c r="A20" s="1125"/>
      <c r="B20" s="261" t="s">
        <v>207</v>
      </c>
      <c r="C20" s="1121" t="e">
        <f>#REF!</f>
        <v>#REF!</v>
      </c>
      <c r="D20" s="1122"/>
      <c r="E20" s="1123"/>
      <c r="F20" s="282" t="s">
        <v>141</v>
      </c>
      <c r="G20" s="260" t="e">
        <f>#REF!</f>
        <v>#REF!</v>
      </c>
      <c r="H20" s="263"/>
      <c r="I20" s="263" t="e">
        <f>#REF!</f>
        <v>#REF!</v>
      </c>
      <c r="J20" s="262" t="e">
        <f>#REF!</f>
        <v>#REF!</v>
      </c>
      <c r="K20" s="316" t="e">
        <f>#REF!</f>
        <v>#REF!</v>
      </c>
      <c r="L20" s="300" t="e">
        <f>#REF!</f>
        <v>#REF!</v>
      </c>
      <c r="M20" s="301">
        <v>2.23</v>
      </c>
      <c r="N20" s="1166" t="e">
        <f>#REF!</f>
        <v>#REF!</v>
      </c>
      <c r="O20" s="1167"/>
      <c r="P20" s="1168"/>
    </row>
    <row r="21" spans="1:16" ht="24.75" customHeight="1">
      <c r="A21" s="1124" t="s">
        <v>235</v>
      </c>
      <c r="B21" s="244" t="s">
        <v>205</v>
      </c>
      <c r="C21" s="1161" t="e">
        <f>#REF!</f>
        <v>#REF!</v>
      </c>
      <c r="D21" s="1162"/>
      <c r="E21" s="1163"/>
      <c r="F21" s="85" t="s">
        <v>299</v>
      </c>
      <c r="G21" s="93" t="e">
        <f>#REF!</f>
        <v>#REF!</v>
      </c>
      <c r="H21" s="259"/>
      <c r="I21" s="273" t="e">
        <f>#REF!</f>
        <v>#REF!</v>
      </c>
      <c r="J21" s="326" t="e">
        <f>#REF!</f>
        <v>#REF!</v>
      </c>
      <c r="K21" s="258" t="e">
        <f>#REF!</f>
        <v>#REF!</v>
      </c>
      <c r="L21" s="297" t="e">
        <f>#REF!</f>
        <v>#REF!</v>
      </c>
      <c r="M21" s="227">
        <v>5.12</v>
      </c>
      <c r="N21" s="1210" t="e">
        <f>#REF!</f>
        <v>#REF!</v>
      </c>
      <c r="O21" s="1211"/>
      <c r="P21" s="1212"/>
    </row>
    <row r="22" spans="1:16" ht="27" customHeight="1">
      <c r="A22" s="1125"/>
      <c r="B22" s="261" t="s">
        <v>207</v>
      </c>
      <c r="C22" s="1121" t="e">
        <f>#REF!</f>
        <v>#REF!</v>
      </c>
      <c r="D22" s="1122"/>
      <c r="E22" s="1123"/>
      <c r="F22" s="282" t="s">
        <v>299</v>
      </c>
      <c r="G22" s="260" t="e">
        <f>#REF!</f>
        <v>#REF!</v>
      </c>
      <c r="H22" s="263"/>
      <c r="I22" s="263" t="e">
        <f>#REF!</f>
        <v>#REF!</v>
      </c>
      <c r="J22" s="262" t="e">
        <f>#REF!</f>
        <v>#REF!</v>
      </c>
      <c r="K22" s="316" t="e">
        <f>#REF!</f>
        <v>#REF!</v>
      </c>
      <c r="L22" s="300" t="e">
        <f>#REF!</f>
        <v>#REF!</v>
      </c>
      <c r="M22" s="301">
        <v>9.51</v>
      </c>
      <c r="N22" s="1166"/>
      <c r="O22" s="1167"/>
      <c r="P22" s="1168"/>
    </row>
    <row r="23" spans="1:16" ht="17.25" customHeight="1">
      <c r="A23" s="1110" t="s">
        <v>227</v>
      </c>
      <c r="B23" s="1111"/>
      <c r="C23" s="1112" t="s">
        <v>142</v>
      </c>
      <c r="D23" s="1113"/>
      <c r="E23" s="1114"/>
      <c r="F23" s="1118" t="s">
        <v>143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0">
    <mergeCell ref="N12:P12"/>
    <mergeCell ref="J13:L13"/>
    <mergeCell ref="N13:P13"/>
    <mergeCell ref="N14:P14"/>
    <mergeCell ref="N15:P15"/>
    <mergeCell ref="N20:P20"/>
    <mergeCell ref="N18:P18"/>
    <mergeCell ref="N16:P16"/>
    <mergeCell ref="N17:P17"/>
    <mergeCell ref="N19:P19"/>
    <mergeCell ref="A6:A7"/>
    <mergeCell ref="A8:A11"/>
    <mergeCell ref="A17:A18"/>
    <mergeCell ref="A12:A13"/>
    <mergeCell ref="A15:A16"/>
    <mergeCell ref="N23:P23"/>
    <mergeCell ref="F23:J23"/>
    <mergeCell ref="L23:M23"/>
    <mergeCell ref="N22:P22"/>
    <mergeCell ref="N21:P21"/>
    <mergeCell ref="B8:B10"/>
    <mergeCell ref="C8:C10"/>
    <mergeCell ref="C18:E18"/>
    <mergeCell ref="J9:L9"/>
    <mergeCell ref="J10:L10"/>
    <mergeCell ref="J12:L12"/>
    <mergeCell ref="C14:E14"/>
    <mergeCell ref="C17:E17"/>
    <mergeCell ref="C16:E16"/>
    <mergeCell ref="C15:E15"/>
    <mergeCell ref="A23:B23"/>
    <mergeCell ref="C23:E23"/>
    <mergeCell ref="C19:E19"/>
    <mergeCell ref="A21:A22"/>
    <mergeCell ref="C20:E20"/>
    <mergeCell ref="C21:E21"/>
    <mergeCell ref="C22:E22"/>
    <mergeCell ref="A19:A20"/>
    <mergeCell ref="N11:P11"/>
    <mergeCell ref="D1:G1"/>
    <mergeCell ref="J4:L4"/>
    <mergeCell ref="J5:L5"/>
    <mergeCell ref="N5:P5"/>
    <mergeCell ref="J8:L8"/>
    <mergeCell ref="N7:P7"/>
    <mergeCell ref="J6:L6"/>
    <mergeCell ref="N6:P6"/>
    <mergeCell ref="N8:P10"/>
    <mergeCell ref="J7:L7"/>
    <mergeCell ref="J11:L11"/>
  </mergeCells>
  <phoneticPr fontId="26" type="noConversion"/>
  <pageMargins left="0.19" right="0.17" top="0.56999999999999995" bottom="0.42" header="0.5" footer="0.5"/>
  <pageSetup paperSize="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P25"/>
  <sheetViews>
    <sheetView topLeftCell="B1" workbookViewId="0">
      <selection activeCell="E11" sqref="E11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10.7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" style="75"/>
    <col min="12" max="13" width="8.125" style="75" customWidth="1"/>
    <col min="14" max="14" width="8" style="233" customWidth="1"/>
    <col min="15" max="15" width="11.875" style="233" customWidth="1"/>
    <col min="16" max="16" width="8.3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8</v>
      </c>
      <c r="O3" s="76">
        <v>7</v>
      </c>
    </row>
    <row r="4" spans="1:16">
      <c r="A4" s="234" t="s">
        <v>187</v>
      </c>
      <c r="B4" s="234"/>
      <c r="C4" s="235">
        <v>41527</v>
      </c>
      <c r="D4" s="236" t="s">
        <v>240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s="76" customFormat="1" ht="21" customHeight="1">
      <c r="A6" s="1067" t="s">
        <v>204</v>
      </c>
      <c r="B6" s="244" t="s">
        <v>205</v>
      </c>
      <c r="C6" s="264" t="s">
        <v>209</v>
      </c>
      <c r="D6" s="244"/>
      <c r="E6" s="247"/>
      <c r="F6" s="247"/>
      <c r="G6" s="357"/>
      <c r="H6" s="257"/>
      <c r="I6" s="247"/>
      <c r="J6" s="1213"/>
      <c r="K6" s="1214"/>
      <c r="L6" s="1215"/>
      <c r="M6" s="232"/>
      <c r="N6" s="1095"/>
      <c r="O6" s="1065"/>
      <c r="P6" s="1066"/>
    </row>
    <row r="7" spans="1:16" ht="19.5" customHeight="1">
      <c r="A7" s="1165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1" customHeight="1">
      <c r="A8" s="1067" t="s">
        <v>208</v>
      </c>
      <c r="B8" s="93" t="s">
        <v>205</v>
      </c>
      <c r="C8" s="26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5.56</v>
      </c>
      <c r="N8" s="1153" t="e">
        <f>#REF!</f>
        <v>#REF!</v>
      </c>
      <c r="O8" s="1154"/>
      <c r="P8" s="1155"/>
    </row>
    <row r="9" spans="1:16" ht="21.75" customHeight="1">
      <c r="A9" s="1068"/>
      <c r="B9" s="260" t="s">
        <v>207</v>
      </c>
      <c r="C9" s="268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10.23</v>
      </c>
      <c r="N9" s="1078"/>
      <c r="O9" s="1079"/>
      <c r="P9" s="1080"/>
    </row>
    <row r="10" spans="1:16" ht="15" customHeight="1">
      <c r="A10" s="1067" t="s">
        <v>210</v>
      </c>
      <c r="B10" s="244" t="s">
        <v>205</v>
      </c>
      <c r="C10" s="304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5" customHeight="1">
      <c r="A11" s="1068"/>
      <c r="B11" s="260" t="s">
        <v>207</v>
      </c>
      <c r="C11" s="268" t="s">
        <v>209</v>
      </c>
      <c r="D11" s="261"/>
      <c r="E11" s="261"/>
      <c r="F11" s="261"/>
      <c r="G11" s="262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ht="17.25" customHeight="1">
      <c r="A12" s="1067" t="s">
        <v>211</v>
      </c>
      <c r="B12" s="244" t="s">
        <v>205</v>
      </c>
      <c r="C12" s="30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7.25" customHeight="1">
      <c r="A13" s="1068"/>
      <c r="B13" s="260" t="s">
        <v>207</v>
      </c>
      <c r="C13" s="268" t="s">
        <v>209</v>
      </c>
      <c r="D13" s="261"/>
      <c r="E13" s="261"/>
      <c r="F13" s="261"/>
      <c r="G13" s="262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39.950000000000003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22.7" customHeight="1">
      <c r="A15" s="1126" t="s">
        <v>144</v>
      </c>
      <c r="B15" s="84" t="s">
        <v>205</v>
      </c>
      <c r="C15" s="1161" t="s">
        <v>209</v>
      </c>
      <c r="D15" s="1162"/>
      <c r="E15" s="1163"/>
      <c r="F15" s="272"/>
      <c r="G15" s="244"/>
      <c r="H15" s="273"/>
      <c r="I15" s="259"/>
      <c r="J15" s="258"/>
      <c r="K15" s="258"/>
      <c r="L15" s="297"/>
      <c r="M15" s="298"/>
      <c r="N15" s="1227"/>
      <c r="O15" s="1228"/>
      <c r="P15" s="1229"/>
    </row>
    <row r="16" spans="1:16" ht="20.25" customHeight="1">
      <c r="A16" s="1127"/>
      <c r="B16" s="274" t="s">
        <v>207</v>
      </c>
      <c r="C16" s="1121" t="s">
        <v>209</v>
      </c>
      <c r="D16" s="1122"/>
      <c r="E16" s="1123"/>
      <c r="F16" s="277"/>
      <c r="G16" s="260"/>
      <c r="H16" s="278"/>
      <c r="I16" s="263"/>
      <c r="J16" s="262"/>
      <c r="K16" s="262"/>
      <c r="L16" s="300"/>
      <c r="M16" s="301"/>
      <c r="N16" s="1130"/>
      <c r="O16" s="1131"/>
      <c r="P16" s="1132"/>
    </row>
    <row r="17" spans="1:16" ht="29.25" customHeight="1">
      <c r="A17" s="1126" t="s">
        <v>241</v>
      </c>
      <c r="B17" s="244" t="s">
        <v>205</v>
      </c>
      <c r="C17" s="1161" t="e">
        <f>#REF!</f>
        <v>#REF!</v>
      </c>
      <c r="D17" s="1162"/>
      <c r="E17" s="1163"/>
      <c r="F17" s="279" t="s">
        <v>245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6.2</v>
      </c>
      <c r="N17" s="1139" t="e">
        <f>#REF!</f>
        <v>#REF!</v>
      </c>
      <c r="O17" s="1140"/>
      <c r="P17" s="1141"/>
    </row>
    <row r="18" spans="1:16" ht="28.5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245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7.15</v>
      </c>
      <c r="N18" s="1142"/>
      <c r="O18" s="1145"/>
      <c r="P18" s="1146"/>
    </row>
    <row r="19" spans="1:16" ht="27" customHeight="1">
      <c r="A19" s="1126" t="s">
        <v>223</v>
      </c>
      <c r="B19" s="244" t="s">
        <v>205</v>
      </c>
      <c r="C19" s="1161" t="e">
        <f>#REF!</f>
        <v>#REF!</v>
      </c>
      <c r="D19" s="1162"/>
      <c r="E19" s="1163"/>
      <c r="F19" s="279" t="s">
        <v>234</v>
      </c>
      <c r="G19" s="244" t="e">
        <f>#REF!</f>
        <v>#REF!</v>
      </c>
      <c r="H19" s="273"/>
      <c r="I19" s="259" t="e">
        <f>#REF!</f>
        <v>#REF!</v>
      </c>
      <c r="J19" s="258" t="e">
        <f>#REF!</f>
        <v>#REF!</v>
      </c>
      <c r="K19" s="258" t="e">
        <f>#REF!</f>
        <v>#REF!</v>
      </c>
      <c r="L19" s="297" t="e">
        <f>#REF!</f>
        <v>#REF!</v>
      </c>
      <c r="M19" s="227">
        <v>9.4700000000000006</v>
      </c>
      <c r="N19" s="1139"/>
      <c r="O19" s="1140"/>
      <c r="P19" s="1141"/>
    </row>
    <row r="20" spans="1:16" ht="18" customHeight="1">
      <c r="A20" s="1127"/>
      <c r="B20" s="260" t="s">
        <v>207</v>
      </c>
      <c r="C20" s="1121" t="s">
        <v>209</v>
      </c>
      <c r="D20" s="1122"/>
      <c r="E20" s="1123"/>
      <c r="F20" s="280"/>
      <c r="G20" s="260"/>
      <c r="H20" s="278"/>
      <c r="I20" s="263"/>
      <c r="J20" s="262"/>
      <c r="K20" s="262"/>
      <c r="L20" s="300"/>
      <c r="M20" s="290"/>
      <c r="N20" s="1142"/>
      <c r="O20" s="1145"/>
      <c r="P20" s="1146"/>
    </row>
    <row r="21" spans="1:16" ht="22.7" customHeight="1">
      <c r="A21" s="1126" t="s">
        <v>225</v>
      </c>
      <c r="B21" s="230" t="s">
        <v>205</v>
      </c>
      <c r="C21" s="1161" t="s">
        <v>209</v>
      </c>
      <c r="D21" s="1162"/>
      <c r="E21" s="1163"/>
      <c r="F21" s="342"/>
      <c r="G21" s="84"/>
      <c r="H21" s="273"/>
      <c r="I21" s="273"/>
      <c r="J21" s="326"/>
      <c r="K21" s="258"/>
      <c r="L21" s="297"/>
      <c r="M21" s="227"/>
      <c r="N21" s="1224"/>
      <c r="O21" s="1225"/>
      <c r="P21" s="1226"/>
    </row>
    <row r="22" spans="1:16" ht="19.5" customHeight="1">
      <c r="A22" s="1189"/>
      <c r="B22" s="260" t="s">
        <v>207</v>
      </c>
      <c r="C22" s="1121" t="s">
        <v>209</v>
      </c>
      <c r="D22" s="1122"/>
      <c r="E22" s="1123"/>
      <c r="F22" s="349"/>
      <c r="G22" s="260"/>
      <c r="H22" s="278"/>
      <c r="I22" s="278"/>
      <c r="J22" s="316"/>
      <c r="K22" s="316"/>
      <c r="L22" s="355"/>
      <c r="M22" s="356"/>
      <c r="N22" s="1166"/>
      <c r="O22" s="1167"/>
      <c r="P22" s="1168"/>
    </row>
    <row r="23" spans="1:16" ht="27" customHeight="1">
      <c r="A23" s="1126" t="s">
        <v>235</v>
      </c>
      <c r="B23" s="230" t="s">
        <v>205</v>
      </c>
      <c r="C23" s="1161" t="e">
        <f>#REF!</f>
        <v>#REF!</v>
      </c>
      <c r="D23" s="1162"/>
      <c r="E23" s="1163"/>
      <c r="F23" s="342" t="s">
        <v>299</v>
      </c>
      <c r="G23" s="84" t="e">
        <f>#REF!</f>
        <v>#REF!</v>
      </c>
      <c r="H23" s="273"/>
      <c r="I23" s="273" t="e">
        <f>#REF!</f>
        <v>#REF!</v>
      </c>
      <c r="J23" s="326" t="e">
        <f>#REF!</f>
        <v>#REF!</v>
      </c>
      <c r="K23" s="258" t="e">
        <f>#REF!</f>
        <v>#REF!</v>
      </c>
      <c r="L23" s="297" t="e">
        <f>#REF!</f>
        <v>#REF!</v>
      </c>
      <c r="M23" s="227">
        <v>9.02</v>
      </c>
      <c r="N23" s="1224"/>
      <c r="O23" s="1225"/>
      <c r="P23" s="1226"/>
    </row>
    <row r="24" spans="1:16" ht="26.25" customHeight="1">
      <c r="A24" s="1189"/>
      <c r="B24" s="260" t="s">
        <v>207</v>
      </c>
      <c r="C24" s="1121" t="e">
        <f>#REF!</f>
        <v>#REF!</v>
      </c>
      <c r="D24" s="1122"/>
      <c r="E24" s="1123"/>
      <c r="F24" s="349" t="s">
        <v>299</v>
      </c>
      <c r="G24" s="260" t="e">
        <f>#REF!</f>
        <v>#REF!</v>
      </c>
      <c r="H24" s="278"/>
      <c r="I24" s="278" t="e">
        <f>#REF!</f>
        <v>#REF!</v>
      </c>
      <c r="J24" s="316" t="e">
        <f>#REF!</f>
        <v>#REF!</v>
      </c>
      <c r="K24" s="316" t="e">
        <f>#REF!</f>
        <v>#REF!</v>
      </c>
      <c r="L24" s="355" t="e">
        <f>#REF!</f>
        <v>#REF!</v>
      </c>
      <c r="M24" s="356">
        <v>8.2100000000000009</v>
      </c>
      <c r="N24" s="1166"/>
      <c r="O24" s="1167"/>
      <c r="P24" s="1168"/>
    </row>
    <row r="25" spans="1:16" ht="25.5" customHeight="1">
      <c r="A25" s="1110" t="s">
        <v>227</v>
      </c>
      <c r="B25" s="1129"/>
      <c r="C25" s="1112" t="s">
        <v>145</v>
      </c>
      <c r="D25" s="1128"/>
      <c r="E25" s="1128"/>
      <c r="F25" s="1128"/>
      <c r="G25" s="1129"/>
      <c r="I25" s="1230" t="s">
        <v>149</v>
      </c>
      <c r="J25" s="1230"/>
      <c r="K25" s="1230"/>
      <c r="L25" s="1230"/>
      <c r="M25" s="1230"/>
      <c r="N25" s="1222"/>
      <c r="O25" s="1223"/>
      <c r="P25" s="1223"/>
    </row>
  </sheetData>
  <mergeCells count="55">
    <mergeCell ref="N24:P24"/>
    <mergeCell ref="A25:B25"/>
    <mergeCell ref="A15:A16"/>
    <mergeCell ref="A17:A18"/>
    <mergeCell ref="A19:A20"/>
    <mergeCell ref="A21:A22"/>
    <mergeCell ref="A23:A24"/>
    <mergeCell ref="C25:G25"/>
    <mergeCell ref="I25:M25"/>
    <mergeCell ref="C17:E17"/>
    <mergeCell ref="C19:E19"/>
    <mergeCell ref="C18:E18"/>
    <mergeCell ref="N22:P22"/>
    <mergeCell ref="C23:E23"/>
    <mergeCell ref="N23:P23"/>
    <mergeCell ref="C21:E21"/>
    <mergeCell ref="N21:P21"/>
    <mergeCell ref="C22:E22"/>
    <mergeCell ref="J10:L10"/>
    <mergeCell ref="N18:P18"/>
    <mergeCell ref="C15:E15"/>
    <mergeCell ref="N13:P13"/>
    <mergeCell ref="N15:P15"/>
    <mergeCell ref="N14:P14"/>
    <mergeCell ref="A6:A7"/>
    <mergeCell ref="A8:A9"/>
    <mergeCell ref="A10:A11"/>
    <mergeCell ref="A12:A13"/>
    <mergeCell ref="J9:L9"/>
    <mergeCell ref="J8:L8"/>
    <mergeCell ref="N9:P9"/>
    <mergeCell ref="N10:P10"/>
    <mergeCell ref="N25:P25"/>
    <mergeCell ref="C24:E24"/>
    <mergeCell ref="C14:E14"/>
    <mergeCell ref="J12:L12"/>
    <mergeCell ref="J13:L13"/>
    <mergeCell ref="N19:P19"/>
    <mergeCell ref="N20:P20"/>
    <mergeCell ref="N17:P17"/>
    <mergeCell ref="C20:E20"/>
    <mergeCell ref="C16:E16"/>
    <mergeCell ref="J11:L11"/>
    <mergeCell ref="N11:P11"/>
    <mergeCell ref="N16:P16"/>
    <mergeCell ref="N12:P12"/>
    <mergeCell ref="N8:P8"/>
    <mergeCell ref="D1:G1"/>
    <mergeCell ref="J4:L4"/>
    <mergeCell ref="J5:L5"/>
    <mergeCell ref="N5:P5"/>
    <mergeCell ref="N6:P6"/>
    <mergeCell ref="J7:L7"/>
    <mergeCell ref="N7:P7"/>
    <mergeCell ref="J6:L6"/>
  </mergeCells>
  <phoneticPr fontId="26" type="noConversion"/>
  <pageMargins left="0.17" right="0.18" top="0.36" bottom="0.35" header="0.48" footer="0.35"/>
  <pageSetup paperSize="9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P24"/>
  <sheetViews>
    <sheetView topLeftCell="A7" workbookViewId="0">
      <selection activeCell="K18" sqref="K18"/>
    </sheetView>
  </sheetViews>
  <sheetFormatPr defaultRowHeight="42.75" customHeight="1"/>
  <cols>
    <col min="1" max="1" width="11.625" style="75" bestFit="1" customWidth="1"/>
    <col min="2" max="2" width="5.5" style="75" bestFit="1" customWidth="1"/>
    <col min="3" max="3" width="9.5" style="75" bestFit="1" customWidth="1"/>
    <col min="4" max="4" width="5.5" style="75" bestFit="1" customWidth="1"/>
    <col min="5" max="5" width="7.5" style="75" bestFit="1" customWidth="1"/>
    <col min="6" max="6" width="9" style="75"/>
    <col min="7" max="7" width="9.75" style="75" bestFit="1" customWidth="1"/>
    <col min="8" max="8" width="10.25" style="75" hidden="1" customWidth="1"/>
    <col min="9" max="10" width="8" style="75" bestFit="1" customWidth="1"/>
    <col min="11" max="11" width="9" style="75"/>
    <col min="12" max="12" width="8.625" style="75" bestFit="1" customWidth="1"/>
    <col min="13" max="13" width="9.625" style="75" bestFit="1" customWidth="1"/>
    <col min="14" max="15" width="5.5" style="233" bestFit="1" customWidth="1"/>
    <col min="16" max="16" width="27" style="233" customWidth="1"/>
    <col min="17" max="16384" width="9" style="75"/>
  </cols>
  <sheetData>
    <row r="1" spans="1:16" ht="27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 ht="21.75" customHeight="1">
      <c r="M2" s="286" t="s">
        <v>185</v>
      </c>
      <c r="N2" s="76">
        <v>2</v>
      </c>
      <c r="O2" s="76">
        <v>3</v>
      </c>
    </row>
    <row r="3" spans="1:16" ht="18" customHeight="1">
      <c r="M3" s="287" t="s">
        <v>186</v>
      </c>
      <c r="N3" s="76">
        <v>9</v>
      </c>
      <c r="O3" s="76">
        <v>7</v>
      </c>
    </row>
    <row r="4" spans="1:16" ht="20.25" customHeight="1">
      <c r="A4" s="234" t="s">
        <v>187</v>
      </c>
      <c r="B4" s="234"/>
      <c r="C4" s="235">
        <v>41528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48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7.25" customHeight="1">
      <c r="A6" s="1067" t="s">
        <v>204</v>
      </c>
      <c r="B6" s="244" t="s">
        <v>205</v>
      </c>
      <c r="C6" s="244" t="s">
        <v>209</v>
      </c>
      <c r="D6" s="244"/>
      <c r="E6" s="84"/>
      <c r="F6" s="84"/>
      <c r="G6" s="289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6.5" customHeight="1">
      <c r="A7" s="1068"/>
      <c r="B7" s="260" t="s">
        <v>207</v>
      </c>
      <c r="C7" s="260" t="s">
        <v>209</v>
      </c>
      <c r="D7" s="261"/>
      <c r="E7" s="261"/>
      <c r="F7" s="261"/>
      <c r="G7" s="270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1.75" customHeight="1">
      <c r="A8" s="1067" t="s">
        <v>208</v>
      </c>
      <c r="B8" s="1180" t="s">
        <v>205</v>
      </c>
      <c r="C8" s="1199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91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1.29</v>
      </c>
      <c r="N8" s="1087" t="e">
        <f>#REF!</f>
        <v>#REF!</v>
      </c>
      <c r="O8" s="1088"/>
      <c r="P8" s="1089"/>
    </row>
    <row r="9" spans="1:16" ht="21.75" customHeight="1">
      <c r="A9" s="1075"/>
      <c r="B9" s="1181"/>
      <c r="C9" s="1165"/>
      <c r="D9" s="93" t="e">
        <f>#REF!</f>
        <v>#REF!</v>
      </c>
      <c r="E9" s="265" t="e">
        <f>#REF!</f>
        <v>#REF!</v>
      </c>
      <c r="F9" s="134" t="e">
        <f>#REF!</f>
        <v>#REF!</v>
      </c>
      <c r="G9" s="291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7.43</v>
      </c>
      <c r="N9" s="1190"/>
      <c r="O9" s="1191"/>
      <c r="P9" s="1192"/>
    </row>
    <row r="10" spans="1:16" ht="19.5" customHeight="1">
      <c r="A10" s="1068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93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11.03</v>
      </c>
      <c r="N10" s="1078"/>
      <c r="O10" s="1079"/>
      <c r="P10" s="1080"/>
    </row>
    <row r="11" spans="1:16" ht="15" customHeight="1">
      <c r="A11" s="1067" t="s">
        <v>210</v>
      </c>
      <c r="B11" s="244" t="s">
        <v>205</v>
      </c>
      <c r="C11" s="244" t="s">
        <v>209</v>
      </c>
      <c r="D11" s="93"/>
      <c r="E11" s="134"/>
      <c r="F11" s="134"/>
      <c r="G11" s="291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6.5" customHeight="1">
      <c r="A12" s="1068"/>
      <c r="B12" s="260" t="s">
        <v>207</v>
      </c>
      <c r="C12" s="260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ht="15" customHeight="1">
      <c r="A13" s="1067" t="s">
        <v>211</v>
      </c>
      <c r="B13" s="244" t="s">
        <v>205</v>
      </c>
      <c r="C13" s="93" t="s">
        <v>209</v>
      </c>
      <c r="D13" s="93"/>
      <c r="E13" s="134"/>
      <c r="F13" s="134"/>
      <c r="G13" s="291"/>
      <c r="H13" s="267"/>
      <c r="I13" s="291"/>
      <c r="J13" s="1072"/>
      <c r="K13" s="1073"/>
      <c r="L13" s="1074"/>
      <c r="M13" s="292"/>
      <c r="N13" s="1098"/>
      <c r="O13" s="1099"/>
      <c r="P13" s="1100"/>
    </row>
    <row r="14" spans="1:16" ht="14.25" customHeight="1">
      <c r="A14" s="1068"/>
      <c r="B14" s="260" t="s">
        <v>207</v>
      </c>
      <c r="C14" s="260" t="s">
        <v>209</v>
      </c>
      <c r="D14" s="261"/>
      <c r="E14" s="261"/>
      <c r="F14" s="261"/>
      <c r="G14" s="270"/>
      <c r="H14" s="263"/>
      <c r="I14" s="270"/>
      <c r="J14" s="1069"/>
      <c r="K14" s="1070"/>
      <c r="L14" s="1071"/>
      <c r="M14" s="290"/>
      <c r="N14" s="1078"/>
      <c r="O14" s="1079"/>
      <c r="P14" s="1080"/>
    </row>
    <row r="15" spans="1:16" s="76" customFormat="1" ht="42.7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ht="31.7" customHeight="1">
      <c r="A16" s="1126" t="s">
        <v>144</v>
      </c>
      <c r="B16" s="84" t="s">
        <v>205</v>
      </c>
      <c r="C16" s="1161" t="e">
        <f>#REF!</f>
        <v>#REF!</v>
      </c>
      <c r="D16" s="1162"/>
      <c r="E16" s="1163"/>
      <c r="F16" s="272" t="s">
        <v>150</v>
      </c>
      <c r="G16" s="341" t="e">
        <f>#REF!</f>
        <v>#REF!</v>
      </c>
      <c r="H16" s="273"/>
      <c r="I16" s="259" t="e">
        <f>#REF!</f>
        <v>#REF!</v>
      </c>
      <c r="J16" s="258" t="e">
        <f>#REF!</f>
        <v>#REF!</v>
      </c>
      <c r="K16" s="350" t="e">
        <f>#REF!</f>
        <v>#REF!</v>
      </c>
      <c r="L16" s="351" t="e">
        <f>#REF!</f>
        <v>#REF!</v>
      </c>
      <c r="M16" s="298">
        <v>2.5499999999999998</v>
      </c>
      <c r="N16" s="1139" t="e">
        <f>#REF!</f>
        <v>#REF!</v>
      </c>
      <c r="O16" s="1140"/>
      <c r="P16" s="1141"/>
    </row>
    <row r="17" spans="1:16" ht="26.25" customHeight="1">
      <c r="A17" s="1127"/>
      <c r="B17" s="274" t="s">
        <v>207</v>
      </c>
      <c r="C17" s="1121" t="e">
        <f>#REF!</f>
        <v>#REF!</v>
      </c>
      <c r="D17" s="1122"/>
      <c r="E17" s="1123"/>
      <c r="F17" s="277" t="s">
        <v>150</v>
      </c>
      <c r="G17" s="34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352" t="e">
        <f>#REF!</f>
        <v>#REF!</v>
      </c>
      <c r="L17" s="353" t="e">
        <f>#REF!</f>
        <v>#REF!</v>
      </c>
      <c r="M17" s="301">
        <v>8.5299999999999994</v>
      </c>
      <c r="N17" s="1130" t="e">
        <f>#REF!</f>
        <v>#REF!</v>
      </c>
      <c r="O17" s="1131"/>
      <c r="P17" s="1132"/>
    </row>
    <row r="18" spans="1:16" ht="25.5" customHeight="1">
      <c r="A18" s="1126" t="s">
        <v>304</v>
      </c>
      <c r="B18" s="244" t="s">
        <v>205</v>
      </c>
      <c r="C18" s="1161" t="e">
        <f>#REF!</f>
        <v>#REF!</v>
      </c>
      <c r="D18" s="1162"/>
      <c r="E18" s="1163"/>
      <c r="F18" s="344" t="s">
        <v>245</v>
      </c>
      <c r="G18" s="345" t="e">
        <f>#REF!</f>
        <v>#REF!</v>
      </c>
      <c r="H18" s="273"/>
      <c r="I18" s="259" t="e">
        <f>#REF!</f>
        <v>#REF!</v>
      </c>
      <c r="J18" s="258" t="e">
        <f>#REF!</f>
        <v>#REF!</v>
      </c>
      <c r="K18" s="350" t="e">
        <f>#REF!</f>
        <v>#REF!</v>
      </c>
      <c r="L18" s="351" t="e">
        <f>#REF!</f>
        <v>#REF!</v>
      </c>
      <c r="M18" s="227">
        <v>5.53</v>
      </c>
      <c r="N18" s="1139"/>
      <c r="O18" s="1140"/>
      <c r="P18" s="1141"/>
    </row>
    <row r="19" spans="1:16" ht="25.5" customHeight="1">
      <c r="A19" s="1127"/>
      <c r="B19" s="260" t="s">
        <v>207</v>
      </c>
      <c r="C19" s="1121" t="e">
        <f>#REF!</f>
        <v>#REF!</v>
      </c>
      <c r="D19" s="1122"/>
      <c r="E19" s="1123"/>
      <c r="F19" s="346" t="s">
        <v>245</v>
      </c>
      <c r="G19" s="347" t="e">
        <f>#REF!</f>
        <v>#REF!</v>
      </c>
      <c r="H19" s="278"/>
      <c r="I19" s="263" t="e">
        <f>#REF!</f>
        <v>#REF!</v>
      </c>
      <c r="J19" s="262" t="e">
        <f>#REF!</f>
        <v>#REF!</v>
      </c>
      <c r="K19" s="352" t="e">
        <f>#REF!</f>
        <v>#REF!</v>
      </c>
      <c r="L19" s="300" t="e">
        <f>#REF!</f>
        <v>#REF!</v>
      </c>
      <c r="M19" s="290">
        <v>7.42</v>
      </c>
      <c r="N19" s="1142"/>
      <c r="O19" s="1145"/>
      <c r="P19" s="1146"/>
    </row>
    <row r="20" spans="1:16" ht="25.5" customHeight="1">
      <c r="A20" s="1126" t="s">
        <v>223</v>
      </c>
      <c r="B20" s="244" t="s">
        <v>205</v>
      </c>
      <c r="C20" s="1161" t="e">
        <f>#REF!</f>
        <v>#REF!</v>
      </c>
      <c r="D20" s="1162"/>
      <c r="E20" s="1163"/>
      <c r="F20" s="344" t="s">
        <v>234</v>
      </c>
      <c r="G20" s="345" t="e">
        <f>#REF!</f>
        <v>#REF!</v>
      </c>
      <c r="H20" s="273"/>
      <c r="I20" s="259" t="e">
        <f>#REF!</f>
        <v>#REF!</v>
      </c>
      <c r="J20" s="258" t="e">
        <f>#REF!</f>
        <v>#REF!</v>
      </c>
      <c r="K20" s="350" t="e">
        <f>#REF!</f>
        <v>#REF!</v>
      </c>
      <c r="L20" s="351" t="e">
        <f>#REF!</f>
        <v>#REF!</v>
      </c>
      <c r="M20" s="227">
        <v>9.4700000000000006</v>
      </c>
      <c r="N20" s="1139"/>
      <c r="O20" s="1140"/>
      <c r="P20" s="1141"/>
    </row>
    <row r="21" spans="1:16" ht="15.75" customHeight="1">
      <c r="A21" s="1127"/>
      <c r="B21" s="260" t="s">
        <v>207</v>
      </c>
      <c r="C21" s="1121" t="s">
        <v>209</v>
      </c>
      <c r="D21" s="1122"/>
      <c r="E21" s="1123"/>
      <c r="F21" s="346"/>
      <c r="G21" s="347"/>
      <c r="H21" s="278"/>
      <c r="I21" s="263"/>
      <c r="J21" s="262"/>
      <c r="K21" s="352"/>
      <c r="L21" s="300"/>
      <c r="M21" s="290"/>
      <c r="N21" s="1142"/>
      <c r="O21" s="1145"/>
      <c r="P21" s="1146"/>
    </row>
    <row r="22" spans="1:16" ht="16.5" customHeight="1">
      <c r="A22" s="1124" t="s">
        <v>225</v>
      </c>
      <c r="B22" s="244" t="s">
        <v>205</v>
      </c>
      <c r="C22" s="1161" t="s">
        <v>209</v>
      </c>
      <c r="D22" s="1162"/>
      <c r="E22" s="1163"/>
      <c r="F22" s="85"/>
      <c r="G22" s="348"/>
      <c r="H22" s="259"/>
      <c r="I22" s="273"/>
      <c r="J22" s="326"/>
      <c r="K22" s="350"/>
      <c r="L22" s="297"/>
      <c r="M22" s="227"/>
      <c r="N22" s="1210"/>
      <c r="O22" s="1211"/>
      <c r="P22" s="1212"/>
    </row>
    <row r="23" spans="1:16" ht="15.75" customHeight="1">
      <c r="A23" s="1125"/>
      <c r="B23" s="261" t="s">
        <v>207</v>
      </c>
      <c r="C23" s="1232" t="s">
        <v>209</v>
      </c>
      <c r="D23" s="1233"/>
      <c r="E23" s="1234"/>
      <c r="F23" s="349"/>
      <c r="G23" s="340"/>
      <c r="H23" s="263"/>
      <c r="I23" s="278"/>
      <c r="J23" s="316"/>
      <c r="K23" s="354"/>
      <c r="L23" s="355"/>
      <c r="M23" s="356"/>
      <c r="N23" s="1166"/>
      <c r="O23" s="1167"/>
      <c r="P23" s="1168"/>
    </row>
    <row r="24" spans="1:16" ht="25.5" customHeight="1">
      <c r="A24" s="1110" t="s">
        <v>227</v>
      </c>
      <c r="B24" s="1111"/>
      <c r="C24" s="1222" t="s">
        <v>151</v>
      </c>
      <c r="D24" s="1222"/>
      <c r="E24" s="1222"/>
      <c r="F24" s="1231"/>
      <c r="G24" s="1231"/>
      <c r="I24" s="1222" t="s">
        <v>152</v>
      </c>
      <c r="J24" s="1222"/>
      <c r="K24" s="1222"/>
      <c r="L24" s="1231"/>
      <c r="M24" s="1231"/>
      <c r="N24" s="1222"/>
      <c r="O24" s="1222"/>
      <c r="P24" s="1222"/>
    </row>
  </sheetData>
  <mergeCells count="53">
    <mergeCell ref="C21:E21"/>
    <mergeCell ref="N8:P9"/>
    <mergeCell ref="N11:P11"/>
    <mergeCell ref="A16:A17"/>
    <mergeCell ref="A18:A19"/>
    <mergeCell ref="C20:E20"/>
    <mergeCell ref="C16:E16"/>
    <mergeCell ref="N16:P16"/>
    <mergeCell ref="A13:A14"/>
    <mergeCell ref="C19:E19"/>
    <mergeCell ref="N19:P19"/>
    <mergeCell ref="N20:P20"/>
    <mergeCell ref="J13:L13"/>
    <mergeCell ref="N13:P13"/>
    <mergeCell ref="J14:L14"/>
    <mergeCell ref="N14:P14"/>
    <mergeCell ref="J7:L7"/>
    <mergeCell ref="B8:B9"/>
    <mergeCell ref="C8:C9"/>
    <mergeCell ref="J11:L11"/>
    <mergeCell ref="J12:L12"/>
    <mergeCell ref="J10:L10"/>
    <mergeCell ref="N23:P23"/>
    <mergeCell ref="A24:B24"/>
    <mergeCell ref="C24:G24"/>
    <mergeCell ref="I24:M24"/>
    <mergeCell ref="N24:P24"/>
    <mergeCell ref="A22:A23"/>
    <mergeCell ref="C23:E23"/>
    <mergeCell ref="C22:E22"/>
    <mergeCell ref="N22:P22"/>
    <mergeCell ref="N7:P7"/>
    <mergeCell ref="J8:L8"/>
    <mergeCell ref="J9:L9"/>
    <mergeCell ref="C17:E17"/>
    <mergeCell ref="A20:A21"/>
    <mergeCell ref="N10:P10"/>
    <mergeCell ref="N21:P21"/>
    <mergeCell ref="C15:E15"/>
    <mergeCell ref="N15:P15"/>
    <mergeCell ref="N17:P17"/>
    <mergeCell ref="C18:E18"/>
    <mergeCell ref="N18:P18"/>
    <mergeCell ref="N12:P12"/>
    <mergeCell ref="A6:A7"/>
    <mergeCell ref="A8:A10"/>
    <mergeCell ref="A11:A12"/>
    <mergeCell ref="D1:G1"/>
    <mergeCell ref="J4:L4"/>
    <mergeCell ref="J5:L5"/>
    <mergeCell ref="N5:P5"/>
    <mergeCell ref="N6:P6"/>
    <mergeCell ref="J6:L6"/>
  </mergeCells>
  <phoneticPr fontId="26" type="noConversion"/>
  <pageMargins left="0.22" right="0.17" top="0.43" bottom="0.61" header="0.33" footer="0.5"/>
  <pageSetup paperSize="9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Q26"/>
  <sheetViews>
    <sheetView topLeftCell="A13" workbookViewId="0">
      <selection activeCell="F26" sqref="F26:J26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10.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.1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7" width="5.75" style="76" hidden="1" customWidth="1"/>
    <col min="18" max="16384" width="9" style="75"/>
  </cols>
  <sheetData>
    <row r="1" spans="1:17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7">
      <c r="M2" s="286" t="s">
        <v>185</v>
      </c>
      <c r="N2" s="76">
        <v>3</v>
      </c>
      <c r="O2" s="76">
        <v>3</v>
      </c>
    </row>
    <row r="3" spans="1:17">
      <c r="M3" s="287" t="s">
        <v>186</v>
      </c>
      <c r="N3" s="76">
        <v>10</v>
      </c>
      <c r="O3" s="76">
        <v>5</v>
      </c>
    </row>
    <row r="4" spans="1:17">
      <c r="A4" s="234" t="s">
        <v>187</v>
      </c>
      <c r="B4" s="234"/>
      <c r="C4" s="235">
        <v>41529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7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  <c r="Q5" s="84" t="s">
        <v>153</v>
      </c>
    </row>
    <row r="6" spans="1:17" ht="15" customHeight="1">
      <c r="A6" s="1067" t="s">
        <v>204</v>
      </c>
      <c r="B6" s="244" t="s">
        <v>205</v>
      </c>
      <c r="C6" s="24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  <c r="Q6" s="244">
        <v>2</v>
      </c>
    </row>
    <row r="7" spans="1:17" ht="15" customHeight="1">
      <c r="A7" s="1068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  <c r="Q7" s="84">
        <v>2</v>
      </c>
    </row>
    <row r="8" spans="1:17" ht="20.25" customHeight="1">
      <c r="A8" s="1067" t="s">
        <v>208</v>
      </c>
      <c r="B8" s="1180" t="s">
        <v>205</v>
      </c>
      <c r="C8" s="1199" t="e">
        <f>#REF!</f>
        <v>#REF!</v>
      </c>
      <c r="D8" s="292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5.17</v>
      </c>
      <c r="N8" s="1087" t="e">
        <f>#REF!</f>
        <v>#REF!</v>
      </c>
      <c r="O8" s="1088"/>
      <c r="P8" s="1089"/>
      <c r="Q8" s="84">
        <v>1</v>
      </c>
    </row>
    <row r="9" spans="1:17" ht="20.25" customHeight="1">
      <c r="A9" s="1075"/>
      <c r="B9" s="1181"/>
      <c r="C9" s="1165"/>
      <c r="D9" s="332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65"/>
      <c r="L9" s="1066"/>
      <c r="M9" s="292">
        <v>3.1</v>
      </c>
      <c r="N9" s="1235"/>
      <c r="O9" s="1236"/>
      <c r="P9" s="1237"/>
      <c r="Q9" s="84"/>
    </row>
    <row r="10" spans="1:17" ht="58.7" customHeight="1">
      <c r="A10" s="1068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10.199999999999999</v>
      </c>
      <c r="N10" s="1078"/>
      <c r="O10" s="1079"/>
      <c r="P10" s="1080"/>
      <c r="Q10" s="84"/>
    </row>
    <row r="11" spans="1:17" ht="15" customHeight="1">
      <c r="A11" s="1067" t="s">
        <v>210</v>
      </c>
      <c r="B11" s="244" t="s">
        <v>205</v>
      </c>
      <c r="C11" s="93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  <c r="Q11" s="84"/>
    </row>
    <row r="12" spans="1:17" ht="15" customHeight="1">
      <c r="A12" s="1068"/>
      <c r="B12" s="260" t="s">
        <v>207</v>
      </c>
      <c r="C12" s="260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  <c r="Q12" s="84"/>
    </row>
    <row r="13" spans="1:17" ht="18.95" customHeight="1">
      <c r="A13" s="1067" t="s">
        <v>211</v>
      </c>
      <c r="B13" s="244" t="s">
        <v>205</v>
      </c>
      <c r="C13" s="93" t="s">
        <v>209</v>
      </c>
      <c r="D13" s="93"/>
      <c r="E13" s="134"/>
      <c r="F13" s="134"/>
      <c r="G13" s="266"/>
      <c r="H13" s="267"/>
      <c r="I13" s="291"/>
      <c r="J13" s="1072"/>
      <c r="K13" s="1073"/>
      <c r="L13" s="1074"/>
      <c r="M13" s="292"/>
      <c r="N13" s="1098"/>
      <c r="O13" s="1099"/>
      <c r="P13" s="1100"/>
      <c r="Q13" s="84"/>
    </row>
    <row r="14" spans="1:17" ht="17.25" customHeight="1">
      <c r="A14" s="1068"/>
      <c r="B14" s="260" t="s">
        <v>207</v>
      </c>
      <c r="C14" s="260" t="s">
        <v>209</v>
      </c>
      <c r="D14" s="261"/>
      <c r="E14" s="261"/>
      <c r="F14" s="261"/>
      <c r="G14" s="262"/>
      <c r="H14" s="263"/>
      <c r="I14" s="270"/>
      <c r="J14" s="1069"/>
      <c r="K14" s="1070"/>
      <c r="L14" s="1071"/>
      <c r="M14" s="290"/>
      <c r="N14" s="1078"/>
      <c r="O14" s="1079"/>
      <c r="P14" s="1080"/>
      <c r="Q14" s="84"/>
    </row>
    <row r="15" spans="1:17" s="76" customFormat="1" ht="39.950000000000003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  <c r="Q15" s="84"/>
    </row>
    <row r="16" spans="1:17" ht="20.25" customHeight="1">
      <c r="A16" s="1126" t="s">
        <v>144</v>
      </c>
      <c r="B16" s="84" t="s">
        <v>205</v>
      </c>
      <c r="C16" s="1161" t="e">
        <f>#REF!</f>
        <v>#REF!</v>
      </c>
      <c r="D16" s="1162"/>
      <c r="E16" s="1163"/>
      <c r="F16" s="272" t="s">
        <v>154</v>
      </c>
      <c r="G16" s="244" t="e">
        <f>#REF!</f>
        <v>#REF!</v>
      </c>
      <c r="H16" s="273"/>
      <c r="I16" s="259" t="e">
        <f>#REF!</f>
        <v>#REF!</v>
      </c>
      <c r="J16" s="258" t="e">
        <f>#REF!</f>
        <v>#REF!</v>
      </c>
      <c r="K16" s="258" t="e">
        <f>#REF!</f>
        <v>#REF!</v>
      </c>
      <c r="L16" s="297" t="e">
        <f>#REF!</f>
        <v>#REF!</v>
      </c>
      <c r="M16" s="298">
        <v>11.08</v>
      </c>
      <c r="N16" s="1139"/>
      <c r="O16" s="1140"/>
      <c r="P16" s="1141"/>
      <c r="Q16" s="84"/>
    </row>
    <row r="17" spans="1:17" ht="21" customHeight="1">
      <c r="A17" s="1127"/>
      <c r="B17" s="274" t="s">
        <v>207</v>
      </c>
      <c r="C17" s="1121" t="e">
        <f>#REF!</f>
        <v>#REF!</v>
      </c>
      <c r="D17" s="1122"/>
      <c r="E17" s="1123"/>
      <c r="F17" s="277" t="s">
        <v>154</v>
      </c>
      <c r="G17" s="26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262" t="e">
        <f>#REF!</f>
        <v>#REF!</v>
      </c>
      <c r="L17" s="300" t="e">
        <f>#REF!</f>
        <v>#REF!</v>
      </c>
      <c r="M17" s="301">
        <v>4.03</v>
      </c>
      <c r="N17" s="1130"/>
      <c r="O17" s="1131"/>
      <c r="P17" s="1132"/>
      <c r="Q17" s="84"/>
    </row>
    <row r="18" spans="1:17" ht="20.25" customHeight="1">
      <c r="A18" s="1126" t="s">
        <v>155</v>
      </c>
      <c r="B18" s="84" t="s">
        <v>205</v>
      </c>
      <c r="C18" s="1161" t="e">
        <f>#REF!</f>
        <v>#REF!</v>
      </c>
      <c r="D18" s="1162"/>
      <c r="E18" s="1163"/>
      <c r="F18" s="272" t="s">
        <v>156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98">
        <v>8.36</v>
      </c>
      <c r="N18" s="1139"/>
      <c r="O18" s="1140"/>
      <c r="P18" s="1141"/>
      <c r="Q18" s="84"/>
    </row>
    <row r="19" spans="1:17" ht="21" customHeight="1">
      <c r="A19" s="1127"/>
      <c r="B19" s="274" t="s">
        <v>207</v>
      </c>
      <c r="C19" s="1121" t="e">
        <f>#REF!</f>
        <v>#REF!</v>
      </c>
      <c r="D19" s="1122"/>
      <c r="E19" s="1123"/>
      <c r="F19" s="277" t="s">
        <v>156</v>
      </c>
      <c r="G19" s="260" t="e">
        <f>#REF!</f>
        <v>#REF!</v>
      </c>
      <c r="H19" s="278"/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301">
        <v>8.36</v>
      </c>
      <c r="N19" s="1130"/>
      <c r="O19" s="1131"/>
      <c r="P19" s="1132"/>
      <c r="Q19" s="84"/>
    </row>
    <row r="20" spans="1:17" ht="22.7" customHeight="1">
      <c r="A20" s="1126" t="s">
        <v>223</v>
      </c>
      <c r="B20" s="244" t="s">
        <v>205</v>
      </c>
      <c r="C20" s="1161" t="e">
        <f>#REF!</f>
        <v>#REF!</v>
      </c>
      <c r="D20" s="1162"/>
      <c r="E20" s="1163"/>
      <c r="F20" s="279" t="s">
        <v>224</v>
      </c>
      <c r="G20" s="244" t="e">
        <f>#REF!</f>
        <v>#REF!</v>
      </c>
      <c r="H20" s="273"/>
      <c r="I20" s="259" t="e">
        <f>#REF!</f>
        <v>#REF!</v>
      </c>
      <c r="J20" s="258" t="e">
        <f>#REF!</f>
        <v>#REF!</v>
      </c>
      <c r="K20" s="258" t="e">
        <f>#REF!</f>
        <v>#REF!</v>
      </c>
      <c r="L20" s="297" t="e">
        <f>#REF!</f>
        <v>#REF!</v>
      </c>
      <c r="M20" s="227">
        <v>6.15</v>
      </c>
      <c r="N20" s="1139" t="e">
        <f>#REF!</f>
        <v>#REF!</v>
      </c>
      <c r="O20" s="1140"/>
      <c r="P20" s="1141"/>
      <c r="Q20" s="84">
        <v>2</v>
      </c>
    </row>
    <row r="21" spans="1:17" ht="17.25" customHeight="1">
      <c r="A21" s="1127"/>
      <c r="B21" s="260" t="s">
        <v>207</v>
      </c>
      <c r="C21" s="1121" t="e">
        <f>#REF!</f>
        <v>#REF!</v>
      </c>
      <c r="D21" s="1122"/>
      <c r="E21" s="1123"/>
      <c r="F21" s="280" t="s">
        <v>224</v>
      </c>
      <c r="G21" s="268" t="e">
        <f>#REF!</f>
        <v>#REF!</v>
      </c>
      <c r="H21" s="278"/>
      <c r="I21" s="263" t="e">
        <f>#REF!</f>
        <v>#REF!</v>
      </c>
      <c r="J21" s="262" t="e">
        <f>#REF!</f>
        <v>#REF!</v>
      </c>
      <c r="K21" s="262" t="e">
        <f>#REF!</f>
        <v>#REF!</v>
      </c>
      <c r="L21" s="300" t="e">
        <f>#REF!</f>
        <v>#REF!</v>
      </c>
      <c r="M21" s="290">
        <v>5.0999999999999996</v>
      </c>
      <c r="N21" s="1142"/>
      <c r="O21" s="1145"/>
      <c r="P21" s="1146"/>
      <c r="Q21" s="84">
        <v>2</v>
      </c>
    </row>
    <row r="22" spans="1:17" ht="21.75" customHeight="1">
      <c r="A22" s="1124" t="s">
        <v>225</v>
      </c>
      <c r="B22" s="244" t="s">
        <v>205</v>
      </c>
      <c r="C22" s="1161" t="s">
        <v>209</v>
      </c>
      <c r="D22" s="1162"/>
      <c r="E22" s="1163"/>
      <c r="F22" s="85"/>
      <c r="G22" s="93"/>
      <c r="H22" s="259"/>
      <c r="I22" s="273"/>
      <c r="J22" s="326"/>
      <c r="K22" s="258"/>
      <c r="L22" s="297"/>
      <c r="M22" s="330"/>
      <c r="N22" s="1210"/>
      <c r="O22" s="1211"/>
      <c r="P22" s="1212"/>
      <c r="Q22" s="244">
        <v>3</v>
      </c>
    </row>
    <row r="23" spans="1:17" ht="22.7" customHeight="1">
      <c r="A23" s="1125"/>
      <c r="B23" s="261" t="s">
        <v>207</v>
      </c>
      <c r="C23" s="1121" t="s">
        <v>209</v>
      </c>
      <c r="D23" s="1122"/>
      <c r="E23" s="1123"/>
      <c r="F23" s="282"/>
      <c r="G23" s="260"/>
      <c r="H23" s="263"/>
      <c r="I23" s="263"/>
      <c r="J23" s="262"/>
      <c r="K23" s="316"/>
      <c r="L23" s="300"/>
      <c r="M23" s="301"/>
      <c r="N23" s="1166"/>
      <c r="O23" s="1167"/>
      <c r="P23" s="1168"/>
      <c r="Q23" s="244">
        <v>2</v>
      </c>
    </row>
    <row r="24" spans="1:17" ht="21" customHeight="1">
      <c r="A24" s="1126" t="s">
        <v>157</v>
      </c>
      <c r="B24" s="244" t="s">
        <v>205</v>
      </c>
      <c r="C24" s="1161" t="s">
        <v>209</v>
      </c>
      <c r="D24" s="1162"/>
      <c r="E24" s="1163"/>
      <c r="F24" s="279"/>
      <c r="G24" s="244"/>
      <c r="H24" s="273"/>
      <c r="I24" s="259"/>
      <c r="J24" s="258"/>
      <c r="K24" s="258"/>
      <c r="L24" s="297"/>
      <c r="M24" s="227"/>
      <c r="N24" s="1139"/>
      <c r="O24" s="1140"/>
      <c r="P24" s="1141"/>
      <c r="Q24" s="84"/>
    </row>
    <row r="25" spans="1:17" ht="21.75" customHeight="1">
      <c r="A25" s="1127"/>
      <c r="B25" s="260" t="s">
        <v>207</v>
      </c>
      <c r="C25" s="1121" t="s">
        <v>209</v>
      </c>
      <c r="D25" s="1122"/>
      <c r="E25" s="1123"/>
      <c r="F25" s="280"/>
      <c r="G25" s="260"/>
      <c r="H25" s="278"/>
      <c r="I25" s="263"/>
      <c r="J25" s="262"/>
      <c r="K25" s="262"/>
      <c r="L25" s="300"/>
      <c r="M25" s="290"/>
      <c r="N25" s="1142"/>
      <c r="O25" s="1145"/>
      <c r="P25" s="1146"/>
      <c r="Q25" s="84"/>
    </row>
    <row r="26" spans="1:17" ht="20.25" customHeight="1">
      <c r="A26" s="1110" t="s">
        <v>227</v>
      </c>
      <c r="B26" s="1111"/>
      <c r="C26" s="1112" t="s">
        <v>158</v>
      </c>
      <c r="D26" s="1113"/>
      <c r="E26" s="1114"/>
      <c r="F26" s="1238" t="s">
        <v>159</v>
      </c>
      <c r="G26" s="1239"/>
      <c r="H26" s="1239"/>
      <c r="I26" s="1239"/>
      <c r="J26" s="1240"/>
      <c r="K26" s="1112" t="s">
        <v>160</v>
      </c>
      <c r="L26" s="1128"/>
      <c r="M26" s="1128"/>
      <c r="N26" s="1128"/>
      <c r="O26" s="1128"/>
      <c r="P26" s="1129"/>
      <c r="Q26" s="84"/>
    </row>
  </sheetData>
  <mergeCells count="58">
    <mergeCell ref="A26:B26"/>
    <mergeCell ref="C26:E26"/>
    <mergeCell ref="F26:J26"/>
    <mergeCell ref="C8:C9"/>
    <mergeCell ref="C22:E22"/>
    <mergeCell ref="J9:L9"/>
    <mergeCell ref="C16:E16"/>
    <mergeCell ref="J10:L10"/>
    <mergeCell ref="K26:P26"/>
    <mergeCell ref="A20:A21"/>
    <mergeCell ref="A22:A23"/>
    <mergeCell ref="A24:A25"/>
    <mergeCell ref="C25:E25"/>
    <mergeCell ref="N25:P25"/>
    <mergeCell ref="C24:E24"/>
    <mergeCell ref="N24:P24"/>
    <mergeCell ref="C23:E23"/>
    <mergeCell ref="N23:P23"/>
    <mergeCell ref="N22:P22"/>
    <mergeCell ref="C15:E15"/>
    <mergeCell ref="N15:P15"/>
    <mergeCell ref="N11:P11"/>
    <mergeCell ref="A6:A7"/>
    <mergeCell ref="A8:A10"/>
    <mergeCell ref="A11:A12"/>
    <mergeCell ref="A13:A14"/>
    <mergeCell ref="B8:B9"/>
    <mergeCell ref="J14:L14"/>
    <mergeCell ref="N14:P14"/>
    <mergeCell ref="J12:L12"/>
    <mergeCell ref="N12:P12"/>
    <mergeCell ref="J13:L13"/>
    <mergeCell ref="N13:P13"/>
    <mergeCell ref="N10:P10"/>
    <mergeCell ref="J11:L11"/>
    <mergeCell ref="A16:A17"/>
    <mergeCell ref="A18:A19"/>
    <mergeCell ref="C21:E21"/>
    <mergeCell ref="N21:P21"/>
    <mergeCell ref="C20:E20"/>
    <mergeCell ref="N20:P20"/>
    <mergeCell ref="C17:E17"/>
    <mergeCell ref="N17:P17"/>
    <mergeCell ref="C18:E18"/>
    <mergeCell ref="N18:P18"/>
    <mergeCell ref="C19:E19"/>
    <mergeCell ref="N19:P19"/>
    <mergeCell ref="N16:P16"/>
    <mergeCell ref="D1:G1"/>
    <mergeCell ref="J4:L4"/>
    <mergeCell ref="J5:L5"/>
    <mergeCell ref="N5:P5"/>
    <mergeCell ref="N8:P9"/>
    <mergeCell ref="J6:L6"/>
    <mergeCell ref="N6:P6"/>
    <mergeCell ref="J7:L7"/>
    <mergeCell ref="N7:P7"/>
    <mergeCell ref="J8:L8"/>
  </mergeCells>
  <phoneticPr fontId="26" type="noConversion"/>
  <pageMargins left="0.38" right="0.17" top="0.3" bottom="0.19" header="0.32" footer="0.17"/>
  <pageSetup paperSize="9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P23"/>
  <sheetViews>
    <sheetView topLeftCell="B7" workbookViewId="0">
      <selection activeCell="K12" sqref="K12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.375" style="75" customWidth="1"/>
    <col min="12" max="13" width="8.125" style="75" customWidth="1"/>
    <col min="14" max="14" width="8" style="233" customWidth="1"/>
    <col min="15" max="15" width="11.875" style="233" customWidth="1"/>
    <col min="16" max="16" width="22.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A2" s="255"/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11</v>
      </c>
      <c r="O3" s="76">
        <v>7</v>
      </c>
    </row>
    <row r="4" spans="1:16">
      <c r="A4" s="234" t="s">
        <v>187</v>
      </c>
      <c r="B4" s="234"/>
      <c r="C4" s="235">
        <v>41530</v>
      </c>
      <c r="D4" s="236" t="s">
        <v>248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8.95" customHeight="1">
      <c r="A6" s="1067" t="s">
        <v>204</v>
      </c>
      <c r="B6" s="244" t="s">
        <v>205</v>
      </c>
      <c r="C6" s="26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21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1" customHeight="1">
      <c r="A8" s="1067" t="s">
        <v>208</v>
      </c>
      <c r="B8" s="93" t="s">
        <v>205</v>
      </c>
      <c r="C8" s="30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8</v>
      </c>
      <c r="N8" s="1153" t="e">
        <f>#REF!</f>
        <v>#REF!</v>
      </c>
      <c r="O8" s="1154"/>
      <c r="P8" s="1155"/>
    </row>
    <row r="9" spans="1:16" s="337" customFormat="1" ht="21.75" customHeight="1">
      <c r="A9" s="1075"/>
      <c r="B9" s="260" t="s">
        <v>207</v>
      </c>
      <c r="C9" s="268" t="e">
        <f>#REF!</f>
        <v>#REF!</v>
      </c>
      <c r="D9" s="260" t="e">
        <f>#REF!</f>
        <v>#REF!</v>
      </c>
      <c r="E9" s="338" t="e">
        <f>#REF!</f>
        <v>#REF!</v>
      </c>
      <c r="F9" s="261" t="e">
        <f>#REF!</f>
        <v>#REF!</v>
      </c>
      <c r="G9" s="262" t="e">
        <f>#REF!</f>
        <v>#REF!</v>
      </c>
      <c r="H9" s="263"/>
      <c r="I9" s="270" t="e">
        <f>#REF!</f>
        <v>#REF!</v>
      </c>
      <c r="J9" s="1069" t="e">
        <f>#REF!</f>
        <v>#REF!</v>
      </c>
      <c r="K9" s="1065"/>
      <c r="L9" s="1066"/>
      <c r="M9" s="290">
        <v>10.16</v>
      </c>
      <c r="N9" s="1241"/>
      <c r="O9" s="1242"/>
      <c r="P9" s="1243"/>
    </row>
    <row r="10" spans="1:16" ht="21" customHeight="1">
      <c r="A10" s="1067" t="s">
        <v>210</v>
      </c>
      <c r="B10" s="244" t="s">
        <v>205</v>
      </c>
      <c r="C10" s="304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23.25" customHeight="1">
      <c r="A11" s="1068"/>
      <c r="B11" s="260" t="s">
        <v>207</v>
      </c>
      <c r="C11" s="268" t="s">
        <v>209</v>
      </c>
      <c r="D11" s="261"/>
      <c r="E11" s="261"/>
      <c r="F11" s="261"/>
      <c r="G11" s="270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s="76" customFormat="1" ht="43.5" customHeight="1">
      <c r="A12" s="84" t="s">
        <v>212</v>
      </c>
      <c r="B12" s="84" t="s">
        <v>193</v>
      </c>
      <c r="C12" s="1095" t="s">
        <v>213</v>
      </c>
      <c r="D12" s="1065"/>
      <c r="E12" s="1066"/>
      <c r="F12" s="257" t="s">
        <v>214</v>
      </c>
      <c r="G12" s="271" t="s">
        <v>215</v>
      </c>
      <c r="H12" s="257" t="s">
        <v>216</v>
      </c>
      <c r="I12" s="257" t="s">
        <v>217</v>
      </c>
      <c r="J12" s="294" t="s">
        <v>218</v>
      </c>
      <c r="K12" s="294" t="s">
        <v>219</v>
      </c>
      <c r="L12" s="295" t="s">
        <v>201</v>
      </c>
      <c r="M12" s="257" t="s">
        <v>202</v>
      </c>
      <c r="N12" s="1133" t="s">
        <v>203</v>
      </c>
      <c r="O12" s="1134"/>
      <c r="P12" s="1135"/>
    </row>
    <row r="13" spans="1:16" ht="25.5" customHeight="1">
      <c r="A13" s="1126" t="s">
        <v>144</v>
      </c>
      <c r="B13" s="84" t="s">
        <v>205</v>
      </c>
      <c r="C13" s="1161" t="e">
        <f>#REF!</f>
        <v>#REF!</v>
      </c>
      <c r="D13" s="1162"/>
      <c r="E13" s="1163"/>
      <c r="F13" s="272" t="s">
        <v>150</v>
      </c>
      <c r="G13" s="339">
        <v>0</v>
      </c>
      <c r="H13" s="273"/>
      <c r="I13" s="259" t="e">
        <f>#REF!</f>
        <v>#REF!</v>
      </c>
      <c r="J13" s="258" t="e">
        <f>#REF!</f>
        <v>#REF!</v>
      </c>
      <c r="K13" s="258" t="e">
        <f>#REF!</f>
        <v>#REF!</v>
      </c>
      <c r="L13" s="297" t="e">
        <f>#REF!</f>
        <v>#REF!</v>
      </c>
      <c r="M13" s="298">
        <v>1.71</v>
      </c>
      <c r="N13" s="1139"/>
      <c r="O13" s="1140"/>
      <c r="P13" s="1141"/>
    </row>
    <row r="14" spans="1:16" ht="18.95" customHeight="1">
      <c r="A14" s="1127"/>
      <c r="B14" s="274" t="s">
        <v>207</v>
      </c>
      <c r="C14" s="1107" t="s">
        <v>209</v>
      </c>
      <c r="D14" s="1108"/>
      <c r="E14" s="1109"/>
      <c r="F14" s="277"/>
      <c r="G14" s="340"/>
      <c r="H14" s="278"/>
      <c r="I14" s="263"/>
      <c r="J14" s="262"/>
      <c r="K14" s="262"/>
      <c r="L14" s="300"/>
      <c r="M14" s="301"/>
      <c r="N14" s="1130"/>
      <c r="O14" s="1131"/>
      <c r="P14" s="1132"/>
    </row>
    <row r="15" spans="1:16" ht="19.5" customHeight="1">
      <c r="A15" s="1126" t="s">
        <v>304</v>
      </c>
      <c r="B15" s="244" t="s">
        <v>205</v>
      </c>
      <c r="C15" s="1161" t="e">
        <f>#REF!</f>
        <v>#REF!</v>
      </c>
      <c r="D15" s="1162"/>
      <c r="E15" s="1163"/>
      <c r="F15" s="279" t="s">
        <v>245</v>
      </c>
      <c r="G15" s="341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27">
        <v>8.36</v>
      </c>
      <c r="N15" s="1139"/>
      <c r="O15" s="1140"/>
      <c r="P15" s="1141"/>
    </row>
    <row r="16" spans="1:16" ht="21" customHeight="1">
      <c r="A16" s="1127"/>
      <c r="B16" s="260" t="s">
        <v>207</v>
      </c>
      <c r="C16" s="1121" t="e">
        <f>#REF!</f>
        <v>#REF!</v>
      </c>
      <c r="D16" s="1122"/>
      <c r="E16" s="1123"/>
      <c r="F16" s="280" t="s">
        <v>245</v>
      </c>
      <c r="G16" s="340" t="e">
        <f>#REF!</f>
        <v>#REF!</v>
      </c>
      <c r="H16" s="278"/>
      <c r="I16" s="263" t="e">
        <f>#REF!</f>
        <v>#REF!</v>
      </c>
      <c r="J16" s="262" t="e">
        <f>#REF!</f>
        <v>#REF!</v>
      </c>
      <c r="K16" s="262" t="e">
        <f>#REF!</f>
        <v>#REF!</v>
      </c>
      <c r="L16" s="300" t="e">
        <f>#REF!</f>
        <v>#REF!</v>
      </c>
      <c r="M16" s="290">
        <v>9.31</v>
      </c>
      <c r="N16" s="1142"/>
      <c r="O16" s="1145"/>
      <c r="P16" s="1146"/>
    </row>
    <row r="17" spans="1:16" ht="19.5" customHeight="1">
      <c r="A17" s="1126" t="s">
        <v>223</v>
      </c>
      <c r="B17" s="244" t="s">
        <v>205</v>
      </c>
      <c r="C17" s="1161" t="e">
        <f>#REF!</f>
        <v>#REF!</v>
      </c>
      <c r="D17" s="1162"/>
      <c r="E17" s="1163"/>
      <c r="F17" s="279" t="s">
        <v>234</v>
      </c>
      <c r="G17" s="341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9.18</v>
      </c>
      <c r="N17" s="1139"/>
      <c r="O17" s="1140"/>
      <c r="P17" s="1141"/>
    </row>
    <row r="18" spans="1:16" ht="19.5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234</v>
      </c>
      <c r="G18" s="34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10.46</v>
      </c>
      <c r="N18" s="1142"/>
      <c r="O18" s="1145"/>
      <c r="P18" s="1146"/>
    </row>
    <row r="19" spans="1:16" ht="19.5" customHeight="1">
      <c r="A19" s="1126" t="s">
        <v>225</v>
      </c>
      <c r="B19" s="230" t="s">
        <v>205</v>
      </c>
      <c r="C19" s="1247" t="s">
        <v>209</v>
      </c>
      <c r="D19" s="1248"/>
      <c r="E19" s="1249"/>
      <c r="F19" s="342"/>
      <c r="G19" s="343"/>
      <c r="H19" s="273"/>
      <c r="I19" s="273"/>
      <c r="J19" s="326"/>
      <c r="K19" s="258"/>
      <c r="L19" s="297"/>
      <c r="M19" s="227"/>
      <c r="N19" s="1244"/>
      <c r="O19" s="1245"/>
      <c r="P19" s="1246"/>
    </row>
    <row r="20" spans="1:16" ht="20.25" customHeight="1">
      <c r="A20" s="1127"/>
      <c r="B20" s="261" t="s">
        <v>207</v>
      </c>
      <c r="C20" s="1107" t="s">
        <v>209</v>
      </c>
      <c r="D20" s="1108"/>
      <c r="E20" s="1109"/>
      <c r="F20" s="282"/>
      <c r="G20" s="340"/>
      <c r="H20" s="263"/>
      <c r="I20" s="263"/>
      <c r="J20" s="262"/>
      <c r="K20" s="316"/>
      <c r="L20" s="300"/>
      <c r="M20" s="301"/>
      <c r="N20" s="1166"/>
      <c r="O20" s="1167"/>
      <c r="P20" s="1168"/>
    </row>
    <row r="21" spans="1:16" ht="48.75" customHeight="1">
      <c r="A21" s="1126" t="s">
        <v>157</v>
      </c>
      <c r="B21" s="244" t="s">
        <v>205</v>
      </c>
      <c r="C21" s="1161" t="e">
        <f>#REF!</f>
        <v>#REF!</v>
      </c>
      <c r="D21" s="1162"/>
      <c r="E21" s="1163"/>
      <c r="F21" s="279" t="s">
        <v>161</v>
      </c>
      <c r="G21" s="341" t="e">
        <f>#REF!</f>
        <v>#REF!</v>
      </c>
      <c r="H21" s="273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3.17</v>
      </c>
      <c r="N21" s="1139" t="e">
        <f>#REF!</f>
        <v>#REF!</v>
      </c>
      <c r="O21" s="1140"/>
      <c r="P21" s="1141"/>
    </row>
    <row r="22" spans="1:16" ht="21" customHeight="1">
      <c r="A22" s="1127"/>
      <c r="B22" s="260" t="s">
        <v>207</v>
      </c>
      <c r="C22" s="1107" t="s">
        <v>209</v>
      </c>
      <c r="D22" s="1108"/>
      <c r="E22" s="1109"/>
      <c r="F22" s="280"/>
      <c r="G22" s="340"/>
      <c r="H22" s="278"/>
      <c r="I22" s="263"/>
      <c r="J22" s="262"/>
      <c r="K22" s="262"/>
      <c r="L22" s="300"/>
      <c r="M22" s="290"/>
      <c r="N22" s="1142"/>
      <c r="O22" s="1145"/>
      <c r="P22" s="1146"/>
    </row>
    <row r="23" spans="1:16" ht="17.25" customHeight="1">
      <c r="A23" s="1110" t="s">
        <v>227</v>
      </c>
      <c r="B23" s="1111"/>
      <c r="C23" s="1112" t="s">
        <v>145</v>
      </c>
      <c r="D23" s="1113"/>
      <c r="E23" s="1114"/>
      <c r="F23" s="1238" t="s">
        <v>159</v>
      </c>
      <c r="G23" s="1240"/>
      <c r="H23" s="284"/>
      <c r="I23" s="1119" t="s">
        <v>162</v>
      </c>
      <c r="J23" s="1119"/>
      <c r="K23" s="1120"/>
      <c r="L23" s="1118"/>
      <c r="M23" s="1120"/>
      <c r="N23" s="1158"/>
      <c r="O23" s="1159"/>
      <c r="P23" s="1160"/>
    </row>
  </sheetData>
  <mergeCells count="52">
    <mergeCell ref="C15:E15"/>
    <mergeCell ref="N17:P17"/>
    <mergeCell ref="C16:E16"/>
    <mergeCell ref="C14:E14"/>
    <mergeCell ref="C23:E23"/>
    <mergeCell ref="A23:B23"/>
    <mergeCell ref="C17:E17"/>
    <mergeCell ref="C20:E20"/>
    <mergeCell ref="C18:E18"/>
    <mergeCell ref="C19:E19"/>
    <mergeCell ref="A17:A18"/>
    <mergeCell ref="A19:A20"/>
    <mergeCell ref="A21:A22"/>
    <mergeCell ref="C21:E21"/>
    <mergeCell ref="C22:E22"/>
    <mergeCell ref="A6:A7"/>
    <mergeCell ref="A8:A9"/>
    <mergeCell ref="A10:A11"/>
    <mergeCell ref="A13:A14"/>
    <mergeCell ref="A15:A16"/>
    <mergeCell ref="N6:P6"/>
    <mergeCell ref="J6:L6"/>
    <mergeCell ref="F23:G23"/>
    <mergeCell ref="N22:P22"/>
    <mergeCell ref="N21:P21"/>
    <mergeCell ref="L23:M23"/>
    <mergeCell ref="N23:P23"/>
    <mergeCell ref="I23:K23"/>
    <mergeCell ref="N20:P20"/>
    <mergeCell ref="N14:P14"/>
    <mergeCell ref="N18:P18"/>
    <mergeCell ref="N19:P19"/>
    <mergeCell ref="J11:L11"/>
    <mergeCell ref="N11:P11"/>
    <mergeCell ref="N12:P12"/>
    <mergeCell ref="N15:P15"/>
    <mergeCell ref="D1:G1"/>
    <mergeCell ref="J4:L4"/>
    <mergeCell ref="J5:L5"/>
    <mergeCell ref="N5:P5"/>
    <mergeCell ref="N16:P16"/>
    <mergeCell ref="N13:P13"/>
    <mergeCell ref="C12:E12"/>
    <mergeCell ref="C13:E13"/>
    <mergeCell ref="N7:P7"/>
    <mergeCell ref="N9:P9"/>
    <mergeCell ref="J10:L10"/>
    <mergeCell ref="J8:L8"/>
    <mergeCell ref="J9:L9"/>
    <mergeCell ref="J7:L7"/>
    <mergeCell ref="N10:P10"/>
    <mergeCell ref="N8:P8"/>
  </mergeCells>
  <phoneticPr fontId="26" type="noConversion"/>
  <pageMargins left="0.17" right="0.16" top="0.43" bottom="0.5" header="0.32" footer="0.5"/>
  <pageSetup paperSize="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Q26"/>
  <sheetViews>
    <sheetView topLeftCell="A7" workbookViewId="0">
      <selection activeCell="C15" sqref="C15:E15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.87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7" width="4.75" style="76" hidden="1" customWidth="1"/>
    <col min="18" max="16384" width="9" style="75"/>
  </cols>
  <sheetData>
    <row r="1" spans="1:17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7">
      <c r="M2" s="286" t="s">
        <v>185</v>
      </c>
      <c r="N2" s="76">
        <v>2</v>
      </c>
      <c r="O2" s="76">
        <v>3</v>
      </c>
    </row>
    <row r="3" spans="1:17">
      <c r="M3" s="287" t="s">
        <v>186</v>
      </c>
      <c r="N3" s="76">
        <v>9</v>
      </c>
      <c r="O3" s="76">
        <v>7</v>
      </c>
    </row>
    <row r="4" spans="1:17">
      <c r="A4" s="234" t="s">
        <v>187</v>
      </c>
      <c r="B4" s="234"/>
      <c r="C4" s="235">
        <v>41531</v>
      </c>
      <c r="D4" s="236" t="s">
        <v>302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7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  <c r="Q5" s="84" t="s">
        <v>153</v>
      </c>
    </row>
    <row r="6" spans="1:17" ht="20.25" customHeight="1">
      <c r="A6" s="1067" t="s">
        <v>204</v>
      </c>
      <c r="B6" s="244" t="s">
        <v>205</v>
      </c>
      <c r="C6" s="26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  <c r="Q6" s="244">
        <v>2</v>
      </c>
    </row>
    <row r="7" spans="1:17" ht="19.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  <c r="Q7" s="84">
        <v>2</v>
      </c>
    </row>
    <row r="8" spans="1:17" ht="19.5" customHeight="1">
      <c r="A8" s="1067" t="s">
        <v>208</v>
      </c>
      <c r="B8" s="1180" t="s">
        <v>205</v>
      </c>
      <c r="C8" s="1182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334" t="e">
        <f>#REF!</f>
        <v>#REF!</v>
      </c>
      <c r="H8" s="267"/>
      <c r="I8" s="335" t="e">
        <f>#REF!</f>
        <v>#REF!</v>
      </c>
      <c r="J8" s="1072" t="e">
        <f>#REF!</f>
        <v>#REF!</v>
      </c>
      <c r="K8" s="1073"/>
      <c r="L8" s="1074"/>
      <c r="M8" s="305">
        <v>1.02</v>
      </c>
      <c r="N8" s="1087" t="e">
        <f>#REF!</f>
        <v>#REF!</v>
      </c>
      <c r="O8" s="1088"/>
      <c r="P8" s="1089"/>
      <c r="Q8" s="84"/>
    </row>
    <row r="9" spans="1:17" ht="19.5" customHeight="1">
      <c r="A9" s="1075"/>
      <c r="B9" s="1181"/>
      <c r="C9" s="1183"/>
      <c r="D9" s="93" t="e">
        <f>#REF!</f>
        <v>#REF!</v>
      </c>
      <c r="E9" s="265" t="e">
        <f>#REF!</f>
        <v>#REF!</v>
      </c>
      <c r="F9" s="134" t="e">
        <f>#REF!</f>
        <v>#REF!</v>
      </c>
      <c r="G9" s="334" t="e">
        <f>#REF!</f>
        <v>#REF!</v>
      </c>
      <c r="H9" s="267"/>
      <c r="I9" s="335" t="e">
        <f>#REF!</f>
        <v>#REF!</v>
      </c>
      <c r="J9" s="1072" t="e">
        <f>#REF!</f>
        <v>#REF!</v>
      </c>
      <c r="K9" s="1073"/>
      <c r="L9" s="1074"/>
      <c r="M9" s="305">
        <v>6.42</v>
      </c>
      <c r="N9" s="1190"/>
      <c r="O9" s="1191"/>
      <c r="P9" s="1192"/>
      <c r="Q9" s="84"/>
    </row>
    <row r="10" spans="1:17" ht="18.95" customHeight="1">
      <c r="A10" s="1068"/>
      <c r="B10" s="260" t="s">
        <v>207</v>
      </c>
      <c r="C10" s="268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336">
        <v>10.01</v>
      </c>
      <c r="N10" s="1078"/>
      <c r="O10" s="1079"/>
      <c r="P10" s="1080"/>
      <c r="Q10" s="84"/>
    </row>
    <row r="11" spans="1:17" ht="20.25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  <c r="Q11" s="84"/>
    </row>
    <row r="12" spans="1:17" ht="19.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  <c r="Q12" s="84"/>
    </row>
    <row r="13" spans="1:17" ht="19.5" customHeight="1">
      <c r="A13" s="1067" t="s">
        <v>211</v>
      </c>
      <c r="B13" s="244" t="s">
        <v>205</v>
      </c>
      <c r="C13" s="304" t="s">
        <v>209</v>
      </c>
      <c r="D13" s="93"/>
      <c r="E13" s="134"/>
      <c r="F13" s="134"/>
      <c r="G13" s="334"/>
      <c r="H13" s="267"/>
      <c r="I13" s="291"/>
      <c r="J13" s="1072"/>
      <c r="K13" s="1073"/>
      <c r="L13" s="1074"/>
      <c r="M13" s="292"/>
      <c r="N13" s="1098"/>
      <c r="O13" s="1099"/>
      <c r="P13" s="1100"/>
      <c r="Q13" s="84"/>
    </row>
    <row r="14" spans="1:17" ht="18" customHeight="1">
      <c r="A14" s="1068"/>
      <c r="B14" s="260" t="s">
        <v>207</v>
      </c>
      <c r="C14" s="268" t="s">
        <v>209</v>
      </c>
      <c r="D14" s="261"/>
      <c r="E14" s="261"/>
      <c r="F14" s="261"/>
      <c r="G14" s="262"/>
      <c r="H14" s="263"/>
      <c r="I14" s="270"/>
      <c r="J14" s="1069"/>
      <c r="K14" s="1070"/>
      <c r="L14" s="1071"/>
      <c r="M14" s="336"/>
      <c r="N14" s="1078"/>
      <c r="O14" s="1079"/>
      <c r="P14" s="1080"/>
      <c r="Q14" s="84"/>
    </row>
    <row r="15" spans="1:17" s="76" customFormat="1" ht="46.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  <c r="Q15" s="84"/>
    </row>
    <row r="16" spans="1:17" ht="19.5" customHeight="1">
      <c r="A16" s="1126" t="s">
        <v>163</v>
      </c>
      <c r="B16" s="84" t="s">
        <v>205</v>
      </c>
      <c r="C16" s="1104" t="s">
        <v>209</v>
      </c>
      <c r="D16" s="1105"/>
      <c r="E16" s="1106"/>
      <c r="F16" s="272"/>
      <c r="G16" s="244"/>
      <c r="H16" s="273"/>
      <c r="I16" s="259"/>
      <c r="J16" s="258"/>
      <c r="K16" s="258"/>
      <c r="L16" s="297"/>
      <c r="M16" s="298"/>
      <c r="N16" s="1139"/>
      <c r="O16" s="1140"/>
      <c r="P16" s="1141"/>
      <c r="Q16" s="84">
        <v>2</v>
      </c>
    </row>
    <row r="17" spans="1:17" ht="20.25" customHeight="1">
      <c r="A17" s="1127"/>
      <c r="B17" s="274" t="s">
        <v>207</v>
      </c>
      <c r="C17" s="1107" t="s">
        <v>209</v>
      </c>
      <c r="D17" s="1108"/>
      <c r="E17" s="1109"/>
      <c r="F17" s="277"/>
      <c r="G17" s="260"/>
      <c r="H17" s="278"/>
      <c r="I17" s="263"/>
      <c r="J17" s="262"/>
      <c r="K17" s="333"/>
      <c r="L17" s="300"/>
      <c r="M17" s="301"/>
      <c r="N17" s="1130"/>
      <c r="O17" s="1131"/>
      <c r="P17" s="1132"/>
      <c r="Q17" s="84">
        <v>2</v>
      </c>
    </row>
    <row r="18" spans="1:17" ht="21.75" customHeight="1">
      <c r="A18" s="1126" t="s">
        <v>304</v>
      </c>
      <c r="B18" s="244" t="s">
        <v>205</v>
      </c>
      <c r="C18" s="1161" t="e">
        <f>#REF!</f>
        <v>#REF!</v>
      </c>
      <c r="D18" s="1162"/>
      <c r="E18" s="1163"/>
      <c r="F18" s="279" t="s">
        <v>245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27">
        <v>9.1199999999999992</v>
      </c>
      <c r="N18" s="1139"/>
      <c r="O18" s="1140"/>
      <c r="P18" s="1141"/>
      <c r="Q18" s="84"/>
    </row>
    <row r="19" spans="1:17" ht="21.75" customHeight="1">
      <c r="A19" s="1127"/>
      <c r="B19" s="260" t="s">
        <v>207</v>
      </c>
      <c r="C19" s="1121" t="e">
        <f>#REF!</f>
        <v>#REF!</v>
      </c>
      <c r="D19" s="1122"/>
      <c r="E19" s="1123"/>
      <c r="F19" s="280" t="s">
        <v>245</v>
      </c>
      <c r="G19" s="260" t="e">
        <f>#REF!</f>
        <v>#REF!</v>
      </c>
      <c r="H19" s="278"/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290">
        <v>12.25</v>
      </c>
      <c r="N19" s="1142"/>
      <c r="O19" s="1145"/>
      <c r="P19" s="1146"/>
      <c r="Q19" s="84"/>
    </row>
    <row r="20" spans="1:17" ht="23.25" customHeight="1">
      <c r="A20" s="1126" t="s">
        <v>223</v>
      </c>
      <c r="B20" s="244" t="s">
        <v>205</v>
      </c>
      <c r="C20" s="1161" t="e">
        <f>#REF!</f>
        <v>#REF!</v>
      </c>
      <c r="D20" s="1162"/>
      <c r="E20" s="1163"/>
      <c r="F20" s="279" t="s">
        <v>234</v>
      </c>
      <c r="G20" s="244" t="e">
        <f>#REF!</f>
        <v>#REF!</v>
      </c>
      <c r="H20" s="273"/>
      <c r="I20" s="259" t="e">
        <f>#REF!</f>
        <v>#REF!</v>
      </c>
      <c r="J20" s="258" t="e">
        <f>#REF!</f>
        <v>#REF!</v>
      </c>
      <c r="K20" s="258" t="e">
        <f>#REF!</f>
        <v>#REF!</v>
      </c>
      <c r="L20" s="297" t="e">
        <f>#REF!</f>
        <v>#REF!</v>
      </c>
      <c r="M20" s="227">
        <v>9.4</v>
      </c>
      <c r="N20" s="1139"/>
      <c r="O20" s="1140"/>
      <c r="P20" s="1141"/>
      <c r="Q20" s="84"/>
    </row>
    <row r="21" spans="1:17" ht="22.7" customHeight="1">
      <c r="A21" s="1127"/>
      <c r="B21" s="260" t="s">
        <v>207</v>
      </c>
      <c r="C21" s="1121" t="e">
        <f>#REF!</f>
        <v>#REF!</v>
      </c>
      <c r="D21" s="1122"/>
      <c r="E21" s="1123"/>
      <c r="F21" s="280" t="s">
        <v>234</v>
      </c>
      <c r="G21" s="260" t="e">
        <f>#REF!</f>
        <v>#REF!</v>
      </c>
      <c r="H21" s="278"/>
      <c r="I21" s="263" t="e">
        <f>#REF!</f>
        <v>#REF!</v>
      </c>
      <c r="J21" s="262" t="e">
        <f>#REF!</f>
        <v>#REF!</v>
      </c>
      <c r="K21" s="262" t="e">
        <f>#REF!</f>
        <v>#REF!</v>
      </c>
      <c r="L21" s="300" t="e">
        <f>#REF!</f>
        <v>#REF!</v>
      </c>
      <c r="M21" s="290">
        <v>8.4499999999999993</v>
      </c>
      <c r="N21" s="1142" t="e">
        <f>#REF!</f>
        <v>#REF!</v>
      </c>
      <c r="O21" s="1145"/>
      <c r="P21" s="1146"/>
      <c r="Q21" s="84"/>
    </row>
    <row r="22" spans="1:17" ht="21" customHeight="1">
      <c r="A22" s="1124" t="s">
        <v>225</v>
      </c>
      <c r="B22" s="244" t="s">
        <v>205</v>
      </c>
      <c r="C22" s="1104" t="s">
        <v>209</v>
      </c>
      <c r="D22" s="1105"/>
      <c r="E22" s="1106"/>
      <c r="F22" s="85"/>
      <c r="G22" s="93"/>
      <c r="H22" s="259"/>
      <c r="I22" s="273"/>
      <c r="J22" s="326"/>
      <c r="K22" s="258"/>
      <c r="L22" s="297"/>
      <c r="M22" s="227"/>
      <c r="N22" s="1210"/>
      <c r="O22" s="1211"/>
      <c r="P22" s="1212"/>
      <c r="Q22" s="244">
        <v>2</v>
      </c>
    </row>
    <row r="23" spans="1:17" ht="18" customHeight="1">
      <c r="A23" s="1125"/>
      <c r="B23" s="261" t="s">
        <v>207</v>
      </c>
      <c r="C23" s="1107" t="s">
        <v>209</v>
      </c>
      <c r="D23" s="1108"/>
      <c r="E23" s="1109"/>
      <c r="F23" s="282"/>
      <c r="G23" s="260"/>
      <c r="H23" s="263"/>
      <c r="I23" s="263"/>
      <c r="J23" s="262"/>
      <c r="K23" s="316"/>
      <c r="L23" s="300"/>
      <c r="M23" s="301"/>
      <c r="N23" s="1166"/>
      <c r="O23" s="1167"/>
      <c r="P23" s="1168"/>
      <c r="Q23" s="244">
        <v>2</v>
      </c>
    </row>
    <row r="24" spans="1:17" ht="21" customHeight="1">
      <c r="A24" s="1124" t="s">
        <v>235</v>
      </c>
      <c r="B24" s="244" t="s">
        <v>205</v>
      </c>
      <c r="C24" s="1104" t="s">
        <v>209</v>
      </c>
      <c r="D24" s="1105"/>
      <c r="E24" s="1106"/>
      <c r="F24" s="85"/>
      <c r="G24" s="93"/>
      <c r="H24" s="259"/>
      <c r="I24" s="273"/>
      <c r="J24" s="326"/>
      <c r="K24" s="302"/>
      <c r="L24" s="297"/>
      <c r="M24" s="227"/>
      <c r="N24" s="1136"/>
      <c r="O24" s="1137"/>
      <c r="P24" s="1138"/>
      <c r="Q24" s="244">
        <v>2</v>
      </c>
    </row>
    <row r="25" spans="1:17" ht="18.95" customHeight="1">
      <c r="A25" s="1125"/>
      <c r="B25" s="261" t="s">
        <v>207</v>
      </c>
      <c r="C25" s="1107" t="s">
        <v>209</v>
      </c>
      <c r="D25" s="1108"/>
      <c r="E25" s="1109"/>
      <c r="F25" s="282"/>
      <c r="G25" s="260"/>
      <c r="H25" s="263"/>
      <c r="I25" s="263"/>
      <c r="J25" s="262"/>
      <c r="K25" s="303"/>
      <c r="L25" s="300"/>
      <c r="M25" s="301"/>
      <c r="N25" s="1166"/>
      <c r="O25" s="1167"/>
      <c r="P25" s="1168"/>
      <c r="Q25" s="244"/>
    </row>
    <row r="26" spans="1:17" ht="18.95" customHeight="1">
      <c r="A26" s="1110" t="s">
        <v>227</v>
      </c>
      <c r="B26" s="1111"/>
      <c r="C26" s="1112" t="s">
        <v>164</v>
      </c>
      <c r="D26" s="1113"/>
      <c r="E26" s="1114"/>
      <c r="F26" s="1250" t="s">
        <v>159</v>
      </c>
      <c r="G26" s="1250"/>
      <c r="H26" s="284"/>
      <c r="I26" s="1119" t="s">
        <v>165</v>
      </c>
      <c r="J26" s="1119"/>
      <c r="K26" s="1119"/>
      <c r="L26" s="1119"/>
      <c r="M26" s="1120"/>
      <c r="N26" s="1158"/>
      <c r="O26" s="1159"/>
      <c r="P26" s="1160"/>
      <c r="Q26" s="84"/>
    </row>
  </sheetData>
  <mergeCells count="59">
    <mergeCell ref="A24:A25"/>
    <mergeCell ref="N26:P26"/>
    <mergeCell ref="N25:P25"/>
    <mergeCell ref="N24:P24"/>
    <mergeCell ref="F26:G26"/>
    <mergeCell ref="I26:M26"/>
    <mergeCell ref="C25:E25"/>
    <mergeCell ref="C26:E26"/>
    <mergeCell ref="A26:B26"/>
    <mergeCell ref="C24:E24"/>
    <mergeCell ref="A20:A21"/>
    <mergeCell ref="A22:A23"/>
    <mergeCell ref="C18:E18"/>
    <mergeCell ref="A6:A7"/>
    <mergeCell ref="A8:A10"/>
    <mergeCell ref="A11:A12"/>
    <mergeCell ref="A13:A14"/>
    <mergeCell ref="A16:A17"/>
    <mergeCell ref="C17:E17"/>
    <mergeCell ref="C16:E16"/>
    <mergeCell ref="A18:A19"/>
    <mergeCell ref="C19:E19"/>
    <mergeCell ref="N18:P18"/>
    <mergeCell ref="B8:B9"/>
    <mergeCell ref="C8:C9"/>
    <mergeCell ref="C15:E15"/>
    <mergeCell ref="J9:L9"/>
    <mergeCell ref="N16:P16"/>
    <mergeCell ref="J11:L11"/>
    <mergeCell ref="N11:P11"/>
    <mergeCell ref="J10:L10"/>
    <mergeCell ref="N10:P10"/>
    <mergeCell ref="N17:P17"/>
    <mergeCell ref="N14:P14"/>
    <mergeCell ref="N12:P12"/>
    <mergeCell ref="J13:L13"/>
    <mergeCell ref="N15:P15"/>
    <mergeCell ref="N13:P13"/>
    <mergeCell ref="N19:P19"/>
    <mergeCell ref="C23:E23"/>
    <mergeCell ref="N23:P23"/>
    <mergeCell ref="C20:E20"/>
    <mergeCell ref="N20:P20"/>
    <mergeCell ref="C21:E21"/>
    <mergeCell ref="N21:P21"/>
    <mergeCell ref="N22:P22"/>
    <mergeCell ref="C22:E22"/>
    <mergeCell ref="J12:L12"/>
    <mergeCell ref="J14:L14"/>
    <mergeCell ref="N8:P9"/>
    <mergeCell ref="D1:G1"/>
    <mergeCell ref="J4:L4"/>
    <mergeCell ref="J5:L5"/>
    <mergeCell ref="N5:P5"/>
    <mergeCell ref="J6:L6"/>
    <mergeCell ref="N6:P6"/>
    <mergeCell ref="J7:L7"/>
    <mergeCell ref="N7:P7"/>
    <mergeCell ref="J8:L8"/>
  </mergeCells>
  <phoneticPr fontId="26" type="noConversion"/>
  <pageMargins left="0.32" right="0.17" top="0.45" bottom="0.41" header="0.17" footer="0.17"/>
  <pageSetup paperSize="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P21"/>
  <sheetViews>
    <sheetView topLeftCell="A10" workbookViewId="0">
      <selection activeCell="C19" sqref="C19:E19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9</v>
      </c>
      <c r="O3" s="76">
        <v>6</v>
      </c>
    </row>
    <row r="4" spans="1:16">
      <c r="A4" s="234" t="s">
        <v>187</v>
      </c>
      <c r="B4" s="234"/>
      <c r="C4" s="235">
        <v>41501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26.25" customHeight="1">
      <c r="A6" s="1067" t="s">
        <v>204</v>
      </c>
      <c r="B6" s="244" t="s">
        <v>205</v>
      </c>
      <c r="C6" s="244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59"/>
      <c r="I6" s="289" t="e">
        <f>#REF!</f>
        <v>#REF!</v>
      </c>
      <c r="J6" s="1064" t="e">
        <f>#REF!</f>
        <v>#REF!</v>
      </c>
      <c r="K6" s="1156"/>
      <c r="L6" s="1157"/>
      <c r="M6" s="227">
        <v>3.4</v>
      </c>
      <c r="N6" s="1090" t="e">
        <f>#REF!</f>
        <v>#REF!</v>
      </c>
      <c r="O6" s="1091"/>
      <c r="P6" s="1092"/>
    </row>
    <row r="7" spans="1:16" ht="23.25" customHeight="1">
      <c r="A7" s="1068"/>
      <c r="B7" s="260" t="s">
        <v>207</v>
      </c>
      <c r="C7" s="260" t="e">
        <f>#REF!</f>
        <v>#REF!</v>
      </c>
      <c r="D7" s="261" t="e">
        <f>#REF!</f>
        <v>#REF!</v>
      </c>
      <c r="E7" s="261" t="e">
        <f>#REF!</f>
        <v>#REF!</v>
      </c>
      <c r="F7" s="261" t="e">
        <f>#REF!</f>
        <v>#REF!</v>
      </c>
      <c r="G7" s="262" t="e">
        <f>#REF!</f>
        <v>#REF!</v>
      </c>
      <c r="H7" s="263"/>
      <c r="I7" s="270" t="e">
        <f>#REF!</f>
        <v>#REF!</v>
      </c>
      <c r="J7" s="1069" t="e">
        <f>#REF!</f>
        <v>#REF!</v>
      </c>
      <c r="K7" s="1070"/>
      <c r="L7" s="1071"/>
      <c r="M7" s="290">
        <v>9.48</v>
      </c>
      <c r="N7" s="1078"/>
      <c r="O7" s="1079"/>
      <c r="P7" s="1080"/>
    </row>
    <row r="8" spans="1:16" ht="21" customHeight="1">
      <c r="A8" s="1067" t="s">
        <v>208</v>
      </c>
      <c r="B8" s="1180" t="s">
        <v>205</v>
      </c>
      <c r="C8" s="1199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4.4000000000000004</v>
      </c>
      <c r="N8" s="1087" t="e">
        <f>#REF!</f>
        <v>#REF!</v>
      </c>
      <c r="O8" s="1088"/>
      <c r="P8" s="1089"/>
    </row>
    <row r="9" spans="1:16" ht="19.5" customHeight="1">
      <c r="A9" s="1189"/>
      <c r="B9" s="1165"/>
      <c r="C9" s="1165"/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1.22</v>
      </c>
      <c r="N9" s="1235"/>
      <c r="O9" s="1236"/>
      <c r="P9" s="1237"/>
    </row>
    <row r="10" spans="1:16" ht="28.5" customHeight="1">
      <c r="A10" s="1127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7.26</v>
      </c>
      <c r="N10" s="1078" t="e">
        <f>#REF!</f>
        <v>#REF!</v>
      </c>
      <c r="O10" s="1079"/>
      <c r="P10" s="1080"/>
    </row>
    <row r="11" spans="1:16" ht="21" customHeight="1">
      <c r="A11" s="1067" t="s">
        <v>211</v>
      </c>
      <c r="B11" s="244" t="s">
        <v>205</v>
      </c>
      <c r="C11" s="93" t="e">
        <f>#REF!</f>
        <v>#REF!</v>
      </c>
      <c r="D11" s="93" t="e">
        <f>#REF!</f>
        <v>#REF!</v>
      </c>
      <c r="E11" s="134" t="e">
        <f>#REF!</f>
        <v>#REF!</v>
      </c>
      <c r="F11" s="134" t="e">
        <f>#REF!</f>
        <v>#REF!</v>
      </c>
      <c r="G11" s="266" t="e">
        <f>#REF!</f>
        <v>#REF!</v>
      </c>
      <c r="H11" s="267"/>
      <c r="I11" s="291" t="e">
        <f>#REF!</f>
        <v>#REF!</v>
      </c>
      <c r="J11" s="1072" t="e">
        <f>#REF!</f>
        <v>#REF!</v>
      </c>
      <c r="K11" s="1073"/>
      <c r="L11" s="1074"/>
      <c r="M11" s="292">
        <v>1.56</v>
      </c>
      <c r="N11" s="1098" t="e">
        <f>#REF!</f>
        <v>#REF!</v>
      </c>
      <c r="O11" s="1099"/>
      <c r="P11" s="1100"/>
    </row>
    <row r="12" spans="1:16" ht="19.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s="76" customFormat="1" ht="55.5" customHeight="1">
      <c r="A13" s="84" t="s">
        <v>212</v>
      </c>
      <c r="B13" s="84" t="s">
        <v>193</v>
      </c>
      <c r="C13" s="1095" t="s">
        <v>213</v>
      </c>
      <c r="D13" s="1065"/>
      <c r="E13" s="1066"/>
      <c r="F13" s="257" t="s">
        <v>214</v>
      </c>
      <c r="G13" s="271" t="s">
        <v>215</v>
      </c>
      <c r="H13" s="257" t="s">
        <v>216</v>
      </c>
      <c r="I13" s="257" t="s">
        <v>217</v>
      </c>
      <c r="J13" s="294" t="s">
        <v>218</v>
      </c>
      <c r="K13" s="294" t="s">
        <v>219</v>
      </c>
      <c r="L13" s="295" t="s">
        <v>201</v>
      </c>
      <c r="M13" s="257" t="s">
        <v>202</v>
      </c>
      <c r="N13" s="1133" t="s">
        <v>203</v>
      </c>
      <c r="O13" s="1134"/>
      <c r="P13" s="1135"/>
    </row>
    <row r="14" spans="1:16" ht="25.5" customHeight="1">
      <c r="A14" s="1126" t="s">
        <v>166</v>
      </c>
      <c r="B14" s="84" t="s">
        <v>205</v>
      </c>
      <c r="C14" s="1161" t="e">
        <f>#REF!</f>
        <v>#REF!</v>
      </c>
      <c r="D14" s="1162"/>
      <c r="E14" s="1163"/>
      <c r="F14" s="272" t="s">
        <v>167</v>
      </c>
      <c r="G14" s="244" t="e">
        <f>#REF!</f>
        <v>#REF!</v>
      </c>
      <c r="H14" s="273"/>
      <c r="I14" s="259" t="e">
        <f>#REF!</f>
        <v>#REF!</v>
      </c>
      <c r="J14" s="258" t="e">
        <f>#REF!</f>
        <v>#REF!</v>
      </c>
      <c r="K14" s="302" t="e">
        <f>#REF!</f>
        <v>#REF!</v>
      </c>
      <c r="L14" s="297" t="e">
        <f>#REF!</f>
        <v>#REF!</v>
      </c>
      <c r="M14" s="298">
        <v>10.26</v>
      </c>
      <c r="N14" s="1139"/>
      <c r="O14" s="1140"/>
      <c r="P14" s="1141"/>
    </row>
    <row r="15" spans="1:16" ht="24.75" customHeight="1">
      <c r="A15" s="1127"/>
      <c r="B15" s="274" t="s">
        <v>207</v>
      </c>
      <c r="C15" s="1115" t="s">
        <v>209</v>
      </c>
      <c r="D15" s="1116"/>
      <c r="E15" s="1117"/>
      <c r="F15" s="277"/>
      <c r="G15" s="260"/>
      <c r="H15" s="278"/>
      <c r="I15" s="263"/>
      <c r="J15" s="262"/>
      <c r="K15" s="333"/>
      <c r="L15" s="300"/>
      <c r="M15" s="301"/>
      <c r="N15" s="1130"/>
      <c r="O15" s="1131"/>
      <c r="P15" s="1132"/>
    </row>
    <row r="16" spans="1:16" ht="20.100000000000001" customHeight="1">
      <c r="A16" s="1126" t="s">
        <v>223</v>
      </c>
      <c r="B16" s="244" t="s">
        <v>205</v>
      </c>
      <c r="C16" s="1104" t="s">
        <v>209</v>
      </c>
      <c r="D16" s="1105"/>
      <c r="E16" s="1106"/>
      <c r="F16" s="279"/>
      <c r="G16" s="244"/>
      <c r="H16" s="273"/>
      <c r="I16" s="259"/>
      <c r="J16" s="258"/>
      <c r="K16" s="258"/>
      <c r="L16" s="297"/>
      <c r="M16" s="227"/>
      <c r="N16" s="1139"/>
      <c r="O16" s="1140"/>
      <c r="P16" s="1141"/>
    </row>
    <row r="17" spans="1:16" ht="24" customHeight="1">
      <c r="A17" s="1127"/>
      <c r="B17" s="260" t="s">
        <v>207</v>
      </c>
      <c r="C17" s="1121" t="e">
        <f>#REF!</f>
        <v>#REF!</v>
      </c>
      <c r="D17" s="1122"/>
      <c r="E17" s="1123"/>
      <c r="F17" s="280" t="s">
        <v>168</v>
      </c>
      <c r="G17" s="26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262" t="e">
        <f>#REF!</f>
        <v>#REF!</v>
      </c>
      <c r="L17" s="300" t="e">
        <f>#REF!</f>
        <v>#REF!</v>
      </c>
      <c r="M17" s="290">
        <v>10</v>
      </c>
      <c r="N17" s="1142"/>
      <c r="O17" s="1145"/>
      <c r="P17" s="1146"/>
    </row>
    <row r="18" spans="1:16" ht="30.75" customHeight="1">
      <c r="A18" s="1126" t="s">
        <v>225</v>
      </c>
      <c r="B18" s="1199" t="s">
        <v>205</v>
      </c>
      <c r="C18" s="1252" t="e">
        <f>#REF!</f>
        <v>#REF!</v>
      </c>
      <c r="D18" s="1253"/>
      <c r="E18" s="1254"/>
      <c r="F18" s="85" t="s">
        <v>169</v>
      </c>
      <c r="G18" s="134" t="e">
        <f>#REF!</f>
        <v>#REF!</v>
      </c>
      <c r="H18" s="259"/>
      <c r="I18" s="259" t="e">
        <f>#REF!</f>
        <v>#REF!</v>
      </c>
      <c r="J18" s="258" t="e">
        <f>#REF!</f>
        <v>#REF!</v>
      </c>
      <c r="K18" s="302" t="e">
        <f>#REF!</f>
        <v>#REF!</v>
      </c>
      <c r="L18" s="297" t="e">
        <f>#REF!</f>
        <v>#REF!</v>
      </c>
      <c r="M18" s="227">
        <v>5.26</v>
      </c>
      <c r="N18" s="1255"/>
      <c r="O18" s="1255"/>
      <c r="P18" s="1255"/>
    </row>
    <row r="19" spans="1:16" ht="30.75" customHeight="1">
      <c r="A19" s="1189"/>
      <c r="B19" s="1165"/>
      <c r="C19" s="1103" t="e">
        <f>#REF!</f>
        <v>#REF!</v>
      </c>
      <c r="D19" s="1103"/>
      <c r="E19" s="1103"/>
      <c r="F19" s="85" t="s">
        <v>169</v>
      </c>
      <c r="G19" s="134" t="e">
        <f>#REF!</f>
        <v>#REF!</v>
      </c>
      <c r="H19" s="259"/>
      <c r="I19" s="259" t="e">
        <f>#REF!</f>
        <v>#REF!</v>
      </c>
      <c r="J19" s="258" t="e">
        <f>#REF!</f>
        <v>#REF!</v>
      </c>
      <c r="K19" s="302" t="e">
        <f>#REF!</f>
        <v>#REF!</v>
      </c>
      <c r="L19" s="297" t="e">
        <f>#REF!</f>
        <v>#REF!</v>
      </c>
      <c r="M19" s="227">
        <v>2.3199999999999998</v>
      </c>
      <c r="N19" s="1255"/>
      <c r="O19" s="1255"/>
      <c r="P19" s="1255"/>
    </row>
    <row r="20" spans="1:16" ht="33.75" customHeight="1">
      <c r="A20" s="1127"/>
      <c r="B20" s="261" t="s">
        <v>207</v>
      </c>
      <c r="C20" s="1251" t="e">
        <f>#REF!</f>
        <v>#REF!</v>
      </c>
      <c r="D20" s="1251"/>
      <c r="E20" s="1251"/>
      <c r="F20" s="282" t="s">
        <v>169</v>
      </c>
      <c r="G20" s="261" t="e">
        <f>#REF!</f>
        <v>#REF!</v>
      </c>
      <c r="H20" s="263"/>
      <c r="I20" s="263" t="e">
        <f>#REF!</f>
        <v>#REF!</v>
      </c>
      <c r="J20" s="262" t="e">
        <f>#REF!</f>
        <v>#REF!</v>
      </c>
      <c r="K20" s="333" t="e">
        <f>#REF!</f>
        <v>#REF!</v>
      </c>
      <c r="L20" s="300" t="e">
        <f>#REF!</f>
        <v>#REF!</v>
      </c>
      <c r="M20" s="301">
        <v>7.19</v>
      </c>
      <c r="N20" s="1256" t="e">
        <f>#REF!</f>
        <v>#REF!</v>
      </c>
      <c r="O20" s="1256"/>
      <c r="P20" s="1256"/>
    </row>
    <row r="21" spans="1:16" ht="17.25" customHeight="1">
      <c r="A21" s="1110" t="s">
        <v>227</v>
      </c>
      <c r="B21" s="1111"/>
      <c r="C21" s="1112" t="s">
        <v>170</v>
      </c>
      <c r="D21" s="1113"/>
      <c r="E21" s="1114"/>
      <c r="F21" s="1118" t="s">
        <v>171</v>
      </c>
      <c r="G21" s="1119"/>
      <c r="H21" s="1119"/>
      <c r="I21" s="1119"/>
      <c r="J21" s="1120"/>
      <c r="K21" s="285"/>
      <c r="L21" s="1118"/>
      <c r="M21" s="1120"/>
      <c r="N21" s="1158"/>
      <c r="O21" s="1159"/>
      <c r="P21" s="1160"/>
    </row>
  </sheetData>
  <mergeCells count="47">
    <mergeCell ref="N13:P13"/>
    <mergeCell ref="C17:E17"/>
    <mergeCell ref="D1:G1"/>
    <mergeCell ref="J4:L4"/>
    <mergeCell ref="J5:L5"/>
    <mergeCell ref="C8:C9"/>
    <mergeCell ref="N12:P12"/>
    <mergeCell ref="C15:E15"/>
    <mergeCell ref="N5:P5"/>
    <mergeCell ref="J6:L6"/>
    <mergeCell ref="N8:P9"/>
    <mergeCell ref="N6:P6"/>
    <mergeCell ref="N7:P7"/>
    <mergeCell ref="N10:P10"/>
    <mergeCell ref="N11:P11"/>
    <mergeCell ref="N21:P21"/>
    <mergeCell ref="N14:P14"/>
    <mergeCell ref="N19:P19"/>
    <mergeCell ref="N16:P16"/>
    <mergeCell ref="N18:P18"/>
    <mergeCell ref="N20:P20"/>
    <mergeCell ref="N17:P17"/>
    <mergeCell ref="N15:P15"/>
    <mergeCell ref="A8:A10"/>
    <mergeCell ref="A11:A12"/>
    <mergeCell ref="J7:L7"/>
    <mergeCell ref="A16:A17"/>
    <mergeCell ref="A14:A15"/>
    <mergeCell ref="C13:E13"/>
    <mergeCell ref="C14:E14"/>
    <mergeCell ref="C16:E16"/>
    <mergeCell ref="A6:A7"/>
    <mergeCell ref="B8:B9"/>
    <mergeCell ref="A21:B21"/>
    <mergeCell ref="C21:E21"/>
    <mergeCell ref="A18:A20"/>
    <mergeCell ref="C20:E20"/>
    <mergeCell ref="B18:B19"/>
    <mergeCell ref="C18:E18"/>
    <mergeCell ref="C19:E19"/>
    <mergeCell ref="F21:J21"/>
    <mergeCell ref="J8:L8"/>
    <mergeCell ref="J9:L9"/>
    <mergeCell ref="J10:L10"/>
    <mergeCell ref="L21:M21"/>
    <mergeCell ref="J12:L12"/>
    <mergeCell ref="J11:L11"/>
  </mergeCells>
  <phoneticPr fontId="26" type="noConversion"/>
  <pageMargins left="0.22" right="0.17" top="0.81" bottom="0.17" header="0.17" footer="0.17"/>
  <pageSetup paperSize="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P23"/>
  <sheetViews>
    <sheetView topLeftCell="A10" workbookViewId="0">
      <selection activeCell="N15" sqref="N15:P15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8</v>
      </c>
      <c r="O3" s="76">
        <v>8</v>
      </c>
    </row>
    <row r="4" spans="1:16">
      <c r="A4" s="234" t="s">
        <v>187</v>
      </c>
      <c r="B4" s="234"/>
      <c r="C4" s="235">
        <v>41533</v>
      </c>
      <c r="D4" s="236" t="s">
        <v>232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21.75" customHeight="1">
      <c r="A6" s="1067" t="s">
        <v>204</v>
      </c>
      <c r="B6" s="244" t="s">
        <v>205</v>
      </c>
      <c r="C6" s="93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9.5" customHeight="1">
      <c r="A7" s="1068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4.75" customHeight="1">
      <c r="A8" s="1067" t="s">
        <v>208</v>
      </c>
      <c r="B8" s="93" t="s">
        <v>205</v>
      </c>
      <c r="C8" s="26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7.1</v>
      </c>
      <c r="N8" s="1153" t="e">
        <f>#REF!</f>
        <v>#REF!</v>
      </c>
      <c r="O8" s="1154"/>
      <c r="P8" s="1155"/>
    </row>
    <row r="9" spans="1:16" ht="24" customHeight="1">
      <c r="A9" s="1068"/>
      <c r="B9" s="260" t="s">
        <v>207</v>
      </c>
      <c r="C9" s="268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3.44</v>
      </c>
      <c r="N9" s="1078"/>
      <c r="O9" s="1079"/>
      <c r="P9" s="1080"/>
    </row>
    <row r="10" spans="1:16" ht="17.25" customHeight="1">
      <c r="A10" s="1067" t="s">
        <v>210</v>
      </c>
      <c r="B10" s="244" t="s">
        <v>205</v>
      </c>
      <c r="C10" s="93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7.25" customHeight="1">
      <c r="A11" s="1068"/>
      <c r="B11" s="260" t="s">
        <v>207</v>
      </c>
      <c r="C11" s="260" t="s">
        <v>209</v>
      </c>
      <c r="D11" s="261"/>
      <c r="E11" s="261"/>
      <c r="F11" s="261"/>
      <c r="G11" s="270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s="76" customFormat="1" ht="55.5" customHeight="1">
      <c r="A12" s="84" t="s">
        <v>212</v>
      </c>
      <c r="B12" s="84" t="s">
        <v>193</v>
      </c>
      <c r="C12" s="1095" t="s">
        <v>213</v>
      </c>
      <c r="D12" s="1065"/>
      <c r="E12" s="1066"/>
      <c r="F12" s="257" t="s">
        <v>214</v>
      </c>
      <c r="G12" s="271" t="s">
        <v>215</v>
      </c>
      <c r="H12" s="257" t="s">
        <v>216</v>
      </c>
      <c r="I12" s="257" t="s">
        <v>217</v>
      </c>
      <c r="J12" s="294" t="s">
        <v>218</v>
      </c>
      <c r="K12" s="294" t="s">
        <v>219</v>
      </c>
      <c r="L12" s="295" t="s">
        <v>201</v>
      </c>
      <c r="M12" s="257" t="s">
        <v>202</v>
      </c>
      <c r="N12" s="1133" t="s">
        <v>203</v>
      </c>
      <c r="O12" s="1134"/>
      <c r="P12" s="1135"/>
    </row>
    <row r="13" spans="1:16" ht="21" customHeight="1">
      <c r="A13" s="1126" t="s">
        <v>166</v>
      </c>
      <c r="B13" s="84" t="s">
        <v>205</v>
      </c>
      <c r="C13" s="1161" t="s">
        <v>209</v>
      </c>
      <c r="D13" s="1162"/>
      <c r="E13" s="1163"/>
      <c r="F13" s="272"/>
      <c r="G13" s="244"/>
      <c r="H13" s="273"/>
      <c r="I13" s="259"/>
      <c r="J13" s="258"/>
      <c r="K13" s="302"/>
      <c r="L13" s="297"/>
      <c r="M13" s="298"/>
      <c r="N13" s="1139"/>
      <c r="O13" s="1140"/>
      <c r="P13" s="1141"/>
    </row>
    <row r="14" spans="1:16" ht="21.75" customHeight="1">
      <c r="A14" s="1127"/>
      <c r="B14" s="274" t="s">
        <v>207</v>
      </c>
      <c r="C14" s="1121" t="s">
        <v>209</v>
      </c>
      <c r="D14" s="1122"/>
      <c r="E14" s="1123"/>
      <c r="F14" s="277"/>
      <c r="G14" s="260"/>
      <c r="H14" s="278"/>
      <c r="I14" s="263"/>
      <c r="J14" s="262"/>
      <c r="K14" s="333"/>
      <c r="L14" s="300"/>
      <c r="M14" s="301"/>
      <c r="N14" s="1130"/>
      <c r="O14" s="1131"/>
      <c r="P14" s="1132"/>
    </row>
    <row r="15" spans="1:16" ht="24.75" customHeight="1">
      <c r="A15" s="1126" t="s">
        <v>304</v>
      </c>
      <c r="B15" s="244" t="s">
        <v>205</v>
      </c>
      <c r="C15" s="1161" t="e">
        <f>#REF!</f>
        <v>#REF!</v>
      </c>
      <c r="D15" s="1162"/>
      <c r="E15" s="1163"/>
      <c r="F15" s="279" t="s">
        <v>245</v>
      </c>
      <c r="G15" s="244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27">
        <v>4.1500000000000004</v>
      </c>
      <c r="N15" s="1257" t="e">
        <f>#REF!</f>
        <v>#REF!</v>
      </c>
      <c r="O15" s="1258"/>
      <c r="P15" s="1259"/>
    </row>
    <row r="16" spans="1:16" ht="19.5" customHeight="1">
      <c r="A16" s="1127"/>
      <c r="B16" s="260" t="s">
        <v>207</v>
      </c>
      <c r="C16" s="1121" t="s">
        <v>209</v>
      </c>
      <c r="D16" s="1122"/>
      <c r="E16" s="1123"/>
      <c r="F16" s="280"/>
      <c r="G16" s="260"/>
      <c r="H16" s="278"/>
      <c r="I16" s="263"/>
      <c r="J16" s="262"/>
      <c r="K16" s="262"/>
      <c r="L16" s="300"/>
      <c r="M16" s="290"/>
      <c r="N16" s="1142"/>
      <c r="O16" s="1145"/>
      <c r="P16" s="1146"/>
    </row>
    <row r="17" spans="1:16" ht="24" customHeight="1">
      <c r="A17" s="1126" t="s">
        <v>223</v>
      </c>
      <c r="B17" s="244" t="s">
        <v>205</v>
      </c>
      <c r="C17" s="1161" t="e">
        <f>#REF!</f>
        <v>#REF!</v>
      </c>
      <c r="D17" s="1162"/>
      <c r="E17" s="1163"/>
      <c r="F17" s="279" t="s">
        <v>234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7.07</v>
      </c>
      <c r="N17" s="1139"/>
      <c r="O17" s="1140"/>
      <c r="P17" s="1141"/>
    </row>
    <row r="18" spans="1:16" ht="24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234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11.18</v>
      </c>
      <c r="N18" s="1142"/>
      <c r="O18" s="1145"/>
      <c r="P18" s="1146"/>
    </row>
    <row r="19" spans="1:16" ht="26.25" customHeight="1">
      <c r="A19" s="1126" t="s">
        <v>225</v>
      </c>
      <c r="B19" s="244" t="s">
        <v>205</v>
      </c>
      <c r="C19" s="1161" t="s">
        <v>209</v>
      </c>
      <c r="D19" s="1162"/>
      <c r="E19" s="1163"/>
      <c r="F19" s="85"/>
      <c r="G19" s="134"/>
      <c r="H19" s="259"/>
      <c r="I19" s="259"/>
      <c r="J19" s="258"/>
      <c r="K19" s="302"/>
      <c r="L19" s="297"/>
      <c r="M19" s="227"/>
      <c r="N19" s="1210"/>
      <c r="O19" s="1211"/>
      <c r="P19" s="1212"/>
    </row>
    <row r="20" spans="1:16" ht="24.75" customHeight="1">
      <c r="A20" s="1127"/>
      <c r="B20" s="261" t="s">
        <v>207</v>
      </c>
      <c r="C20" s="1121" t="s">
        <v>209</v>
      </c>
      <c r="D20" s="1122"/>
      <c r="E20" s="1123"/>
      <c r="F20" s="282"/>
      <c r="G20" s="261"/>
      <c r="H20" s="263"/>
      <c r="I20" s="263"/>
      <c r="J20" s="262"/>
      <c r="K20" s="333"/>
      <c r="L20" s="300"/>
      <c r="M20" s="301"/>
      <c r="N20" s="1256"/>
      <c r="O20" s="1256"/>
      <c r="P20" s="1256"/>
    </row>
    <row r="21" spans="1:16" ht="24.75" customHeight="1">
      <c r="A21" s="1260" t="s">
        <v>235</v>
      </c>
      <c r="B21" s="84" t="s">
        <v>205</v>
      </c>
      <c r="C21" s="1103" t="e">
        <f>#REF!</f>
        <v>#REF!</v>
      </c>
      <c r="D21" s="1103"/>
      <c r="E21" s="1103"/>
      <c r="F21" s="85" t="s">
        <v>161</v>
      </c>
      <c r="G21" s="134" t="e">
        <f>#REF!</f>
        <v>#REF!</v>
      </c>
      <c r="H21" s="259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0.44</v>
      </c>
      <c r="N21" s="1255"/>
      <c r="O21" s="1255"/>
      <c r="P21" s="1255"/>
    </row>
    <row r="22" spans="1:16" ht="21" customHeight="1">
      <c r="A22" s="1260"/>
      <c r="B22" s="261" t="s">
        <v>207</v>
      </c>
      <c r="C22" s="1251" t="e">
        <f>#REF!</f>
        <v>#REF!</v>
      </c>
      <c r="D22" s="1251"/>
      <c r="E22" s="1251"/>
      <c r="F22" s="282" t="s">
        <v>161</v>
      </c>
      <c r="G22" s="261" t="e">
        <f>#REF!</f>
        <v>#REF!</v>
      </c>
      <c r="H22" s="263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301">
        <v>8.02</v>
      </c>
      <c r="N22" s="1256"/>
      <c r="O22" s="1256"/>
      <c r="P22" s="1256"/>
    </row>
    <row r="23" spans="1:16" ht="26.25" customHeight="1">
      <c r="A23" s="1110" t="s">
        <v>227</v>
      </c>
      <c r="B23" s="1111"/>
      <c r="C23" s="1112" t="s">
        <v>172</v>
      </c>
      <c r="D23" s="1113"/>
      <c r="E23" s="1114"/>
      <c r="F23" s="1118" t="s">
        <v>173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A15:A16"/>
    <mergeCell ref="N17:P17"/>
    <mergeCell ref="N20:P20"/>
    <mergeCell ref="N18:P18"/>
    <mergeCell ref="A17:A18"/>
    <mergeCell ref="C15:E15"/>
    <mergeCell ref="C16:E16"/>
    <mergeCell ref="C17:E17"/>
    <mergeCell ref="C18:E18"/>
    <mergeCell ref="C13:E13"/>
    <mergeCell ref="A6:A7"/>
    <mergeCell ref="A8:A9"/>
    <mergeCell ref="A10:A11"/>
    <mergeCell ref="A13:A14"/>
    <mergeCell ref="C14:E14"/>
    <mergeCell ref="C12:E12"/>
    <mergeCell ref="A23:B23"/>
    <mergeCell ref="C23:E23"/>
    <mergeCell ref="C22:E22"/>
    <mergeCell ref="C19:E19"/>
    <mergeCell ref="A19:A20"/>
    <mergeCell ref="A21:A22"/>
    <mergeCell ref="C20:E20"/>
    <mergeCell ref="C21:E21"/>
    <mergeCell ref="F23:J23"/>
    <mergeCell ref="L23:M23"/>
    <mergeCell ref="N23:P23"/>
    <mergeCell ref="N19:P19"/>
    <mergeCell ref="N14:P14"/>
    <mergeCell ref="N22:P22"/>
    <mergeCell ref="N21:P21"/>
    <mergeCell ref="J7:L7"/>
    <mergeCell ref="N8:P8"/>
    <mergeCell ref="N7:P7"/>
    <mergeCell ref="J8:L8"/>
    <mergeCell ref="N16:P16"/>
    <mergeCell ref="J11:L11"/>
    <mergeCell ref="N11:P11"/>
    <mergeCell ref="J9:L9"/>
    <mergeCell ref="N9:P9"/>
    <mergeCell ref="J10:L10"/>
    <mergeCell ref="N10:P10"/>
    <mergeCell ref="N12:P12"/>
    <mergeCell ref="N15:P15"/>
    <mergeCell ref="N13:P13"/>
    <mergeCell ref="D1:G1"/>
    <mergeCell ref="J4:L4"/>
    <mergeCell ref="J5:L5"/>
    <mergeCell ref="N5:P5"/>
    <mergeCell ref="J6:L6"/>
    <mergeCell ref="N6:P6"/>
  </mergeCells>
  <phoneticPr fontId="26" type="noConversion"/>
  <pageMargins left="0.17" right="0.17" top="0.17" bottom="0.32" header="0.25" footer="0.24"/>
  <pageSetup paperSize="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P24"/>
  <sheetViews>
    <sheetView topLeftCell="A10" workbookViewId="0">
      <selection activeCell="C17" sqref="C17:E17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2</v>
      </c>
    </row>
    <row r="3" spans="1:16">
      <c r="M3" s="287" t="s">
        <v>186</v>
      </c>
      <c r="N3" s="76">
        <v>10</v>
      </c>
      <c r="O3" s="76">
        <v>8</v>
      </c>
    </row>
    <row r="4" spans="1:16">
      <c r="A4" s="234" t="s">
        <v>187</v>
      </c>
      <c r="B4" s="234"/>
      <c r="C4" s="235">
        <v>41534</v>
      </c>
      <c r="D4" s="236" t="s">
        <v>240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8.9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7.2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6.25" customHeight="1">
      <c r="A8" s="1067" t="s">
        <v>208</v>
      </c>
      <c r="B8" s="1180" t="s">
        <v>205</v>
      </c>
      <c r="C8" s="1182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8.08</v>
      </c>
      <c r="N8" s="1087" t="e">
        <f>#REF!</f>
        <v>#REF!</v>
      </c>
      <c r="O8" s="1088"/>
      <c r="P8" s="1089"/>
    </row>
    <row r="9" spans="1:16" ht="26.25" customHeight="1">
      <c r="A9" s="1075"/>
      <c r="B9" s="1181"/>
      <c r="C9" s="1183"/>
      <c r="D9" s="332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0.4</v>
      </c>
      <c r="N9" s="1190"/>
      <c r="O9" s="1191"/>
      <c r="P9" s="1192"/>
    </row>
    <row r="10" spans="1:16" ht="30" customHeight="1">
      <c r="A10" s="1127"/>
      <c r="B10" s="260" t="s">
        <v>207</v>
      </c>
      <c r="C10" s="268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10.06</v>
      </c>
      <c r="N10" s="1078"/>
      <c r="O10" s="1079"/>
      <c r="P10" s="1080"/>
    </row>
    <row r="11" spans="1:16" ht="15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s="76" customFormat="1" ht="55.5" customHeight="1">
      <c r="A13" s="84" t="s">
        <v>212</v>
      </c>
      <c r="B13" s="84" t="s">
        <v>193</v>
      </c>
      <c r="C13" s="1095" t="s">
        <v>213</v>
      </c>
      <c r="D13" s="1065"/>
      <c r="E13" s="1066"/>
      <c r="F13" s="257" t="s">
        <v>214</v>
      </c>
      <c r="G13" s="271" t="s">
        <v>215</v>
      </c>
      <c r="H13" s="257" t="s">
        <v>216</v>
      </c>
      <c r="I13" s="257" t="s">
        <v>217</v>
      </c>
      <c r="J13" s="294" t="s">
        <v>218</v>
      </c>
      <c r="K13" s="294" t="s">
        <v>219</v>
      </c>
      <c r="L13" s="295" t="s">
        <v>201</v>
      </c>
      <c r="M13" s="257" t="s">
        <v>202</v>
      </c>
      <c r="N13" s="1133" t="s">
        <v>203</v>
      </c>
      <c r="O13" s="1134"/>
      <c r="P13" s="1135"/>
    </row>
    <row r="14" spans="1:16" ht="21.75" customHeight="1">
      <c r="A14" s="1126" t="s">
        <v>166</v>
      </c>
      <c r="B14" s="84" t="s">
        <v>205</v>
      </c>
      <c r="C14" s="1161" t="s">
        <v>209</v>
      </c>
      <c r="D14" s="1162"/>
      <c r="E14" s="1163"/>
      <c r="F14" s="272"/>
      <c r="G14" s="244"/>
      <c r="H14" s="273"/>
      <c r="I14" s="259"/>
      <c r="J14" s="258"/>
      <c r="K14" s="302"/>
      <c r="L14" s="297"/>
      <c r="M14" s="298"/>
      <c r="N14" s="1139"/>
      <c r="O14" s="1140"/>
      <c r="P14" s="1141"/>
    </row>
    <row r="15" spans="1:16" ht="20.100000000000001" customHeight="1">
      <c r="A15" s="1127"/>
      <c r="B15" s="274" t="s">
        <v>207</v>
      </c>
      <c r="C15" s="1164" t="s">
        <v>209</v>
      </c>
      <c r="D15" s="1151"/>
      <c r="E15" s="1152"/>
      <c r="F15" s="277"/>
      <c r="G15" s="260"/>
      <c r="H15" s="278"/>
      <c r="I15" s="263"/>
      <c r="J15" s="262"/>
      <c r="K15" s="333"/>
      <c r="L15" s="300"/>
      <c r="M15" s="301"/>
      <c r="N15" s="1130"/>
      <c r="O15" s="1131"/>
      <c r="P15" s="1132"/>
    </row>
    <row r="16" spans="1:16" ht="26.25" customHeight="1">
      <c r="A16" s="1126" t="s">
        <v>304</v>
      </c>
      <c r="B16" s="244" t="s">
        <v>205</v>
      </c>
      <c r="C16" s="1161" t="s">
        <v>209</v>
      </c>
      <c r="D16" s="1162"/>
      <c r="E16" s="1163"/>
      <c r="F16" s="279"/>
      <c r="G16" s="244"/>
      <c r="H16" s="273"/>
      <c r="I16" s="259"/>
      <c r="J16" s="258"/>
      <c r="K16" s="258"/>
      <c r="L16" s="297"/>
      <c r="M16" s="227"/>
      <c r="N16" s="1139"/>
      <c r="O16" s="1140"/>
      <c r="P16" s="1141"/>
    </row>
    <row r="17" spans="1:16" ht="27.95" customHeight="1">
      <c r="A17" s="1127"/>
      <c r="B17" s="260" t="s">
        <v>207</v>
      </c>
      <c r="C17" s="1121" t="e">
        <f>#REF!</f>
        <v>#REF!</v>
      </c>
      <c r="D17" s="1122"/>
      <c r="E17" s="1123"/>
      <c r="F17" s="280" t="s">
        <v>245</v>
      </c>
      <c r="G17" s="26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262" t="e">
        <f>#REF!</f>
        <v>#REF!</v>
      </c>
      <c r="L17" s="300" t="e">
        <f>#REF!</f>
        <v>#REF!</v>
      </c>
      <c r="M17" s="290">
        <v>8.09</v>
      </c>
      <c r="N17" s="1142"/>
      <c r="O17" s="1145"/>
      <c r="P17" s="1146"/>
    </row>
    <row r="18" spans="1:16" ht="25.5" customHeight="1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279" t="s">
        <v>234</v>
      </c>
      <c r="G18" s="244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27">
        <v>9.14</v>
      </c>
      <c r="N18" s="1139"/>
      <c r="O18" s="1140"/>
      <c r="P18" s="1141"/>
    </row>
    <row r="19" spans="1:16" ht="25.5" customHeight="1">
      <c r="A19" s="1127"/>
      <c r="B19" s="260" t="s">
        <v>207</v>
      </c>
      <c r="C19" s="1121" t="e">
        <f>#REF!</f>
        <v>#REF!</v>
      </c>
      <c r="D19" s="1122"/>
      <c r="E19" s="1123"/>
      <c r="F19" s="280" t="s">
        <v>234</v>
      </c>
      <c r="G19" s="260" t="e">
        <f>#REF!</f>
        <v>#REF!</v>
      </c>
      <c r="H19" s="278"/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290">
        <v>10.59</v>
      </c>
      <c r="N19" s="1142"/>
      <c r="O19" s="1145"/>
      <c r="P19" s="1146"/>
    </row>
    <row r="20" spans="1:16" ht="22.7" customHeight="1">
      <c r="A20" s="1260" t="s">
        <v>225</v>
      </c>
      <c r="B20" s="84" t="s">
        <v>205</v>
      </c>
      <c r="C20" s="1161" t="s">
        <v>209</v>
      </c>
      <c r="D20" s="1162"/>
      <c r="E20" s="1163"/>
      <c r="F20" s="85"/>
      <c r="G20" s="134"/>
      <c r="H20" s="259"/>
      <c r="I20" s="259"/>
      <c r="J20" s="258"/>
      <c r="K20" s="302"/>
      <c r="L20" s="297"/>
      <c r="M20" s="227"/>
      <c r="N20" s="1255"/>
      <c r="O20" s="1255"/>
      <c r="P20" s="1255"/>
    </row>
    <row r="21" spans="1:16" ht="22.7" customHeight="1">
      <c r="A21" s="1260"/>
      <c r="B21" s="261" t="s">
        <v>207</v>
      </c>
      <c r="C21" s="1164" t="s">
        <v>209</v>
      </c>
      <c r="D21" s="1151"/>
      <c r="E21" s="1152"/>
      <c r="F21" s="282"/>
      <c r="G21" s="261"/>
      <c r="H21" s="263"/>
      <c r="I21" s="263"/>
      <c r="J21" s="262"/>
      <c r="K21" s="333"/>
      <c r="L21" s="300"/>
      <c r="M21" s="301"/>
      <c r="N21" s="1256"/>
      <c r="O21" s="1256"/>
      <c r="P21" s="1256"/>
    </row>
    <row r="22" spans="1:16" ht="25.5" customHeight="1">
      <c r="A22" s="1260" t="s">
        <v>235</v>
      </c>
      <c r="B22" s="84" t="s">
        <v>205</v>
      </c>
      <c r="C22" s="1103" t="e">
        <f>#REF!</f>
        <v>#REF!</v>
      </c>
      <c r="D22" s="1103"/>
      <c r="E22" s="1103"/>
      <c r="F22" s="85" t="s">
        <v>161</v>
      </c>
      <c r="G22" s="134" t="e">
        <f>#REF!</f>
        <v>#REF!</v>
      </c>
      <c r="H22" s="259"/>
      <c r="I22" s="259" t="e">
        <f>#REF!</f>
        <v>#REF!</v>
      </c>
      <c r="J22" s="258" t="e">
        <f>#REF!</f>
        <v>#REF!</v>
      </c>
      <c r="K22" s="258" t="e">
        <f>#REF!</f>
        <v>#REF!</v>
      </c>
      <c r="L22" s="297" t="e">
        <f>#REF!</f>
        <v>#REF!</v>
      </c>
      <c r="M22" s="227">
        <v>8.4</v>
      </c>
      <c r="N22" s="1255" t="e">
        <f>#REF!</f>
        <v>#REF!</v>
      </c>
      <c r="O22" s="1255"/>
      <c r="P22" s="1255"/>
    </row>
    <row r="23" spans="1:16" ht="24.75" customHeight="1">
      <c r="A23" s="1260"/>
      <c r="B23" s="261" t="s">
        <v>207</v>
      </c>
      <c r="C23" s="1251" t="e">
        <f>#REF!</f>
        <v>#REF!</v>
      </c>
      <c r="D23" s="1251"/>
      <c r="E23" s="1251"/>
      <c r="F23" s="282" t="s">
        <v>161</v>
      </c>
      <c r="G23" s="261" t="e">
        <f>#REF!</f>
        <v>#REF!</v>
      </c>
      <c r="H23" s="263"/>
      <c r="I23" s="263" t="e">
        <f>#REF!</f>
        <v>#REF!</v>
      </c>
      <c r="J23" s="262" t="e">
        <f>#REF!</f>
        <v>#REF!</v>
      </c>
      <c r="K23" s="262" t="e">
        <f>#REF!</f>
        <v>#REF!</v>
      </c>
      <c r="L23" s="300" t="e">
        <f>#REF!</f>
        <v>#REF!</v>
      </c>
      <c r="M23" s="301">
        <v>8.18</v>
      </c>
      <c r="N23" s="1256"/>
      <c r="O23" s="1256"/>
      <c r="P23" s="1256"/>
    </row>
    <row r="24" spans="1:16" ht="17.25" customHeight="1">
      <c r="A24" s="1110" t="s">
        <v>227</v>
      </c>
      <c r="B24" s="1111"/>
      <c r="C24" s="1112" t="s">
        <v>174</v>
      </c>
      <c r="D24" s="1113"/>
      <c r="E24" s="1114"/>
      <c r="F24" s="1118" t="s">
        <v>175</v>
      </c>
      <c r="G24" s="1119"/>
      <c r="H24" s="1119"/>
      <c r="I24" s="1119"/>
      <c r="J24" s="1120"/>
      <c r="K24" s="285"/>
      <c r="L24" s="1118"/>
      <c r="M24" s="1120"/>
      <c r="N24" s="1158"/>
      <c r="O24" s="1159"/>
      <c r="P24" s="1160"/>
    </row>
  </sheetData>
  <mergeCells count="54">
    <mergeCell ref="A14:A15"/>
    <mergeCell ref="A16:A17"/>
    <mergeCell ref="C15:E15"/>
    <mergeCell ref="N15:P15"/>
    <mergeCell ref="A6:A7"/>
    <mergeCell ref="A8:A10"/>
    <mergeCell ref="A11:A12"/>
    <mergeCell ref="J7:L7"/>
    <mergeCell ref="J8:L8"/>
    <mergeCell ref="J9:L9"/>
    <mergeCell ref="J10:L10"/>
    <mergeCell ref="J11:L11"/>
    <mergeCell ref="J12:L12"/>
    <mergeCell ref="B8:B9"/>
    <mergeCell ref="C8:C9"/>
    <mergeCell ref="C13:E13"/>
    <mergeCell ref="A24:B24"/>
    <mergeCell ref="C24:E24"/>
    <mergeCell ref="A18:A19"/>
    <mergeCell ref="C23:E23"/>
    <mergeCell ref="C18:E18"/>
    <mergeCell ref="C21:E21"/>
    <mergeCell ref="C19:E19"/>
    <mergeCell ref="A20:A21"/>
    <mergeCell ref="C20:E20"/>
    <mergeCell ref="A22:A23"/>
    <mergeCell ref="C14:E14"/>
    <mergeCell ref="C16:E16"/>
    <mergeCell ref="C17:E17"/>
    <mergeCell ref="D1:G1"/>
    <mergeCell ref="J4:L4"/>
    <mergeCell ref="J5:L5"/>
    <mergeCell ref="N5:P5"/>
    <mergeCell ref="N13:P13"/>
    <mergeCell ref="N10:P10"/>
    <mergeCell ref="N8:P9"/>
    <mergeCell ref="J6:L6"/>
    <mergeCell ref="N11:P11"/>
    <mergeCell ref="N12:P12"/>
    <mergeCell ref="N24:P24"/>
    <mergeCell ref="N22:P22"/>
    <mergeCell ref="C22:E22"/>
    <mergeCell ref="L24:M24"/>
    <mergeCell ref="N23:P23"/>
    <mergeCell ref="F24:J24"/>
    <mergeCell ref="N21:P21"/>
    <mergeCell ref="N6:P6"/>
    <mergeCell ref="N7:P7"/>
    <mergeCell ref="N18:P18"/>
    <mergeCell ref="N20:P20"/>
    <mergeCell ref="N19:P19"/>
    <mergeCell ref="N17:P17"/>
    <mergeCell ref="N16:P16"/>
    <mergeCell ref="N14:P14"/>
  </mergeCells>
  <phoneticPr fontId="26" type="noConversion"/>
  <pageMargins left="0.17" right="0.2" top="0.38" bottom="0.47" header="0.28999999999999998" footer="0.35"/>
  <pageSetup paperSize="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P23"/>
  <sheetViews>
    <sheetView topLeftCell="A4" workbookViewId="0">
      <selection activeCell="E10" sqref="E10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" style="75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9</v>
      </c>
      <c r="O3" s="76">
        <v>9</v>
      </c>
    </row>
    <row r="4" spans="1:16">
      <c r="A4" s="234" t="s">
        <v>187</v>
      </c>
      <c r="B4" s="234"/>
      <c r="C4" s="235">
        <v>41535</v>
      </c>
      <c r="D4" s="236" t="s">
        <v>244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2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21" customHeight="1">
      <c r="A6" s="1067" t="s">
        <v>204</v>
      </c>
      <c r="B6" s="244" t="s">
        <v>205</v>
      </c>
      <c r="C6" s="93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9.5" customHeight="1">
      <c r="A7" s="1068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4.75" customHeight="1">
      <c r="A8" s="1067" t="s">
        <v>208</v>
      </c>
      <c r="B8" s="244" t="s">
        <v>205</v>
      </c>
      <c r="C8" s="24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10.49</v>
      </c>
      <c r="N8" s="1153"/>
      <c r="O8" s="1154"/>
      <c r="P8" s="1155"/>
    </row>
    <row r="9" spans="1:16" ht="26.25" customHeight="1">
      <c r="A9" s="1068"/>
      <c r="B9" s="260" t="s">
        <v>207</v>
      </c>
      <c r="C9" s="260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10.26</v>
      </c>
      <c r="N9" s="1078"/>
      <c r="O9" s="1079"/>
      <c r="P9" s="1080"/>
    </row>
    <row r="10" spans="1:16" ht="20.25" customHeight="1">
      <c r="A10" s="1067" t="s">
        <v>210</v>
      </c>
      <c r="B10" s="244" t="s">
        <v>205</v>
      </c>
      <c r="C10" s="93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20.25" customHeight="1">
      <c r="A11" s="1068"/>
      <c r="B11" s="260" t="s">
        <v>207</v>
      </c>
      <c r="C11" s="260" t="s">
        <v>209</v>
      </c>
      <c r="D11" s="261"/>
      <c r="E11" s="261"/>
      <c r="F11" s="261"/>
      <c r="G11" s="270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s="76" customFormat="1" ht="55.5" customHeight="1">
      <c r="A12" s="84" t="s">
        <v>212</v>
      </c>
      <c r="B12" s="84" t="s">
        <v>193</v>
      </c>
      <c r="C12" s="1095" t="s">
        <v>213</v>
      </c>
      <c r="D12" s="1065"/>
      <c r="E12" s="1066"/>
      <c r="F12" s="257" t="s">
        <v>214</v>
      </c>
      <c r="G12" s="271" t="s">
        <v>215</v>
      </c>
      <c r="H12" s="257" t="s">
        <v>216</v>
      </c>
      <c r="I12" s="257" t="s">
        <v>217</v>
      </c>
      <c r="J12" s="294" t="s">
        <v>218</v>
      </c>
      <c r="K12" s="294" t="s">
        <v>219</v>
      </c>
      <c r="L12" s="295" t="s">
        <v>201</v>
      </c>
      <c r="M12" s="257" t="s">
        <v>202</v>
      </c>
      <c r="N12" s="1133" t="s">
        <v>203</v>
      </c>
      <c r="O12" s="1134"/>
      <c r="P12" s="1135"/>
    </row>
    <row r="13" spans="1:16" ht="18" customHeight="1">
      <c r="A13" s="1126" t="s">
        <v>166</v>
      </c>
      <c r="B13" s="84" t="s">
        <v>205</v>
      </c>
      <c r="C13" s="1184" t="s">
        <v>209</v>
      </c>
      <c r="D13" s="1185"/>
      <c r="E13" s="1186"/>
      <c r="F13" s="272"/>
      <c r="G13" s="244"/>
      <c r="H13" s="273"/>
      <c r="I13" s="259"/>
      <c r="J13" s="258"/>
      <c r="K13" s="258"/>
      <c r="L13" s="297"/>
      <c r="M13" s="298"/>
      <c r="N13" s="1139"/>
      <c r="O13" s="1140"/>
      <c r="P13" s="1141"/>
    </row>
    <row r="14" spans="1:16" ht="18" customHeight="1">
      <c r="A14" s="1127"/>
      <c r="B14" s="274" t="s">
        <v>207</v>
      </c>
      <c r="C14" s="1121" t="s">
        <v>209</v>
      </c>
      <c r="D14" s="1122"/>
      <c r="E14" s="1123"/>
      <c r="F14" s="277"/>
      <c r="G14" s="260"/>
      <c r="H14" s="278"/>
      <c r="I14" s="263"/>
      <c r="J14" s="262"/>
      <c r="K14" s="262"/>
      <c r="L14" s="300"/>
      <c r="M14" s="301"/>
      <c r="N14" s="1130"/>
      <c r="O14" s="1131"/>
      <c r="P14" s="1132"/>
    </row>
    <row r="15" spans="1:16" ht="28.5" customHeight="1">
      <c r="A15" s="1126" t="s">
        <v>304</v>
      </c>
      <c r="B15" s="84" t="s">
        <v>205</v>
      </c>
      <c r="C15" s="1161" t="e">
        <f>#REF!</f>
        <v>#REF!</v>
      </c>
      <c r="D15" s="1162"/>
      <c r="E15" s="1163"/>
      <c r="F15" s="279" t="s">
        <v>245</v>
      </c>
      <c r="G15" s="244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27">
        <v>7.01</v>
      </c>
      <c r="N15" s="1139" t="e">
        <f>#REF!</f>
        <v>#REF!</v>
      </c>
      <c r="O15" s="1140"/>
      <c r="P15" s="1141"/>
    </row>
    <row r="16" spans="1:16" ht="31.7" customHeight="1">
      <c r="A16" s="1127"/>
      <c r="B16" s="274" t="s">
        <v>207</v>
      </c>
      <c r="C16" s="1164" t="e">
        <f>#REF!</f>
        <v>#REF!</v>
      </c>
      <c r="D16" s="1151"/>
      <c r="E16" s="1152"/>
      <c r="F16" s="280" t="s">
        <v>245</v>
      </c>
      <c r="G16" s="260" t="e">
        <f>#REF!</f>
        <v>#REF!</v>
      </c>
      <c r="H16" s="278"/>
      <c r="I16" s="263" t="e">
        <f>#REF!</f>
        <v>#REF!</v>
      </c>
      <c r="J16" s="262" t="e">
        <f>#REF!</f>
        <v>#REF!</v>
      </c>
      <c r="K16" s="262" t="e">
        <f>#REF!</f>
        <v>#REF!</v>
      </c>
      <c r="L16" s="300" t="e">
        <f>#REF!</f>
        <v>#REF!</v>
      </c>
      <c r="M16" s="290">
        <v>10.28</v>
      </c>
      <c r="N16" s="1142"/>
      <c r="O16" s="1145"/>
      <c r="P16" s="1146"/>
    </row>
    <row r="17" spans="1:16" ht="28.5" customHeight="1">
      <c r="A17" s="1126" t="s">
        <v>223</v>
      </c>
      <c r="B17" s="84" t="s">
        <v>205</v>
      </c>
      <c r="C17" s="1184" t="e">
        <f>#REF!</f>
        <v>#REF!</v>
      </c>
      <c r="D17" s="1185"/>
      <c r="E17" s="1186"/>
      <c r="F17" s="279" t="s">
        <v>234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11.25</v>
      </c>
      <c r="N17" s="1139"/>
      <c r="O17" s="1140"/>
      <c r="P17" s="1141"/>
    </row>
    <row r="18" spans="1:16" ht="31.7" customHeight="1">
      <c r="A18" s="1127"/>
      <c r="B18" s="274" t="s">
        <v>207</v>
      </c>
      <c r="C18" s="1121" t="e">
        <f>#REF!</f>
        <v>#REF!</v>
      </c>
      <c r="D18" s="1122"/>
      <c r="E18" s="1123"/>
      <c r="F18" s="280" t="s">
        <v>234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11.18</v>
      </c>
      <c r="N18" s="1142"/>
      <c r="O18" s="1145"/>
      <c r="P18" s="1146"/>
    </row>
    <row r="19" spans="1:16" ht="18.95" customHeight="1">
      <c r="A19" s="1260" t="s">
        <v>225</v>
      </c>
      <c r="B19" s="84" t="s">
        <v>205</v>
      </c>
      <c r="C19" s="1184" t="s">
        <v>209</v>
      </c>
      <c r="D19" s="1185"/>
      <c r="E19" s="1186"/>
      <c r="F19" s="85"/>
      <c r="G19" s="134"/>
      <c r="H19" s="259"/>
      <c r="I19" s="259"/>
      <c r="J19" s="258"/>
      <c r="K19" s="258"/>
      <c r="L19" s="297"/>
      <c r="M19" s="227"/>
      <c r="N19" s="1255"/>
      <c r="O19" s="1255"/>
      <c r="P19" s="1255"/>
    </row>
    <row r="20" spans="1:16" ht="18.95" customHeight="1">
      <c r="A20" s="1260"/>
      <c r="B20" s="274" t="s">
        <v>207</v>
      </c>
      <c r="C20" s="1121" t="s">
        <v>209</v>
      </c>
      <c r="D20" s="1122"/>
      <c r="E20" s="1123"/>
      <c r="F20" s="282"/>
      <c r="G20" s="261"/>
      <c r="H20" s="263"/>
      <c r="I20" s="263"/>
      <c r="J20" s="262"/>
      <c r="K20" s="262"/>
      <c r="L20" s="300"/>
      <c r="M20" s="301"/>
      <c r="N20" s="1256"/>
      <c r="O20" s="1256"/>
      <c r="P20" s="1256"/>
    </row>
    <row r="21" spans="1:16" ht="26.25" customHeight="1">
      <c r="A21" s="1260" t="s">
        <v>235</v>
      </c>
      <c r="B21" s="84" t="s">
        <v>205</v>
      </c>
      <c r="C21" s="1161" t="e">
        <f>#REF!</f>
        <v>#REF!</v>
      </c>
      <c r="D21" s="1162"/>
      <c r="E21" s="1163"/>
      <c r="F21" s="85" t="s">
        <v>161</v>
      </c>
      <c r="G21" s="134" t="e">
        <f>#REF!</f>
        <v>#REF!</v>
      </c>
      <c r="H21" s="259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8.18</v>
      </c>
      <c r="N21" s="1255" t="e">
        <f>#REF!</f>
        <v>#REF!</v>
      </c>
      <c r="O21" s="1255"/>
      <c r="P21" s="1255"/>
    </row>
    <row r="22" spans="1:16" ht="24.75" customHeight="1">
      <c r="A22" s="1260"/>
      <c r="B22" s="261" t="s">
        <v>207</v>
      </c>
      <c r="C22" s="1251" t="e">
        <f>#REF!</f>
        <v>#REF!</v>
      </c>
      <c r="D22" s="1251"/>
      <c r="E22" s="1251"/>
      <c r="F22" s="282" t="s">
        <v>161</v>
      </c>
      <c r="G22" s="261" t="e">
        <f>#REF!</f>
        <v>#REF!</v>
      </c>
      <c r="H22" s="263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301">
        <v>4.5599999999999996</v>
      </c>
      <c r="N22" s="1261"/>
      <c r="O22" s="1262"/>
      <c r="P22" s="1263"/>
    </row>
    <row r="23" spans="1:16" ht="21.75" customHeight="1">
      <c r="A23" s="1110" t="s">
        <v>227</v>
      </c>
      <c r="B23" s="1111"/>
      <c r="C23" s="1112" t="s">
        <v>176</v>
      </c>
      <c r="D23" s="1113"/>
      <c r="E23" s="1114"/>
      <c r="F23" s="1118" t="s">
        <v>265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A15:A16"/>
    <mergeCell ref="N17:P17"/>
    <mergeCell ref="N20:P20"/>
    <mergeCell ref="N18:P18"/>
    <mergeCell ref="A17:A18"/>
    <mergeCell ref="C15:E15"/>
    <mergeCell ref="C16:E16"/>
    <mergeCell ref="C17:E17"/>
    <mergeCell ref="C18:E18"/>
    <mergeCell ref="C13:E13"/>
    <mergeCell ref="A6:A7"/>
    <mergeCell ref="A8:A9"/>
    <mergeCell ref="A10:A11"/>
    <mergeCell ref="A13:A14"/>
    <mergeCell ref="C14:E14"/>
    <mergeCell ref="C12:E12"/>
    <mergeCell ref="A23:B23"/>
    <mergeCell ref="C23:E23"/>
    <mergeCell ref="C22:E22"/>
    <mergeCell ref="C19:E19"/>
    <mergeCell ref="A19:A20"/>
    <mergeCell ref="A21:A22"/>
    <mergeCell ref="C20:E20"/>
    <mergeCell ref="C21:E21"/>
    <mergeCell ref="F23:J23"/>
    <mergeCell ref="L23:M23"/>
    <mergeCell ref="N23:P23"/>
    <mergeCell ref="N19:P19"/>
    <mergeCell ref="N14:P14"/>
    <mergeCell ref="N22:P22"/>
    <mergeCell ref="N21:P21"/>
    <mergeCell ref="J7:L7"/>
    <mergeCell ref="N8:P8"/>
    <mergeCell ref="N7:P7"/>
    <mergeCell ref="J8:L8"/>
    <mergeCell ref="N16:P16"/>
    <mergeCell ref="J11:L11"/>
    <mergeCell ref="N11:P11"/>
    <mergeCell ref="J9:L9"/>
    <mergeCell ref="N9:P9"/>
    <mergeCell ref="J10:L10"/>
    <mergeCell ref="N10:P10"/>
    <mergeCell ref="N12:P12"/>
    <mergeCell ref="N15:P15"/>
    <mergeCell ref="N13:P13"/>
    <mergeCell ref="D1:G1"/>
    <mergeCell ref="J4:L4"/>
    <mergeCell ref="J5:L5"/>
    <mergeCell ref="N5:P5"/>
    <mergeCell ref="J6:L6"/>
    <mergeCell ref="N6:P6"/>
  </mergeCells>
  <phoneticPr fontId="26" type="noConversion"/>
  <pageMargins left="0.17" right="0.17" top="0.24" bottom="0.17" header="0.27" footer="0.21"/>
  <pageSetup paperSize="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P22"/>
  <sheetViews>
    <sheetView topLeftCell="A7" workbookViewId="0">
      <selection activeCell="I20" sqref="I20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.375" style="75" customWidth="1"/>
    <col min="11" max="11" width="9.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9</v>
      </c>
      <c r="O3" s="76">
        <v>7</v>
      </c>
    </row>
    <row r="4" spans="1:16">
      <c r="A4" s="234" t="s">
        <v>187</v>
      </c>
      <c r="B4" s="234"/>
      <c r="C4" s="235">
        <v>41505</v>
      </c>
      <c r="D4" s="236" t="s">
        <v>232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30" customHeight="1">
      <c r="A6" s="1067" t="s">
        <v>204</v>
      </c>
      <c r="B6" s="244" t="s">
        <v>205</v>
      </c>
      <c r="C6" s="244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59"/>
      <c r="I6" s="289" t="e">
        <f>#REF!</f>
        <v>#REF!</v>
      </c>
      <c r="J6" s="1064" t="e">
        <f>#REF!</f>
        <v>#REF!</v>
      </c>
      <c r="K6" s="1156"/>
      <c r="L6" s="1157"/>
      <c r="M6" s="227">
        <v>7.52</v>
      </c>
      <c r="N6" s="1090"/>
      <c r="O6" s="1091"/>
      <c r="P6" s="1092"/>
    </row>
    <row r="7" spans="1:16" ht="16.5" customHeight="1">
      <c r="A7" s="1068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2.7" customHeight="1">
      <c r="A8" s="1067" t="s">
        <v>208</v>
      </c>
      <c r="B8" s="1206" t="s">
        <v>205</v>
      </c>
      <c r="C8" s="1126" t="e">
        <f>#REF!</f>
        <v>#REF!</v>
      </c>
      <c r="D8" s="84" t="e">
        <f>#REF!</f>
        <v>#REF!</v>
      </c>
      <c r="E8" s="84" t="e">
        <f>#REF!</f>
        <v>#REF!</v>
      </c>
      <c r="F8" s="84" t="e">
        <f>#REF!</f>
        <v>#REF!</v>
      </c>
      <c r="G8" s="258" t="e">
        <f>#REF!</f>
        <v>#REF!</v>
      </c>
      <c r="H8" s="259"/>
      <c r="I8" s="289" t="e">
        <f>#REF!</f>
        <v>#REF!</v>
      </c>
      <c r="J8" s="1064" t="e">
        <f>#REF!</f>
        <v>#REF!</v>
      </c>
      <c r="K8" s="1065"/>
      <c r="L8" s="1066"/>
      <c r="M8" s="227">
        <v>5.44</v>
      </c>
      <c r="N8" s="327"/>
      <c r="O8" s="328"/>
      <c r="P8" s="329"/>
    </row>
    <row r="9" spans="1:16" ht="21" customHeight="1">
      <c r="A9" s="1189"/>
      <c r="B9" s="1127"/>
      <c r="C9" s="1127"/>
      <c r="D9" s="134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3</v>
      </c>
      <c r="N9" s="1153"/>
      <c r="O9" s="1154"/>
      <c r="P9" s="1155"/>
    </row>
    <row r="10" spans="1:16" ht="23.25" customHeight="1">
      <c r="A10" s="1127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7.48</v>
      </c>
      <c r="N10" s="1078"/>
      <c r="O10" s="1079"/>
      <c r="P10" s="1080"/>
    </row>
    <row r="11" spans="1:16" ht="15" customHeight="1">
      <c r="A11" s="1067" t="s">
        <v>211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27.95" customHeight="1">
      <c r="A12" s="1068"/>
      <c r="B12" s="260" t="s">
        <v>207</v>
      </c>
      <c r="C12" s="268" t="e">
        <f>#REF!</f>
        <v>#REF!</v>
      </c>
      <c r="D12" s="261" t="e">
        <f>#REF!</f>
        <v>#REF!</v>
      </c>
      <c r="E12" s="261" t="e">
        <f>#REF!</f>
        <v>#REF!</v>
      </c>
      <c r="F12" s="261" t="e">
        <f>#REF!</f>
        <v>#REF!</v>
      </c>
      <c r="G12" s="270" t="e">
        <f>#REF!</f>
        <v>#REF!</v>
      </c>
      <c r="H12" s="263"/>
      <c r="I12" s="270" t="e">
        <f>#REF!</f>
        <v>#REF!</v>
      </c>
      <c r="J12" s="1069" t="e">
        <f>#REF!</f>
        <v>#REF!</v>
      </c>
      <c r="K12" s="1070"/>
      <c r="L12" s="1071"/>
      <c r="M12" s="290">
        <v>1.19</v>
      </c>
      <c r="N12" s="1078" t="e">
        <f>#REF!</f>
        <v>#REF!</v>
      </c>
      <c r="O12" s="1079"/>
      <c r="P12" s="1080"/>
    </row>
    <row r="13" spans="1:16" s="76" customFormat="1" ht="48.75" customHeight="1">
      <c r="A13" s="84" t="s">
        <v>212</v>
      </c>
      <c r="B13" s="84" t="s">
        <v>193</v>
      </c>
      <c r="C13" s="1095" t="s">
        <v>213</v>
      </c>
      <c r="D13" s="1065"/>
      <c r="E13" s="1066"/>
      <c r="F13" s="257" t="s">
        <v>214</v>
      </c>
      <c r="G13" s="271" t="s">
        <v>215</v>
      </c>
      <c r="H13" s="257" t="s">
        <v>216</v>
      </c>
      <c r="I13" s="257" t="s">
        <v>217</v>
      </c>
      <c r="J13" s="294" t="s">
        <v>218</v>
      </c>
      <c r="K13" s="294" t="s">
        <v>219</v>
      </c>
      <c r="L13" s="295" t="s">
        <v>201</v>
      </c>
      <c r="M13" s="257" t="s">
        <v>202</v>
      </c>
      <c r="N13" s="1133" t="s">
        <v>203</v>
      </c>
      <c r="O13" s="1134"/>
      <c r="P13" s="1135"/>
    </row>
    <row r="14" spans="1:16" ht="15" customHeight="1">
      <c r="A14" s="1126" t="s">
        <v>266</v>
      </c>
      <c r="B14" s="84" t="s">
        <v>205</v>
      </c>
      <c r="C14" s="1104" t="s">
        <v>209</v>
      </c>
      <c r="D14" s="1162"/>
      <c r="E14" s="1163"/>
      <c r="F14" s="272"/>
      <c r="G14" s="244"/>
      <c r="H14" s="273"/>
      <c r="I14" s="259"/>
      <c r="J14" s="258"/>
      <c r="K14" s="258"/>
      <c r="L14" s="297"/>
      <c r="M14" s="298"/>
      <c r="N14" s="1139"/>
      <c r="O14" s="1140"/>
      <c r="P14" s="1141"/>
    </row>
    <row r="15" spans="1:16" ht="15" customHeight="1">
      <c r="A15" s="1127"/>
      <c r="B15" s="274" t="s">
        <v>207</v>
      </c>
      <c r="C15" s="1107" t="s">
        <v>209</v>
      </c>
      <c r="D15" s="1108"/>
      <c r="E15" s="1109"/>
      <c r="F15" s="277"/>
      <c r="G15" s="260"/>
      <c r="H15" s="278">
        <f>G15/1106*290</f>
        <v>0</v>
      </c>
      <c r="I15" s="263"/>
      <c r="J15" s="262"/>
      <c r="K15" s="262"/>
      <c r="L15" s="300"/>
      <c r="M15" s="301"/>
      <c r="N15" s="1130"/>
      <c r="O15" s="1131"/>
      <c r="P15" s="1132"/>
    </row>
    <row r="16" spans="1:16" ht="24.75" customHeight="1">
      <c r="A16" s="1126" t="s">
        <v>223</v>
      </c>
      <c r="B16" s="244" t="s">
        <v>205</v>
      </c>
      <c r="C16" s="1161" t="e">
        <f>#REF!</f>
        <v>#REF!</v>
      </c>
      <c r="D16" s="1162"/>
      <c r="E16" s="1163"/>
      <c r="F16" s="279" t="s">
        <v>224</v>
      </c>
      <c r="G16" s="244" t="e">
        <f>#REF!</f>
        <v>#REF!</v>
      </c>
      <c r="H16" s="273"/>
      <c r="I16" s="259" t="e">
        <f>#REF!</f>
        <v>#REF!</v>
      </c>
      <c r="J16" s="258" t="e">
        <f>#REF!</f>
        <v>#REF!</v>
      </c>
      <c r="K16" s="258" t="e">
        <f>#REF!</f>
        <v>#REF!</v>
      </c>
      <c r="L16" s="297" t="e">
        <f>#REF!</f>
        <v>#REF!</v>
      </c>
      <c r="M16" s="227">
        <v>8.19</v>
      </c>
      <c r="N16" s="1139"/>
      <c r="O16" s="1140"/>
      <c r="P16" s="1141"/>
    </row>
    <row r="17" spans="1:16" ht="22.7" customHeight="1">
      <c r="A17" s="1127"/>
      <c r="B17" s="260" t="s">
        <v>207</v>
      </c>
      <c r="C17" s="1121" t="e">
        <f>#REF!</f>
        <v>#REF!</v>
      </c>
      <c r="D17" s="1122"/>
      <c r="E17" s="1123"/>
      <c r="F17" s="280" t="s">
        <v>224</v>
      </c>
      <c r="G17" s="26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262" t="e">
        <f>#REF!</f>
        <v>#REF!</v>
      </c>
      <c r="L17" s="300" t="e">
        <f>#REF!</f>
        <v>#REF!</v>
      </c>
      <c r="M17" s="290">
        <v>10.26</v>
      </c>
      <c r="N17" s="1142"/>
      <c r="O17" s="1145"/>
      <c r="P17" s="1146"/>
    </row>
    <row r="18" spans="1:16" ht="21.75" customHeight="1">
      <c r="A18" s="1260" t="s">
        <v>225</v>
      </c>
      <c r="B18" s="84" t="s">
        <v>205</v>
      </c>
      <c r="C18" s="1103" t="e">
        <f>#REF!</f>
        <v>#REF!</v>
      </c>
      <c r="D18" s="1103"/>
      <c r="E18" s="1103"/>
      <c r="F18" s="85" t="s">
        <v>267</v>
      </c>
      <c r="G18" s="134" t="e">
        <f>#REF!</f>
        <v>#REF!</v>
      </c>
      <c r="H18" s="259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27">
        <v>10.23</v>
      </c>
      <c r="N18" s="1265" t="e">
        <f>#REF!</f>
        <v>#REF!</v>
      </c>
      <c r="O18" s="1265"/>
      <c r="P18" s="1265"/>
    </row>
    <row r="19" spans="1:16" ht="23.25" customHeight="1">
      <c r="A19" s="1260"/>
      <c r="B19" s="261" t="s">
        <v>207</v>
      </c>
      <c r="C19" s="1251" t="e">
        <f>#REF!</f>
        <v>#REF!</v>
      </c>
      <c r="D19" s="1251"/>
      <c r="E19" s="1251"/>
      <c r="F19" s="282" t="s">
        <v>267</v>
      </c>
      <c r="G19" s="261" t="e">
        <f>#REF!</f>
        <v>#REF!</v>
      </c>
      <c r="H19" s="263"/>
      <c r="I19" s="263" t="e">
        <f>#REF!</f>
        <v>#REF!</v>
      </c>
      <c r="J19" s="262" t="e">
        <f>#REF!</f>
        <v>#REF!</v>
      </c>
      <c r="K19" s="262" t="e">
        <f>#REF!</f>
        <v>#REF!</v>
      </c>
      <c r="L19" s="300" t="e">
        <f>#REF!</f>
        <v>#REF!</v>
      </c>
      <c r="M19" s="301">
        <v>10</v>
      </c>
      <c r="N19" s="1256" t="e">
        <f>#REF!</f>
        <v>#REF!</v>
      </c>
      <c r="O19" s="1256"/>
      <c r="P19" s="1256"/>
    </row>
    <row r="20" spans="1:16" ht="43.5" customHeight="1">
      <c r="A20" s="1260" t="s">
        <v>268</v>
      </c>
      <c r="B20" s="84" t="s">
        <v>205</v>
      </c>
      <c r="C20" s="1266" t="e">
        <f>#REF!</f>
        <v>#REF!</v>
      </c>
      <c r="D20" s="1248"/>
      <c r="E20" s="1249"/>
      <c r="F20" s="85" t="s">
        <v>269</v>
      </c>
      <c r="G20" s="84" t="e">
        <f>#REF!</f>
        <v>#REF!</v>
      </c>
      <c r="H20" s="85"/>
      <c r="I20" s="330" t="e">
        <f>#REF!</f>
        <v>#REF!</v>
      </c>
      <c r="J20" s="258" t="e">
        <f>#REF!</f>
        <v>#REF!</v>
      </c>
      <c r="K20" s="258" t="e">
        <f>#REF!</f>
        <v>#REF!</v>
      </c>
      <c r="L20" s="331" t="e">
        <f>#REF!</f>
        <v>#REF!</v>
      </c>
      <c r="M20" s="84">
        <v>5.42</v>
      </c>
      <c r="N20" s="1147" t="e">
        <f>#REF!</f>
        <v>#REF!</v>
      </c>
      <c r="O20" s="1148"/>
      <c r="P20" s="1149"/>
    </row>
    <row r="21" spans="1:16" ht="18" customHeight="1">
      <c r="A21" s="1260"/>
      <c r="B21" s="261" t="s">
        <v>207</v>
      </c>
      <c r="C21" s="1264" t="s">
        <v>209</v>
      </c>
      <c r="D21" s="1251"/>
      <c r="E21" s="1251"/>
      <c r="F21" s="261"/>
      <c r="G21" s="261"/>
      <c r="H21" s="85"/>
      <c r="I21" s="263"/>
      <c r="J21" s="262"/>
      <c r="K21" s="262"/>
      <c r="L21" s="262"/>
      <c r="M21" s="262"/>
      <c r="N21" s="1256"/>
      <c r="O21" s="1256"/>
      <c r="P21" s="1256"/>
    </row>
    <row r="22" spans="1:16" ht="17.25" customHeight="1">
      <c r="A22" s="1110" t="s">
        <v>227</v>
      </c>
      <c r="B22" s="1111"/>
      <c r="C22" s="1112" t="s">
        <v>270</v>
      </c>
      <c r="D22" s="1113"/>
      <c r="E22" s="1114"/>
      <c r="F22" s="1118" t="s">
        <v>271</v>
      </c>
      <c r="G22" s="1119"/>
      <c r="H22" s="1119"/>
      <c r="I22" s="1119"/>
      <c r="J22" s="1120"/>
      <c r="K22" s="285"/>
      <c r="L22" s="1118"/>
      <c r="M22" s="1120"/>
      <c r="N22" s="1158"/>
      <c r="O22" s="1159"/>
      <c r="P22" s="1160"/>
    </row>
  </sheetData>
  <mergeCells count="49">
    <mergeCell ref="N22:P22"/>
    <mergeCell ref="A11:A12"/>
    <mergeCell ref="A14:A15"/>
    <mergeCell ref="A16:A17"/>
    <mergeCell ref="A18:A19"/>
    <mergeCell ref="C18:E18"/>
    <mergeCell ref="N18:P18"/>
    <mergeCell ref="C19:E19"/>
    <mergeCell ref="N19:P19"/>
    <mergeCell ref="F22:J22"/>
    <mergeCell ref="L22:M22"/>
    <mergeCell ref="C20:E20"/>
    <mergeCell ref="A22:B22"/>
    <mergeCell ref="C22:E22"/>
    <mergeCell ref="A20:A21"/>
    <mergeCell ref="C15:E15"/>
    <mergeCell ref="A6:A7"/>
    <mergeCell ref="A8:A10"/>
    <mergeCell ref="B8:B9"/>
    <mergeCell ref="C8:C9"/>
    <mergeCell ref="N14:P14"/>
    <mergeCell ref="J8:L8"/>
    <mergeCell ref="J9:L9"/>
    <mergeCell ref="N9:P9"/>
    <mergeCell ref="J11:L11"/>
    <mergeCell ref="N11:P11"/>
    <mergeCell ref="J12:L12"/>
    <mergeCell ref="N12:P12"/>
    <mergeCell ref="C13:E13"/>
    <mergeCell ref="J10:L10"/>
    <mergeCell ref="N10:P10"/>
    <mergeCell ref="N13:P13"/>
    <mergeCell ref="N15:P15"/>
    <mergeCell ref="N20:P20"/>
    <mergeCell ref="C21:E21"/>
    <mergeCell ref="N21:P21"/>
    <mergeCell ref="C17:E17"/>
    <mergeCell ref="N17:P17"/>
    <mergeCell ref="C16:E16"/>
    <mergeCell ref="N16:P16"/>
    <mergeCell ref="C14:E14"/>
    <mergeCell ref="J7:L7"/>
    <mergeCell ref="N7:P7"/>
    <mergeCell ref="D1:G1"/>
    <mergeCell ref="J4:L4"/>
    <mergeCell ref="J5:L5"/>
    <mergeCell ref="N5:P5"/>
    <mergeCell ref="J6:L6"/>
    <mergeCell ref="N6:P6"/>
  </mergeCells>
  <phoneticPr fontId="26" type="noConversion"/>
  <pageMargins left="0.17" right="0.17" top="0.79" bottom="0.49" header="0.77" footer="0.5"/>
  <pageSetup paperSize="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P25"/>
  <sheetViews>
    <sheetView workbookViewId="0">
      <selection activeCell="F12" sqref="F12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.375" style="75" customWidth="1"/>
    <col min="11" max="11" width="9.6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2</v>
      </c>
    </row>
    <row r="3" spans="1:16">
      <c r="M3" s="287" t="s">
        <v>186</v>
      </c>
      <c r="N3" s="76">
        <v>7</v>
      </c>
      <c r="O3" s="76">
        <v>8</v>
      </c>
    </row>
    <row r="4" spans="1:16">
      <c r="A4" s="234" t="s">
        <v>187</v>
      </c>
      <c r="B4" s="234"/>
      <c r="C4" s="235">
        <v>41537</v>
      </c>
      <c r="D4" s="236" t="s">
        <v>248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7.25" customHeight="1">
      <c r="A6" s="1067" t="s">
        <v>204</v>
      </c>
      <c r="B6" s="244" t="s">
        <v>205</v>
      </c>
      <c r="C6" s="24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7.25" customHeight="1">
      <c r="A7" s="1068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3.25" customHeight="1">
      <c r="A8" s="1067" t="s">
        <v>208</v>
      </c>
      <c r="B8" s="93" t="s">
        <v>205</v>
      </c>
      <c r="C8" s="24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6.5</v>
      </c>
      <c r="N8" s="1153" t="e">
        <f>#REF!</f>
        <v>#REF!</v>
      </c>
      <c r="O8" s="1154"/>
      <c r="P8" s="1155"/>
    </row>
    <row r="9" spans="1:16" ht="23.25" customHeight="1">
      <c r="A9" s="1068"/>
      <c r="B9" s="260" t="s">
        <v>207</v>
      </c>
      <c r="C9" s="260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10.11</v>
      </c>
      <c r="N9" s="1078"/>
      <c r="O9" s="1079"/>
      <c r="P9" s="1080"/>
    </row>
    <row r="10" spans="1:16" ht="18" customHeight="1">
      <c r="A10" s="1267" t="s">
        <v>210</v>
      </c>
      <c r="B10" s="244" t="s">
        <v>205</v>
      </c>
      <c r="C10" s="93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8" customHeight="1">
      <c r="A11" s="1260"/>
      <c r="B11" s="260" t="s">
        <v>207</v>
      </c>
      <c r="C11" s="260" t="s">
        <v>209</v>
      </c>
      <c r="D11" s="261"/>
      <c r="E11" s="261"/>
      <c r="F11" s="261"/>
      <c r="G11" s="270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ht="18" customHeight="1">
      <c r="A12" s="1267" t="s">
        <v>211</v>
      </c>
      <c r="B12" s="244" t="s">
        <v>205</v>
      </c>
      <c r="C12" s="244" t="s">
        <v>209</v>
      </c>
      <c r="D12" s="93"/>
      <c r="E12" s="134"/>
      <c r="F12" s="134"/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8" customHeight="1">
      <c r="A13" s="1260"/>
      <c r="B13" s="260" t="s">
        <v>207</v>
      </c>
      <c r="C13" s="260" t="s">
        <v>209</v>
      </c>
      <c r="D13" s="261"/>
      <c r="E13" s="261"/>
      <c r="F13" s="261"/>
      <c r="G13" s="262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48.7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17.25" customHeight="1">
      <c r="A15" s="1126" t="s">
        <v>266</v>
      </c>
      <c r="B15" s="84" t="s">
        <v>205</v>
      </c>
      <c r="C15" s="1161" t="s">
        <v>209</v>
      </c>
      <c r="D15" s="1162"/>
      <c r="E15" s="1163"/>
      <c r="F15" s="272"/>
      <c r="G15" s="244"/>
      <c r="H15" s="273"/>
      <c r="I15" s="259"/>
      <c r="J15" s="258"/>
      <c r="K15" s="258"/>
      <c r="L15" s="297"/>
      <c r="M15" s="298"/>
      <c r="N15" s="1139"/>
      <c r="O15" s="1140"/>
      <c r="P15" s="1141"/>
    </row>
    <row r="16" spans="1:16" ht="17.25" customHeight="1">
      <c r="A16" s="1127"/>
      <c r="B16" s="274" t="s">
        <v>207</v>
      </c>
      <c r="C16" s="1164" t="s">
        <v>209</v>
      </c>
      <c r="D16" s="1151"/>
      <c r="E16" s="1152"/>
      <c r="F16" s="277"/>
      <c r="G16" s="260"/>
      <c r="H16" s="278"/>
      <c r="I16" s="263"/>
      <c r="J16" s="262"/>
      <c r="K16" s="262"/>
      <c r="L16" s="300"/>
      <c r="M16" s="301"/>
      <c r="N16" s="1130"/>
      <c r="O16" s="1131"/>
      <c r="P16" s="1132"/>
    </row>
    <row r="17" spans="1:16" ht="24" customHeight="1">
      <c r="A17" s="1126" t="s">
        <v>304</v>
      </c>
      <c r="B17" s="244" t="s">
        <v>205</v>
      </c>
      <c r="C17" s="1161" t="e">
        <f>#REF!</f>
        <v>#REF!</v>
      </c>
      <c r="D17" s="1162"/>
      <c r="E17" s="1163"/>
      <c r="F17" s="279" t="s">
        <v>245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7.53</v>
      </c>
      <c r="N17" s="1139" t="e">
        <f>#REF!</f>
        <v>#REF!</v>
      </c>
      <c r="O17" s="1140"/>
      <c r="P17" s="1141"/>
    </row>
    <row r="18" spans="1:16" ht="24" customHeight="1">
      <c r="A18" s="1127"/>
      <c r="B18" s="260" t="s">
        <v>207</v>
      </c>
      <c r="C18" s="1164" t="e">
        <f>#REF!</f>
        <v>#REF!</v>
      </c>
      <c r="D18" s="1151"/>
      <c r="E18" s="1152"/>
      <c r="F18" s="280" t="s">
        <v>245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10.41</v>
      </c>
      <c r="N18" s="1142"/>
      <c r="O18" s="1145"/>
      <c r="P18" s="1146"/>
    </row>
    <row r="19" spans="1:16" ht="24" customHeight="1">
      <c r="A19" s="1126" t="s">
        <v>223</v>
      </c>
      <c r="B19" s="244" t="s">
        <v>205</v>
      </c>
      <c r="C19" s="1161" t="e">
        <f>#REF!</f>
        <v>#REF!</v>
      </c>
      <c r="D19" s="1162"/>
      <c r="E19" s="1163"/>
      <c r="F19" s="279" t="s">
        <v>234</v>
      </c>
      <c r="G19" s="244" t="e">
        <f>#REF!</f>
        <v>#REF!</v>
      </c>
      <c r="H19" s="273"/>
      <c r="I19" s="259" t="e">
        <f>#REF!</f>
        <v>#REF!</v>
      </c>
      <c r="J19" s="258" t="e">
        <f>#REF!</f>
        <v>#REF!</v>
      </c>
      <c r="K19" s="258" t="e">
        <f>#REF!</f>
        <v>#REF!</v>
      </c>
      <c r="L19" s="297" t="e">
        <f>#REF!</f>
        <v>#REF!</v>
      </c>
      <c r="M19" s="227">
        <v>9.5299999999999994</v>
      </c>
      <c r="N19" s="1139" t="e">
        <f>#REF!</f>
        <v>#REF!</v>
      </c>
      <c r="O19" s="1140"/>
      <c r="P19" s="1141"/>
    </row>
    <row r="20" spans="1:16" ht="24" customHeight="1">
      <c r="A20" s="1127"/>
      <c r="B20" s="260" t="s">
        <v>207</v>
      </c>
      <c r="C20" s="1164" t="e">
        <f>#REF!</f>
        <v>#REF!</v>
      </c>
      <c r="D20" s="1151"/>
      <c r="E20" s="1152"/>
      <c r="F20" s="280" t="s">
        <v>234</v>
      </c>
      <c r="G20" s="260" t="e">
        <f>#REF!</f>
        <v>#REF!</v>
      </c>
      <c r="H20" s="278"/>
      <c r="I20" s="263" t="e">
        <f>#REF!</f>
        <v>#REF!</v>
      </c>
      <c r="J20" s="262" t="e">
        <f>#REF!</f>
        <v>#REF!</v>
      </c>
      <c r="K20" s="262" t="e">
        <f>#REF!</f>
        <v>#REF!</v>
      </c>
      <c r="L20" s="300" t="e">
        <f>#REF!</f>
        <v>#REF!</v>
      </c>
      <c r="M20" s="290">
        <v>11.48</v>
      </c>
      <c r="N20" s="1142"/>
      <c r="O20" s="1145"/>
      <c r="P20" s="1146"/>
    </row>
    <row r="21" spans="1:16" ht="18.95" customHeight="1">
      <c r="A21" s="1126" t="s">
        <v>225</v>
      </c>
      <c r="B21" s="244" t="s">
        <v>205</v>
      </c>
      <c r="C21" s="1161" t="s">
        <v>209</v>
      </c>
      <c r="D21" s="1162"/>
      <c r="E21" s="1163"/>
      <c r="F21" s="85"/>
      <c r="G21" s="93"/>
      <c r="H21" s="259"/>
      <c r="I21" s="273"/>
      <c r="J21" s="326"/>
      <c r="K21" s="258"/>
      <c r="L21" s="297"/>
      <c r="M21" s="227"/>
      <c r="N21" s="1139"/>
      <c r="O21" s="1140"/>
      <c r="P21" s="1141"/>
    </row>
    <row r="22" spans="1:16" ht="18.95" customHeight="1">
      <c r="A22" s="1127"/>
      <c r="B22" s="261" t="s">
        <v>207</v>
      </c>
      <c r="C22" s="1164" t="s">
        <v>209</v>
      </c>
      <c r="D22" s="1151"/>
      <c r="E22" s="1152"/>
      <c r="F22" s="282"/>
      <c r="G22" s="260"/>
      <c r="H22" s="263"/>
      <c r="I22" s="278"/>
      <c r="J22" s="316"/>
      <c r="K22" s="316"/>
      <c r="L22" s="300"/>
      <c r="M22" s="301"/>
      <c r="N22" s="1142"/>
      <c r="O22" s="1145"/>
      <c r="P22" s="1146"/>
    </row>
    <row r="23" spans="1:16" ht="18.95" customHeight="1">
      <c r="A23" s="1124" t="s">
        <v>235</v>
      </c>
      <c r="B23" s="244" t="s">
        <v>205</v>
      </c>
      <c r="C23" s="1161" t="s">
        <v>209</v>
      </c>
      <c r="D23" s="1162"/>
      <c r="E23" s="1163"/>
      <c r="F23" s="85"/>
      <c r="G23" s="93"/>
      <c r="H23" s="259"/>
      <c r="I23" s="273"/>
      <c r="J23" s="326"/>
      <c r="K23" s="258"/>
      <c r="L23" s="297"/>
      <c r="M23" s="227"/>
      <c r="N23" s="1136"/>
      <c r="O23" s="1137"/>
      <c r="P23" s="1138"/>
    </row>
    <row r="24" spans="1:16" ht="18.95" customHeight="1">
      <c r="A24" s="1125"/>
      <c r="B24" s="261" t="s">
        <v>207</v>
      </c>
      <c r="C24" s="1164" t="s">
        <v>209</v>
      </c>
      <c r="D24" s="1151"/>
      <c r="E24" s="1152"/>
      <c r="F24" s="282"/>
      <c r="G24" s="260"/>
      <c r="H24" s="263"/>
      <c r="I24" s="263"/>
      <c r="J24" s="262"/>
      <c r="K24" s="316"/>
      <c r="L24" s="300"/>
      <c r="M24" s="301"/>
      <c r="N24" s="1166"/>
      <c r="O24" s="1167"/>
      <c r="P24" s="1168"/>
    </row>
    <row r="25" spans="1:16">
      <c r="A25" s="1110" t="s">
        <v>227</v>
      </c>
      <c r="B25" s="1111"/>
      <c r="C25" s="1112" t="s">
        <v>142</v>
      </c>
      <c r="D25" s="1113"/>
      <c r="E25" s="1114"/>
      <c r="F25" s="1118" t="s">
        <v>272</v>
      </c>
      <c r="G25" s="1119"/>
      <c r="H25" s="1119"/>
      <c r="I25" s="1119"/>
      <c r="J25" s="1120"/>
      <c r="K25" s="285"/>
      <c r="L25" s="1118"/>
      <c r="M25" s="1120"/>
      <c r="N25" s="1158"/>
      <c r="O25" s="1159"/>
      <c r="P25" s="1160"/>
    </row>
  </sheetData>
  <mergeCells count="56">
    <mergeCell ref="L25:M25"/>
    <mergeCell ref="A21:A22"/>
    <mergeCell ref="A19:A20"/>
    <mergeCell ref="F25:J25"/>
    <mergeCell ref="A25:B25"/>
    <mergeCell ref="C20:E20"/>
    <mergeCell ref="C22:E22"/>
    <mergeCell ref="C21:E21"/>
    <mergeCell ref="C25:E25"/>
    <mergeCell ref="C24:E24"/>
    <mergeCell ref="C23:E23"/>
    <mergeCell ref="C19:E19"/>
    <mergeCell ref="N23:P23"/>
    <mergeCell ref="N21:P21"/>
    <mergeCell ref="A17:A18"/>
    <mergeCell ref="N16:P16"/>
    <mergeCell ref="N17:P17"/>
    <mergeCell ref="N18:P18"/>
    <mergeCell ref="N22:P22"/>
    <mergeCell ref="N19:P19"/>
    <mergeCell ref="N20:P20"/>
    <mergeCell ref="A23:A24"/>
    <mergeCell ref="A15:A16"/>
    <mergeCell ref="C15:E15"/>
    <mergeCell ref="C16:E16"/>
    <mergeCell ref="C17:E17"/>
    <mergeCell ref="C18:E18"/>
    <mergeCell ref="N25:P25"/>
    <mergeCell ref="N24:P24"/>
    <mergeCell ref="A6:A7"/>
    <mergeCell ref="A8:A9"/>
    <mergeCell ref="A10:A11"/>
    <mergeCell ref="A12:A13"/>
    <mergeCell ref="N9:P9"/>
    <mergeCell ref="J11:L11"/>
    <mergeCell ref="N11:P11"/>
    <mergeCell ref="N15:P15"/>
    <mergeCell ref="J13:L13"/>
    <mergeCell ref="N13:P13"/>
    <mergeCell ref="J7:L7"/>
    <mergeCell ref="N7:P7"/>
    <mergeCell ref="J10:L10"/>
    <mergeCell ref="N10:P10"/>
    <mergeCell ref="J12:L12"/>
    <mergeCell ref="N12:P12"/>
    <mergeCell ref="J8:L8"/>
    <mergeCell ref="C14:E14"/>
    <mergeCell ref="N14:P14"/>
    <mergeCell ref="N8:P8"/>
    <mergeCell ref="J9:L9"/>
    <mergeCell ref="D1:G1"/>
    <mergeCell ref="J4:L4"/>
    <mergeCell ref="J5:L5"/>
    <mergeCell ref="N5:P5"/>
    <mergeCell ref="J6:L6"/>
    <mergeCell ref="N6:P6"/>
  </mergeCells>
  <phoneticPr fontId="26" type="noConversion"/>
  <pageMargins left="0.17" right="0.17" top="0.54" bottom="0.56000000000000005" header="0.5" footer="0.5"/>
  <pageSetup paperSize="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23"/>
  <sheetViews>
    <sheetView workbookViewId="0">
      <selection activeCell="M8" sqref="M8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.375" style="75" customWidth="1"/>
    <col min="11" max="11" width="9.1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7</v>
      </c>
      <c r="O3" s="76">
        <v>6</v>
      </c>
    </row>
    <row r="4" spans="1:16">
      <c r="A4" s="234" t="s">
        <v>187</v>
      </c>
      <c r="B4" s="234"/>
      <c r="C4" s="235">
        <v>41507</v>
      </c>
      <c r="D4" s="236" t="s">
        <v>244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5.7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19.5" customHeight="1">
      <c r="A8" s="1067" t="s">
        <v>208</v>
      </c>
      <c r="B8" s="93" t="s">
        <v>205</v>
      </c>
      <c r="C8" s="93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10.18</v>
      </c>
      <c r="N8" s="1271"/>
      <c r="O8" s="1272"/>
      <c r="P8" s="1273"/>
    </row>
    <row r="9" spans="1:16" ht="15" customHeight="1">
      <c r="A9" s="1068"/>
      <c r="B9" s="260" t="s">
        <v>207</v>
      </c>
      <c r="C9" s="268" t="s">
        <v>209</v>
      </c>
      <c r="D9" s="260"/>
      <c r="E9" s="261"/>
      <c r="F9" s="261"/>
      <c r="G9" s="269"/>
      <c r="H9" s="263"/>
      <c r="I9" s="293"/>
      <c r="J9" s="1069"/>
      <c r="K9" s="1070"/>
      <c r="L9" s="1071"/>
      <c r="M9" s="290"/>
      <c r="N9" s="1078"/>
      <c r="O9" s="1079"/>
      <c r="P9" s="1080"/>
    </row>
    <row r="10" spans="1:16" ht="15" customHeight="1">
      <c r="A10" s="1067" t="s">
        <v>210</v>
      </c>
      <c r="B10" s="244" t="s">
        <v>205</v>
      </c>
      <c r="C10" s="304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5" customHeight="1">
      <c r="A11" s="1068"/>
      <c r="B11" s="260" t="s">
        <v>207</v>
      </c>
      <c r="C11" s="268" t="s">
        <v>209</v>
      </c>
      <c r="D11" s="261"/>
      <c r="E11" s="261"/>
      <c r="F11" s="261"/>
      <c r="G11" s="270"/>
      <c r="H11" s="263"/>
      <c r="I11" s="270"/>
      <c r="J11" s="1069"/>
      <c r="K11" s="1070"/>
      <c r="L11" s="1071"/>
      <c r="M11" s="290"/>
      <c r="N11" s="1078"/>
      <c r="O11" s="1079"/>
      <c r="P11" s="1080"/>
    </row>
    <row r="12" spans="1:16" ht="18.95" customHeight="1">
      <c r="A12" s="1067" t="s">
        <v>211</v>
      </c>
      <c r="B12" s="244" t="s">
        <v>205</v>
      </c>
      <c r="C12" s="93" t="e">
        <f>#REF!</f>
        <v>#REF!</v>
      </c>
      <c r="D12" s="93" t="e">
        <f>#REF!</f>
        <v>#REF!</v>
      </c>
      <c r="E12" s="134" t="e">
        <f>#REF!</f>
        <v>#REF!</v>
      </c>
      <c r="F12" s="134" t="e">
        <f>#REF!</f>
        <v>#REF!</v>
      </c>
      <c r="G12" s="266" t="e">
        <f>#REF!</f>
        <v>#REF!</v>
      </c>
      <c r="H12" s="267"/>
      <c r="I12" s="291" t="e">
        <f>#REF!</f>
        <v>#REF!</v>
      </c>
      <c r="J12" s="1072" t="e">
        <f>#REF!</f>
        <v>#REF!</v>
      </c>
      <c r="K12" s="1073"/>
      <c r="L12" s="1074"/>
      <c r="M12" s="292">
        <v>10.029999999999999</v>
      </c>
      <c r="N12" s="1268"/>
      <c r="O12" s="1269"/>
      <c r="P12" s="1270"/>
    </row>
    <row r="13" spans="1:16" ht="15" customHeight="1">
      <c r="A13" s="1068"/>
      <c r="B13" s="260" t="s">
        <v>207</v>
      </c>
      <c r="C13" s="268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48.7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17.25" customHeight="1">
      <c r="A15" s="1126" t="s">
        <v>266</v>
      </c>
      <c r="B15" s="84" t="s">
        <v>205</v>
      </c>
      <c r="C15" s="1104" t="s">
        <v>209</v>
      </c>
      <c r="D15" s="1105"/>
      <c r="E15" s="1106"/>
      <c r="F15" s="272"/>
      <c r="G15" s="244"/>
      <c r="H15" s="273"/>
      <c r="I15" s="259"/>
      <c r="J15" s="258"/>
      <c r="K15" s="258"/>
      <c r="L15" s="297"/>
      <c r="M15" s="298"/>
      <c r="N15" s="1139"/>
      <c r="O15" s="1140"/>
      <c r="P15" s="1141"/>
    </row>
    <row r="16" spans="1:16" ht="15.75" customHeight="1">
      <c r="A16" s="1127"/>
      <c r="B16" s="274" t="s">
        <v>207</v>
      </c>
      <c r="C16" s="1107" t="s">
        <v>209</v>
      </c>
      <c r="D16" s="1108"/>
      <c r="E16" s="1109"/>
      <c r="F16" s="277"/>
      <c r="G16" s="260"/>
      <c r="H16" s="278"/>
      <c r="I16" s="263"/>
      <c r="J16" s="262"/>
      <c r="K16" s="262"/>
      <c r="L16" s="300"/>
      <c r="M16" s="301"/>
      <c r="N16" s="1130"/>
      <c r="O16" s="1131"/>
      <c r="P16" s="1132"/>
    </row>
    <row r="17" spans="1:16" ht="15" customHeight="1">
      <c r="A17" s="1126" t="s">
        <v>223</v>
      </c>
      <c r="B17" s="244" t="s">
        <v>205</v>
      </c>
      <c r="C17" s="1104" t="s">
        <v>209</v>
      </c>
      <c r="D17" s="1105"/>
      <c r="E17" s="1106"/>
      <c r="F17" s="279"/>
      <c r="G17" s="244"/>
      <c r="H17" s="273"/>
      <c r="I17" s="259"/>
      <c r="J17" s="258"/>
      <c r="K17" s="258"/>
      <c r="L17" s="297"/>
      <c r="M17" s="227"/>
      <c r="N17" s="1139"/>
      <c r="O17" s="1140"/>
      <c r="P17" s="1141"/>
    </row>
    <row r="18" spans="1:16" ht="15" customHeight="1">
      <c r="A18" s="1127"/>
      <c r="B18" s="260" t="s">
        <v>207</v>
      </c>
      <c r="C18" s="1107" t="s">
        <v>209</v>
      </c>
      <c r="D18" s="1108"/>
      <c r="E18" s="1109"/>
      <c r="F18" s="280"/>
      <c r="G18" s="260"/>
      <c r="H18" s="278"/>
      <c r="I18" s="263"/>
      <c r="J18" s="262"/>
      <c r="K18" s="262"/>
      <c r="L18" s="300"/>
      <c r="M18" s="290"/>
      <c r="N18" s="1142"/>
      <c r="O18" s="1145"/>
      <c r="P18" s="1146"/>
    </row>
    <row r="19" spans="1:16" ht="27.95" customHeight="1">
      <c r="A19" s="1124" t="s">
        <v>225</v>
      </c>
      <c r="B19" s="244" t="s">
        <v>205</v>
      </c>
      <c r="C19" s="1161" t="e">
        <f>#REF!</f>
        <v>#REF!</v>
      </c>
      <c r="D19" s="1162"/>
      <c r="E19" s="1163"/>
      <c r="F19" s="85" t="s">
        <v>273</v>
      </c>
      <c r="G19" s="93" t="e">
        <f>#REF!</f>
        <v>#REF!</v>
      </c>
      <c r="H19" s="259"/>
      <c r="I19" s="273" t="e">
        <f>#REF!</f>
        <v>#REF!</v>
      </c>
      <c r="J19" s="326" t="e">
        <f>#REF!</f>
        <v>#REF!</v>
      </c>
      <c r="K19" s="326" t="e">
        <f>#REF!</f>
        <v>#REF!</v>
      </c>
      <c r="L19" s="297" t="e">
        <f>#REF!</f>
        <v>#REF!</v>
      </c>
      <c r="M19" s="227">
        <v>9.02</v>
      </c>
      <c r="N19" s="1136" t="e">
        <f>#REF!</f>
        <v>#REF!</v>
      </c>
      <c r="O19" s="1137"/>
      <c r="P19" s="1138"/>
    </row>
    <row r="20" spans="1:16" ht="15.75" customHeight="1">
      <c r="A20" s="1125"/>
      <c r="B20" s="261" t="s">
        <v>207</v>
      </c>
      <c r="C20" s="1107" t="s">
        <v>209</v>
      </c>
      <c r="D20" s="1108"/>
      <c r="E20" s="1109"/>
      <c r="F20" s="282"/>
      <c r="G20" s="260"/>
      <c r="H20" s="263"/>
      <c r="I20" s="263"/>
      <c r="J20" s="262"/>
      <c r="K20" s="303"/>
      <c r="L20" s="300"/>
      <c r="M20" s="301"/>
      <c r="N20" s="1166"/>
      <c r="O20" s="1167"/>
      <c r="P20" s="1168"/>
    </row>
    <row r="21" spans="1:16" ht="27.95" customHeight="1">
      <c r="A21" s="1124" t="s">
        <v>235</v>
      </c>
      <c r="B21" s="244" t="s">
        <v>205</v>
      </c>
      <c r="C21" s="1161" t="e">
        <f>#REF!</f>
        <v>#REF!</v>
      </c>
      <c r="D21" s="1162"/>
      <c r="E21" s="1163"/>
      <c r="F21" s="85" t="s">
        <v>274</v>
      </c>
      <c r="G21" s="93" t="e">
        <f>#REF!</f>
        <v>#REF!</v>
      </c>
      <c r="H21" s="259"/>
      <c r="I21" s="273" t="e">
        <f>#REF!</f>
        <v>#REF!</v>
      </c>
      <c r="J21" s="326" t="e">
        <f>#REF!</f>
        <v>#REF!</v>
      </c>
      <c r="K21" s="326" t="e">
        <f>#REF!</f>
        <v>#REF!</v>
      </c>
      <c r="L21" s="297" t="e">
        <f>#REF!</f>
        <v>#REF!</v>
      </c>
      <c r="M21" s="227">
        <v>8.17</v>
      </c>
      <c r="N21" s="1136" t="e">
        <f>#REF!</f>
        <v>#REF!</v>
      </c>
      <c r="O21" s="1137"/>
      <c r="P21" s="1138"/>
    </row>
    <row r="22" spans="1:16" ht="16.5" customHeight="1">
      <c r="A22" s="1125"/>
      <c r="B22" s="261" t="s">
        <v>207</v>
      </c>
      <c r="C22" s="1107" t="s">
        <v>209</v>
      </c>
      <c r="D22" s="1108"/>
      <c r="E22" s="1109"/>
      <c r="F22" s="282"/>
      <c r="G22" s="260"/>
      <c r="H22" s="263"/>
      <c r="I22" s="263"/>
      <c r="J22" s="262"/>
      <c r="K22" s="303"/>
      <c r="L22" s="300"/>
      <c r="M22" s="301"/>
      <c r="N22" s="1166"/>
      <c r="O22" s="1167"/>
      <c r="P22" s="1168"/>
    </row>
    <row r="23" spans="1:16" ht="17.25" customHeight="1">
      <c r="A23" s="1110" t="s">
        <v>227</v>
      </c>
      <c r="B23" s="1111"/>
      <c r="C23" s="1112" t="s">
        <v>275</v>
      </c>
      <c r="D23" s="1113"/>
      <c r="E23" s="1114"/>
      <c r="F23" s="1118" t="s">
        <v>276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C14:E14"/>
    <mergeCell ref="C15:E15"/>
    <mergeCell ref="A23:B23"/>
    <mergeCell ref="A15:A16"/>
    <mergeCell ref="A19:A20"/>
    <mergeCell ref="A21:A22"/>
    <mergeCell ref="A17:A18"/>
    <mergeCell ref="C22:E22"/>
    <mergeCell ref="N15:P15"/>
    <mergeCell ref="N18:P18"/>
    <mergeCell ref="N17:P17"/>
    <mergeCell ref="A6:A7"/>
    <mergeCell ref="A8:A9"/>
    <mergeCell ref="A10:A11"/>
    <mergeCell ref="A12:A13"/>
    <mergeCell ref="J9:L9"/>
    <mergeCell ref="N9:P9"/>
    <mergeCell ref="J12:L12"/>
    <mergeCell ref="N14:P14"/>
    <mergeCell ref="N10:P10"/>
    <mergeCell ref="J10:L10"/>
    <mergeCell ref="J13:L13"/>
    <mergeCell ref="N13:P13"/>
    <mergeCell ref="J11:L11"/>
    <mergeCell ref="N19:P19"/>
    <mergeCell ref="C19:E19"/>
    <mergeCell ref="N20:P20"/>
    <mergeCell ref="N16:P16"/>
    <mergeCell ref="C20:E20"/>
    <mergeCell ref="C16:E16"/>
    <mergeCell ref="C18:E18"/>
    <mergeCell ref="C17:E17"/>
    <mergeCell ref="N23:P23"/>
    <mergeCell ref="C23:E23"/>
    <mergeCell ref="N21:P21"/>
    <mergeCell ref="L23:M23"/>
    <mergeCell ref="N22:P22"/>
    <mergeCell ref="C21:E21"/>
    <mergeCell ref="F23:J23"/>
    <mergeCell ref="N11:P11"/>
    <mergeCell ref="N12:P12"/>
    <mergeCell ref="D1:G1"/>
    <mergeCell ref="J4:L4"/>
    <mergeCell ref="J5:L5"/>
    <mergeCell ref="N5:P5"/>
    <mergeCell ref="J8:L8"/>
    <mergeCell ref="J6:L6"/>
    <mergeCell ref="N6:P6"/>
    <mergeCell ref="J7:L7"/>
    <mergeCell ref="N7:P7"/>
    <mergeCell ref="N8:P8"/>
  </mergeCells>
  <phoneticPr fontId="26" type="noConversion"/>
  <pageMargins left="0.2" right="0.25" top="0.59" bottom="0.62" header="0.5" footer="0.5"/>
  <pageSetup paperSize="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P26"/>
  <sheetViews>
    <sheetView topLeftCell="A7" workbookViewId="0">
      <selection activeCell="I24" sqref="I24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.375" style="75" customWidth="1"/>
    <col min="11" max="11" width="9.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9</v>
      </c>
      <c r="O3" s="76">
        <v>6</v>
      </c>
    </row>
    <row r="4" spans="1:16">
      <c r="A4" s="234" t="s">
        <v>187</v>
      </c>
      <c r="B4" s="234"/>
      <c r="C4" s="235">
        <v>41508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18" customHeight="1">
      <c r="A8" s="1067" t="s">
        <v>208</v>
      </c>
      <c r="B8" s="1180" t="s">
        <v>205</v>
      </c>
      <c r="C8" s="1180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4.32</v>
      </c>
      <c r="N8" s="1153"/>
      <c r="O8" s="1154"/>
      <c r="P8" s="1155"/>
    </row>
    <row r="9" spans="1:16" ht="18" customHeight="1">
      <c r="A9" s="1075"/>
      <c r="B9" s="1181"/>
      <c r="C9" s="1181"/>
      <c r="D9" s="93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65"/>
      <c r="L9" s="1066"/>
      <c r="M9" s="292">
        <v>2.4500000000000002</v>
      </c>
      <c r="N9" s="317"/>
      <c r="O9" s="318"/>
      <c r="P9" s="319"/>
    </row>
    <row r="10" spans="1:16" ht="18" customHeight="1">
      <c r="A10" s="1068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9.5299999999999994</v>
      </c>
      <c r="N10" s="1078"/>
      <c r="O10" s="1079"/>
      <c r="P10" s="1080"/>
    </row>
    <row r="11" spans="1:16" ht="15" customHeight="1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63"/>
      <c r="I12" s="270"/>
      <c r="J12" s="1069"/>
      <c r="K12" s="1070"/>
      <c r="L12" s="1071"/>
      <c r="M12" s="290"/>
      <c r="N12" s="1078"/>
      <c r="O12" s="1079"/>
      <c r="P12" s="1080"/>
    </row>
    <row r="13" spans="1:16" ht="18" customHeight="1">
      <c r="A13" s="1067" t="s">
        <v>211</v>
      </c>
      <c r="B13" s="244" t="s">
        <v>205</v>
      </c>
      <c r="C13" s="93" t="e">
        <f>#REF!</f>
        <v>#REF!</v>
      </c>
      <c r="D13" s="93" t="e">
        <f>#REF!</f>
        <v>#REF!</v>
      </c>
      <c r="E13" s="134" t="e">
        <f>#REF!</f>
        <v>#REF!</v>
      </c>
      <c r="F13" s="134" t="e">
        <f>#REF!</f>
        <v>#REF!</v>
      </c>
      <c r="G13" s="266" t="e">
        <f>#REF!</f>
        <v>#REF!</v>
      </c>
      <c r="H13" s="267"/>
      <c r="I13" s="291" t="e">
        <f>#REF!</f>
        <v>#REF!</v>
      </c>
      <c r="J13" s="1072" t="e">
        <f>#REF!</f>
        <v>#REF!</v>
      </c>
      <c r="K13" s="1073"/>
      <c r="L13" s="1074"/>
      <c r="M13" s="292">
        <v>5.46</v>
      </c>
      <c r="N13" s="1098"/>
      <c r="O13" s="1099"/>
      <c r="P13" s="1100"/>
    </row>
    <row r="14" spans="1:16" ht="18" customHeight="1">
      <c r="A14" s="1068"/>
      <c r="B14" s="260" t="s">
        <v>207</v>
      </c>
      <c r="C14" s="260" t="e">
        <f>#REF!</f>
        <v>#REF!</v>
      </c>
      <c r="D14" s="261" t="e">
        <f>#REF!</f>
        <v>#REF!</v>
      </c>
      <c r="E14" s="261" t="e">
        <f>#REF!</f>
        <v>#REF!</v>
      </c>
      <c r="F14" s="261" t="e">
        <f>#REF!</f>
        <v>#REF!</v>
      </c>
      <c r="G14" s="262" t="e">
        <f>#REF!</f>
        <v>#REF!</v>
      </c>
      <c r="H14" s="263"/>
      <c r="I14" s="270" t="e">
        <f>#REF!</f>
        <v>#REF!</v>
      </c>
      <c r="J14" s="1069" t="e">
        <f>#REF!</f>
        <v>#REF!</v>
      </c>
      <c r="K14" s="1070"/>
      <c r="L14" s="1071"/>
      <c r="M14" s="290">
        <v>11.18</v>
      </c>
      <c r="N14" s="1078"/>
      <c r="O14" s="1079"/>
      <c r="P14" s="1080"/>
    </row>
    <row r="15" spans="1:16" s="76" customFormat="1" ht="48.75" customHeight="1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216</v>
      </c>
      <c r="I15" s="257" t="s">
        <v>217</v>
      </c>
      <c r="J15" s="294" t="s">
        <v>218</v>
      </c>
      <c r="K15" s="294" t="s">
        <v>219</v>
      </c>
      <c r="L15" s="295" t="s">
        <v>201</v>
      </c>
      <c r="M15" s="257" t="s">
        <v>202</v>
      </c>
      <c r="N15" s="1133" t="s">
        <v>203</v>
      </c>
      <c r="O15" s="1134"/>
      <c r="P15" s="1135"/>
    </row>
    <row r="16" spans="1:16" ht="15" customHeight="1">
      <c r="A16" s="1126" t="s">
        <v>266</v>
      </c>
      <c r="B16" s="84" t="s">
        <v>205</v>
      </c>
      <c r="C16" s="1104" t="s">
        <v>209</v>
      </c>
      <c r="D16" s="1105"/>
      <c r="E16" s="1106"/>
      <c r="F16" s="272"/>
      <c r="G16" s="321"/>
      <c r="H16" s="273"/>
      <c r="I16" s="259"/>
      <c r="J16" s="258"/>
      <c r="K16" s="258"/>
      <c r="L16" s="297"/>
      <c r="M16" s="298"/>
      <c r="N16" s="1139"/>
      <c r="O16" s="1140"/>
      <c r="P16" s="1141"/>
    </row>
    <row r="17" spans="1:16" ht="15" customHeight="1">
      <c r="A17" s="1127"/>
      <c r="B17" s="274" t="s">
        <v>207</v>
      </c>
      <c r="C17" s="1107" t="s">
        <v>209</v>
      </c>
      <c r="D17" s="1108"/>
      <c r="E17" s="1109"/>
      <c r="F17" s="277"/>
      <c r="G17" s="322"/>
      <c r="H17" s="278"/>
      <c r="I17" s="263"/>
      <c r="J17" s="262"/>
      <c r="K17" s="262"/>
      <c r="L17" s="300"/>
      <c r="M17" s="301"/>
      <c r="N17" s="1130"/>
      <c r="O17" s="1131"/>
      <c r="P17" s="1132"/>
    </row>
    <row r="18" spans="1:16" ht="18" customHeight="1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279" t="s">
        <v>234</v>
      </c>
      <c r="G18" s="321" t="e">
        <f>#REF!</f>
        <v>#REF!</v>
      </c>
      <c r="H18" s="273"/>
      <c r="I18" s="259" t="e">
        <f>#REF!</f>
        <v>#REF!</v>
      </c>
      <c r="J18" s="258" t="e">
        <f>#REF!</f>
        <v>#REF!</v>
      </c>
      <c r="K18" s="258" t="e">
        <f>#REF!</f>
        <v>#REF!</v>
      </c>
      <c r="L18" s="297" t="e">
        <f>#REF!</f>
        <v>#REF!</v>
      </c>
      <c r="M18" s="227">
        <v>6.02</v>
      </c>
      <c r="N18" s="1139" t="e">
        <f>#REF!</f>
        <v>#REF!</v>
      </c>
      <c r="O18" s="1140"/>
      <c r="P18" s="1141"/>
    </row>
    <row r="19" spans="1:16" ht="13.7" customHeight="1">
      <c r="A19" s="1127"/>
      <c r="B19" s="260" t="s">
        <v>207</v>
      </c>
      <c r="C19" s="1107" t="s">
        <v>209</v>
      </c>
      <c r="D19" s="1108"/>
      <c r="E19" s="1109"/>
      <c r="F19" s="280"/>
      <c r="G19" s="322"/>
      <c r="H19" s="278"/>
      <c r="I19" s="263"/>
      <c r="J19" s="262"/>
      <c r="K19" s="262"/>
      <c r="L19" s="300"/>
      <c r="M19" s="290"/>
      <c r="N19" s="1142"/>
      <c r="O19" s="1145"/>
      <c r="P19" s="1146"/>
    </row>
    <row r="20" spans="1:16" ht="18" customHeight="1">
      <c r="A20" s="1124" t="s">
        <v>225</v>
      </c>
      <c r="B20" s="244" t="s">
        <v>205</v>
      </c>
      <c r="C20" s="1161" t="e">
        <f>#REF!</f>
        <v>#REF!</v>
      </c>
      <c r="D20" s="1162"/>
      <c r="E20" s="1163"/>
      <c r="F20" s="85" t="s">
        <v>277</v>
      </c>
      <c r="G20" s="323" t="e">
        <f>#REF!</f>
        <v>#REF!</v>
      </c>
      <c r="H20" s="259"/>
      <c r="I20" s="273" t="e">
        <f>#REF!</f>
        <v>#REF!</v>
      </c>
      <c r="J20" s="326" t="e">
        <f>#REF!</f>
        <v>#REF!</v>
      </c>
      <c r="K20" s="258" t="e">
        <f>#REF!</f>
        <v>#REF!</v>
      </c>
      <c r="L20" s="297" t="e">
        <f>#REF!</f>
        <v>#REF!</v>
      </c>
      <c r="M20" s="227">
        <v>8.59</v>
      </c>
      <c r="N20" s="1136" t="e">
        <f>#REF!</f>
        <v>#REF!</v>
      </c>
      <c r="O20" s="1137"/>
      <c r="P20" s="1138"/>
    </row>
    <row r="21" spans="1:16" ht="18" customHeight="1">
      <c r="A21" s="1125"/>
      <c r="B21" s="1076" t="s">
        <v>207</v>
      </c>
      <c r="C21" s="1121" t="e">
        <f>#REF!</f>
        <v>#REF!</v>
      </c>
      <c r="D21" s="1122"/>
      <c r="E21" s="1123"/>
      <c r="F21" s="282" t="s">
        <v>277</v>
      </c>
      <c r="G21" s="322" t="e">
        <f>#REF!</f>
        <v>#REF!</v>
      </c>
      <c r="H21" s="263"/>
      <c r="I21" s="263" t="e">
        <f>#REF!</f>
        <v>#REF!</v>
      </c>
      <c r="J21" s="262" t="e">
        <f>#REF!</f>
        <v>#REF!</v>
      </c>
      <c r="K21" s="316" t="e">
        <f>#REF!</f>
        <v>#REF!</v>
      </c>
      <c r="L21" s="300" t="e">
        <f>#REF!</f>
        <v>#REF!</v>
      </c>
      <c r="M21" s="301">
        <v>2.0299999999999998</v>
      </c>
      <c r="N21" s="1166" t="e">
        <f>#REF!</f>
        <v>#REF!</v>
      </c>
      <c r="O21" s="1167"/>
      <c r="P21" s="1168"/>
    </row>
    <row r="22" spans="1:16" ht="18" customHeight="1">
      <c r="A22" s="241"/>
      <c r="B22" s="1165"/>
      <c r="C22" s="275" t="e">
        <f>#REF!</f>
        <v>#REF!</v>
      </c>
      <c r="D22" s="276"/>
      <c r="E22" s="277"/>
      <c r="F22" s="282" t="s">
        <v>278</v>
      </c>
      <c r="G22" s="322" t="e">
        <f>#REF!</f>
        <v>#REF!</v>
      </c>
      <c r="H22" s="263"/>
      <c r="I22" s="278" t="e">
        <f>#REF!</f>
        <v>#REF!</v>
      </c>
      <c r="J22" s="316" t="e">
        <f>#REF!</f>
        <v>#REF!</v>
      </c>
      <c r="K22" s="316" t="e">
        <f>#REF!</f>
        <v>#REF!</v>
      </c>
      <c r="L22" s="300" t="e">
        <f>#REF!</f>
        <v>#REF!</v>
      </c>
      <c r="M22" s="301">
        <v>4.07</v>
      </c>
      <c r="N22" s="1235"/>
      <c r="O22" s="1236"/>
      <c r="P22" s="1237"/>
    </row>
    <row r="23" spans="1:16" ht="18" customHeight="1">
      <c r="A23" s="1260" t="s">
        <v>235</v>
      </c>
      <c r="B23" s="1274" t="s">
        <v>205</v>
      </c>
      <c r="C23" s="1103" t="e">
        <f>#REF!</f>
        <v>#REF!</v>
      </c>
      <c r="D23" s="1103"/>
      <c r="E23" s="1103"/>
      <c r="F23" s="85" t="s">
        <v>274</v>
      </c>
      <c r="G23" s="324" t="e">
        <f>#REF!</f>
        <v>#REF!</v>
      </c>
      <c r="H23" s="259"/>
      <c r="I23" s="259" t="e">
        <f>#REF!</f>
        <v>#REF!</v>
      </c>
      <c r="J23" s="258" t="e">
        <f>#REF!</f>
        <v>#REF!</v>
      </c>
      <c r="K23" s="258" t="e">
        <f>#REF!</f>
        <v>#REF!</v>
      </c>
      <c r="L23" s="297" t="e">
        <f>#REF!</f>
        <v>#REF!</v>
      </c>
      <c r="M23" s="227">
        <v>3.3</v>
      </c>
      <c r="N23" s="1265" t="e">
        <f>#REF!</f>
        <v>#REF!</v>
      </c>
      <c r="O23" s="1265"/>
      <c r="P23" s="1265"/>
    </row>
    <row r="24" spans="1:16" ht="18" customHeight="1">
      <c r="A24" s="1260"/>
      <c r="B24" s="1274"/>
      <c r="C24" s="1103" t="e">
        <f>#REF!</f>
        <v>#REF!</v>
      </c>
      <c r="D24" s="1103"/>
      <c r="E24" s="1103"/>
      <c r="F24" s="85" t="s">
        <v>299</v>
      </c>
      <c r="G24" s="324" t="e">
        <f>#REF!</f>
        <v>#REF!</v>
      </c>
      <c r="H24" s="259"/>
      <c r="I24" s="259" t="e">
        <f>#REF!</f>
        <v>#REF!</v>
      </c>
      <c r="J24" s="258" t="e">
        <f>#REF!</f>
        <v>#REF!</v>
      </c>
      <c r="K24" s="258" t="e">
        <f>#REF!</f>
        <v>#REF!</v>
      </c>
      <c r="L24" s="297" t="e">
        <f>#REF!</f>
        <v>#REF!</v>
      </c>
      <c r="M24" s="227">
        <v>3.42</v>
      </c>
      <c r="N24" s="1277"/>
      <c r="O24" s="1277"/>
      <c r="P24" s="1277"/>
    </row>
    <row r="25" spans="1:16" ht="18" customHeight="1">
      <c r="A25" s="1260"/>
      <c r="B25" s="261" t="s">
        <v>207</v>
      </c>
      <c r="C25" s="1251" t="e">
        <f>#REF!</f>
        <v>#REF!</v>
      </c>
      <c r="D25" s="1251"/>
      <c r="E25" s="1251"/>
      <c r="F25" s="282" t="s">
        <v>299</v>
      </c>
      <c r="G25" s="325" t="e">
        <f>#REF!</f>
        <v>#REF!</v>
      </c>
      <c r="H25" s="263"/>
      <c r="I25" s="263" t="e">
        <f>#REF!</f>
        <v>#REF!</v>
      </c>
      <c r="J25" s="262" t="e">
        <f>#REF!</f>
        <v>#REF!</v>
      </c>
      <c r="K25" s="262" t="e">
        <f>#REF!</f>
        <v>#REF!</v>
      </c>
      <c r="L25" s="300" t="e">
        <f>#REF!</f>
        <v>#REF!</v>
      </c>
      <c r="M25" s="301">
        <v>10.16</v>
      </c>
      <c r="N25" s="1256"/>
      <c r="O25" s="1256"/>
      <c r="P25" s="1256"/>
    </row>
    <row r="26" spans="1:16" ht="20.100000000000001" customHeight="1">
      <c r="A26" s="1275" t="s">
        <v>227</v>
      </c>
      <c r="B26" s="1275"/>
      <c r="C26" s="1222" t="s">
        <v>279</v>
      </c>
      <c r="D26" s="1222"/>
      <c r="E26" s="1222"/>
      <c r="F26" s="1230" t="s">
        <v>280</v>
      </c>
      <c r="G26" s="1230"/>
      <c r="H26" s="1230"/>
      <c r="I26" s="1230"/>
      <c r="J26" s="1230"/>
      <c r="K26" s="114"/>
      <c r="L26" s="1230"/>
      <c r="M26" s="1230"/>
      <c r="N26" s="1276"/>
      <c r="O26" s="1276"/>
      <c r="P26" s="1276"/>
    </row>
  </sheetData>
  <mergeCells count="57">
    <mergeCell ref="N26:P26"/>
    <mergeCell ref="C25:E25"/>
    <mergeCell ref="N25:P25"/>
    <mergeCell ref="N20:P20"/>
    <mergeCell ref="C21:E21"/>
    <mergeCell ref="C26:E26"/>
    <mergeCell ref="N23:P24"/>
    <mergeCell ref="B23:B24"/>
    <mergeCell ref="A26:B26"/>
    <mergeCell ref="A23:A25"/>
    <mergeCell ref="L26:M26"/>
    <mergeCell ref="F26:J26"/>
    <mergeCell ref="C24:E24"/>
    <mergeCell ref="C23:E23"/>
    <mergeCell ref="A18:A19"/>
    <mergeCell ref="A20:A21"/>
    <mergeCell ref="B21:B22"/>
    <mergeCell ref="N21:P22"/>
    <mergeCell ref="N19:P19"/>
    <mergeCell ref="C18:E18"/>
    <mergeCell ref="C20:E20"/>
    <mergeCell ref="C19:E19"/>
    <mergeCell ref="N18:P18"/>
    <mergeCell ref="N12:P12"/>
    <mergeCell ref="A6:A7"/>
    <mergeCell ref="A8:A10"/>
    <mergeCell ref="A11:A12"/>
    <mergeCell ref="N10:P10"/>
    <mergeCell ref="N11:P11"/>
    <mergeCell ref="J11:L11"/>
    <mergeCell ref="J12:L12"/>
    <mergeCell ref="B8:B9"/>
    <mergeCell ref="N8:P8"/>
    <mergeCell ref="N15:P15"/>
    <mergeCell ref="N17:P17"/>
    <mergeCell ref="N16:P16"/>
    <mergeCell ref="J13:L13"/>
    <mergeCell ref="J14:L14"/>
    <mergeCell ref="N13:P13"/>
    <mergeCell ref="N14:P14"/>
    <mergeCell ref="A16:A17"/>
    <mergeCell ref="C8:C9"/>
    <mergeCell ref="J10:L10"/>
    <mergeCell ref="A13:A14"/>
    <mergeCell ref="C16:E16"/>
    <mergeCell ref="C15:E15"/>
    <mergeCell ref="C17:E17"/>
    <mergeCell ref="J9:L9"/>
    <mergeCell ref="J8:L8"/>
    <mergeCell ref="D1:G1"/>
    <mergeCell ref="J4:L4"/>
    <mergeCell ref="J5:L5"/>
    <mergeCell ref="N5:P5"/>
    <mergeCell ref="J7:L7"/>
    <mergeCell ref="N7:P7"/>
    <mergeCell ref="J6:L6"/>
    <mergeCell ref="N6:P6"/>
  </mergeCells>
  <phoneticPr fontId="26" type="noConversion"/>
  <pageMargins left="0.22" right="0.17" top="0.49" bottom="1" header="0.5" footer="0.5"/>
  <pageSetup paperSize="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P23"/>
  <sheetViews>
    <sheetView workbookViewId="0">
      <selection activeCell="O3" sqref="O3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.375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3</v>
      </c>
    </row>
    <row r="3" spans="1:16">
      <c r="M3" s="287" t="s">
        <v>186</v>
      </c>
      <c r="N3" s="76">
        <v>10</v>
      </c>
      <c r="O3" s="76">
        <v>6</v>
      </c>
    </row>
    <row r="4" spans="1:16">
      <c r="A4" s="234" t="s">
        <v>187</v>
      </c>
      <c r="B4" s="234"/>
      <c r="C4" s="235">
        <v>41510</v>
      </c>
      <c r="D4" s="236" t="s">
        <v>302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5" customHeight="1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5" customHeight="1">
      <c r="A7" s="1068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21.75" customHeight="1">
      <c r="A8" s="1067" t="s">
        <v>208</v>
      </c>
      <c r="B8" s="93" t="s">
        <v>205</v>
      </c>
      <c r="C8" s="93" t="e">
        <f>#REF!</f>
        <v>#REF!</v>
      </c>
      <c r="D8" s="305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8.59</v>
      </c>
      <c r="N8" s="1153"/>
      <c r="O8" s="1154"/>
      <c r="P8" s="1155"/>
    </row>
    <row r="9" spans="1:16" ht="22.7" customHeight="1">
      <c r="A9" s="1068"/>
      <c r="B9" s="260" t="s">
        <v>207</v>
      </c>
      <c r="C9" s="260" t="e">
        <f>#REF!</f>
        <v>#REF!</v>
      </c>
      <c r="D9" s="307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7.39</v>
      </c>
      <c r="N9" s="1078" t="e">
        <f>#REF!</f>
        <v>#REF!</v>
      </c>
      <c r="O9" s="1079"/>
      <c r="P9" s="1080"/>
    </row>
    <row r="10" spans="1:16" ht="23.25" customHeight="1">
      <c r="A10" s="1067" t="s">
        <v>211</v>
      </c>
      <c r="B10" s="244" t="s">
        <v>205</v>
      </c>
      <c r="C10" s="93" t="e">
        <f>#REF!</f>
        <v>#REF!</v>
      </c>
      <c r="D10" s="93" t="e">
        <f>#REF!</f>
        <v>#REF!</v>
      </c>
      <c r="E10" s="134" t="e">
        <f>#REF!</f>
        <v>#REF!</v>
      </c>
      <c r="F10" s="134" t="e">
        <f>#REF!</f>
        <v>#REF!</v>
      </c>
      <c r="G10" s="266" t="e">
        <f>#REF!</f>
        <v>#REF!</v>
      </c>
      <c r="H10" s="267"/>
      <c r="I10" s="291" t="e">
        <f>#REF!</f>
        <v>#REF!</v>
      </c>
      <c r="J10" s="1072" t="e">
        <f>#REF!</f>
        <v>#REF!</v>
      </c>
      <c r="K10" s="1073"/>
      <c r="L10" s="1074"/>
      <c r="M10" s="292">
        <v>10.32</v>
      </c>
      <c r="N10" s="1098"/>
      <c r="O10" s="1099"/>
      <c r="P10" s="1100"/>
    </row>
    <row r="11" spans="1:16" ht="31.7" customHeight="1">
      <c r="A11" s="1068"/>
      <c r="B11" s="260" t="s">
        <v>207</v>
      </c>
      <c r="C11" s="260" t="e">
        <f>#REF!</f>
        <v>#REF!</v>
      </c>
      <c r="D11" s="261" t="e">
        <f>#REF!</f>
        <v>#REF!</v>
      </c>
      <c r="E11" s="261" t="e">
        <f>#REF!</f>
        <v>#REF!</v>
      </c>
      <c r="F11" s="261" t="e">
        <f>#REF!</f>
        <v>#REF!</v>
      </c>
      <c r="G11" s="262" t="e">
        <f>#REF!</f>
        <v>#REF!</v>
      </c>
      <c r="H11" s="263"/>
      <c r="I11" s="270" t="e">
        <f>#REF!</f>
        <v>#REF!</v>
      </c>
      <c r="J11" s="1069" t="e">
        <f>#REF!</f>
        <v>#REF!</v>
      </c>
      <c r="K11" s="1070"/>
      <c r="L11" s="1071"/>
      <c r="M11" s="290">
        <v>10.01</v>
      </c>
      <c r="N11" s="1078" t="e">
        <f>#REF!</f>
        <v>#REF!</v>
      </c>
      <c r="O11" s="1079"/>
      <c r="P11" s="1080"/>
    </row>
    <row r="12" spans="1:16" s="76" customFormat="1" ht="48.75" customHeight="1">
      <c r="A12" s="84" t="s">
        <v>212</v>
      </c>
      <c r="B12" s="84" t="s">
        <v>193</v>
      </c>
      <c r="C12" s="1095" t="s">
        <v>213</v>
      </c>
      <c r="D12" s="1065"/>
      <c r="E12" s="1066"/>
      <c r="F12" s="257" t="s">
        <v>214</v>
      </c>
      <c r="G12" s="271" t="s">
        <v>215</v>
      </c>
      <c r="H12" s="257" t="s">
        <v>216</v>
      </c>
      <c r="I12" s="257" t="s">
        <v>217</v>
      </c>
      <c r="J12" s="294" t="s">
        <v>218</v>
      </c>
      <c r="K12" s="294" t="s">
        <v>219</v>
      </c>
      <c r="L12" s="295" t="s">
        <v>201</v>
      </c>
      <c r="M12" s="257" t="s">
        <v>202</v>
      </c>
      <c r="N12" s="1133" t="s">
        <v>203</v>
      </c>
      <c r="O12" s="1134"/>
      <c r="P12" s="1135"/>
    </row>
    <row r="13" spans="1:16" ht="15.75" customHeight="1">
      <c r="A13" s="1126" t="s">
        <v>266</v>
      </c>
      <c r="B13" s="84" t="s">
        <v>205</v>
      </c>
      <c r="C13" s="1104" t="s">
        <v>209</v>
      </c>
      <c r="D13" s="1105"/>
      <c r="E13" s="1106"/>
      <c r="F13" s="272"/>
      <c r="G13" s="244"/>
      <c r="H13" s="273"/>
      <c r="I13" s="259"/>
      <c r="J13" s="258"/>
      <c r="K13" s="258"/>
      <c r="L13" s="297"/>
      <c r="M13" s="298"/>
      <c r="N13" s="1139"/>
      <c r="O13" s="1140"/>
      <c r="P13" s="1141"/>
    </row>
    <row r="14" spans="1:16" ht="18.95" customHeight="1">
      <c r="A14" s="1127"/>
      <c r="B14" s="274" t="s">
        <v>207</v>
      </c>
      <c r="C14" s="1107" t="s">
        <v>209</v>
      </c>
      <c r="D14" s="1108"/>
      <c r="E14" s="1109"/>
      <c r="F14" s="277"/>
      <c r="G14" s="260"/>
      <c r="H14" s="278"/>
      <c r="I14" s="263"/>
      <c r="J14" s="262"/>
      <c r="K14" s="262"/>
      <c r="L14" s="300"/>
      <c r="M14" s="301"/>
      <c r="N14" s="1130"/>
      <c r="O14" s="1131"/>
      <c r="P14" s="1132"/>
    </row>
    <row r="15" spans="1:16" ht="21.75" customHeight="1">
      <c r="A15" s="1126" t="s">
        <v>281</v>
      </c>
      <c r="B15" s="84" t="s">
        <v>205</v>
      </c>
      <c r="C15" s="1161" t="e">
        <f>#REF!</f>
        <v>#REF!</v>
      </c>
      <c r="D15" s="1162"/>
      <c r="E15" s="1163"/>
      <c r="F15" s="272" t="s">
        <v>245</v>
      </c>
      <c r="G15" s="244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98">
        <v>3.35</v>
      </c>
      <c r="N15" s="1139"/>
      <c r="O15" s="1140"/>
      <c r="P15" s="1141"/>
    </row>
    <row r="16" spans="1:16" ht="23.25" customHeight="1">
      <c r="A16" s="1127"/>
      <c r="B16" s="274" t="s">
        <v>207</v>
      </c>
      <c r="C16" s="1121" t="e">
        <f>#REF!</f>
        <v>#REF!</v>
      </c>
      <c r="D16" s="1122"/>
      <c r="E16" s="1123"/>
      <c r="F16" s="277" t="s">
        <v>245</v>
      </c>
      <c r="G16" s="260" t="e">
        <f>#REF!</f>
        <v>#REF!</v>
      </c>
      <c r="H16" s="278"/>
      <c r="I16" s="263" t="e">
        <f>#REF!</f>
        <v>#REF!</v>
      </c>
      <c r="J16" s="262" t="e">
        <f>#REF!</f>
        <v>#REF!</v>
      </c>
      <c r="K16" s="262" t="e">
        <f>#REF!</f>
        <v>#REF!</v>
      </c>
      <c r="L16" s="300" t="e">
        <f>#REF!</f>
        <v>#REF!</v>
      </c>
      <c r="M16" s="301">
        <v>8.23</v>
      </c>
      <c r="N16" s="1130"/>
      <c r="O16" s="1131"/>
      <c r="P16" s="1132"/>
    </row>
    <row r="17" spans="1:16" ht="15.75" customHeight="1">
      <c r="A17" s="1126" t="s">
        <v>223</v>
      </c>
      <c r="B17" s="244" t="s">
        <v>205</v>
      </c>
      <c r="C17" s="1104" t="s">
        <v>209</v>
      </c>
      <c r="D17" s="1105"/>
      <c r="E17" s="1106"/>
      <c r="F17" s="279"/>
      <c r="G17" s="244"/>
      <c r="H17" s="273"/>
      <c r="I17" s="259"/>
      <c r="J17" s="258"/>
      <c r="K17" s="258"/>
      <c r="L17" s="297"/>
      <c r="M17" s="227"/>
      <c r="N17" s="1139"/>
      <c r="O17" s="1140"/>
      <c r="P17" s="1141"/>
    </row>
    <row r="18" spans="1:16" ht="21" customHeight="1">
      <c r="A18" s="1127"/>
      <c r="B18" s="260" t="s">
        <v>207</v>
      </c>
      <c r="C18" s="1107" t="s">
        <v>209</v>
      </c>
      <c r="D18" s="1108"/>
      <c r="E18" s="1109"/>
      <c r="F18" s="280"/>
      <c r="G18" s="260"/>
      <c r="H18" s="278"/>
      <c r="I18" s="263"/>
      <c r="J18" s="262"/>
      <c r="K18" s="262"/>
      <c r="L18" s="300"/>
      <c r="M18" s="290"/>
      <c r="N18" s="1142"/>
      <c r="O18" s="1145"/>
      <c r="P18" s="1146"/>
    </row>
    <row r="19" spans="1:16" ht="15.75" customHeight="1">
      <c r="A19" s="1260" t="s">
        <v>225</v>
      </c>
      <c r="B19" s="244" t="s">
        <v>205</v>
      </c>
      <c r="C19" s="1104" t="s">
        <v>209</v>
      </c>
      <c r="D19" s="1105"/>
      <c r="E19" s="1106"/>
      <c r="F19" s="85"/>
      <c r="G19" s="95"/>
      <c r="H19" s="259"/>
      <c r="I19" s="259"/>
      <c r="J19" s="258"/>
      <c r="K19" s="302"/>
      <c r="L19" s="297"/>
      <c r="M19" s="227"/>
      <c r="N19" s="1136"/>
      <c r="O19" s="1137"/>
      <c r="P19" s="1138"/>
    </row>
    <row r="20" spans="1:16" ht="19.5" customHeight="1">
      <c r="A20" s="1260"/>
      <c r="B20" s="261" t="s">
        <v>207</v>
      </c>
      <c r="C20" s="1107" t="s">
        <v>209</v>
      </c>
      <c r="D20" s="1108"/>
      <c r="E20" s="1109"/>
      <c r="F20" s="282"/>
      <c r="G20" s="260"/>
      <c r="H20" s="263"/>
      <c r="I20" s="263"/>
      <c r="J20" s="262"/>
      <c r="K20" s="303"/>
      <c r="L20" s="300"/>
      <c r="M20" s="320"/>
      <c r="N20" s="1166"/>
      <c r="O20" s="1167"/>
      <c r="P20" s="1168"/>
    </row>
    <row r="21" spans="1:16" ht="24" customHeight="1">
      <c r="A21" s="1126" t="s">
        <v>268</v>
      </c>
      <c r="B21" s="244" t="s">
        <v>205</v>
      </c>
      <c r="C21" s="1161" t="e">
        <f>#REF!</f>
        <v>#REF!</v>
      </c>
      <c r="D21" s="1162"/>
      <c r="E21" s="1163"/>
      <c r="F21" s="279" t="s">
        <v>299</v>
      </c>
      <c r="G21" s="244" t="e">
        <f>#REF!</f>
        <v>#REF!</v>
      </c>
      <c r="H21" s="273"/>
      <c r="I21" s="259" t="e">
        <f>#REF!</f>
        <v>#REF!</v>
      </c>
      <c r="J21" s="258" t="e">
        <f>#REF!</f>
        <v>#REF!</v>
      </c>
      <c r="K21" s="258" t="e">
        <f>#REF!</f>
        <v>#REF!</v>
      </c>
      <c r="L21" s="297" t="e">
        <f>#REF!</f>
        <v>#REF!</v>
      </c>
      <c r="M21" s="227">
        <v>9.14</v>
      </c>
      <c r="N21" s="1139"/>
      <c r="O21" s="1140"/>
      <c r="P21" s="1141"/>
    </row>
    <row r="22" spans="1:16" ht="21.75" customHeight="1">
      <c r="A22" s="1127"/>
      <c r="B22" s="260" t="s">
        <v>207</v>
      </c>
      <c r="C22" s="1121" t="e">
        <f>#REF!</f>
        <v>#REF!</v>
      </c>
      <c r="D22" s="1122"/>
      <c r="E22" s="1123"/>
      <c r="F22" s="280" t="s">
        <v>299</v>
      </c>
      <c r="G22" s="260" t="e">
        <f>#REF!</f>
        <v>#REF!</v>
      </c>
      <c r="H22" s="278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290">
        <v>8.5399999999999991</v>
      </c>
      <c r="N22" s="1142"/>
      <c r="O22" s="1145"/>
      <c r="P22" s="1146"/>
    </row>
    <row r="23" spans="1:16">
      <c r="A23" s="1110" t="s">
        <v>227</v>
      </c>
      <c r="B23" s="1111"/>
      <c r="C23" s="1112" t="s">
        <v>282</v>
      </c>
      <c r="D23" s="1113"/>
      <c r="E23" s="1114"/>
      <c r="F23" s="1118" t="s">
        <v>283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A15:A16"/>
    <mergeCell ref="N17:P17"/>
    <mergeCell ref="N20:P20"/>
    <mergeCell ref="N18:P18"/>
    <mergeCell ref="A17:A18"/>
    <mergeCell ref="C15:E15"/>
    <mergeCell ref="C16:E16"/>
    <mergeCell ref="C17:E17"/>
    <mergeCell ref="C18:E18"/>
    <mergeCell ref="C13:E13"/>
    <mergeCell ref="A6:A7"/>
    <mergeCell ref="A8:A9"/>
    <mergeCell ref="A10:A11"/>
    <mergeCell ref="A13:A14"/>
    <mergeCell ref="C14:E14"/>
    <mergeCell ref="C12:E12"/>
    <mergeCell ref="A23:B23"/>
    <mergeCell ref="C23:E23"/>
    <mergeCell ref="C22:E22"/>
    <mergeCell ref="C19:E19"/>
    <mergeCell ref="A19:A20"/>
    <mergeCell ref="A21:A22"/>
    <mergeCell ref="C20:E20"/>
    <mergeCell ref="C21:E21"/>
    <mergeCell ref="F23:J23"/>
    <mergeCell ref="L23:M23"/>
    <mergeCell ref="N23:P23"/>
    <mergeCell ref="N19:P19"/>
    <mergeCell ref="N14:P14"/>
    <mergeCell ref="N22:P22"/>
    <mergeCell ref="N21:P21"/>
    <mergeCell ref="J7:L7"/>
    <mergeCell ref="N8:P8"/>
    <mergeCell ref="N7:P7"/>
    <mergeCell ref="J8:L8"/>
    <mergeCell ref="N16:P16"/>
    <mergeCell ref="J11:L11"/>
    <mergeCell ref="N11:P11"/>
    <mergeCell ref="J9:L9"/>
    <mergeCell ref="N9:P9"/>
    <mergeCell ref="J10:L10"/>
    <mergeCell ref="N10:P10"/>
    <mergeCell ref="N12:P12"/>
    <mergeCell ref="N15:P15"/>
    <mergeCell ref="N13:P13"/>
    <mergeCell ref="D1:G1"/>
    <mergeCell ref="J4:L4"/>
    <mergeCell ref="J5:L5"/>
    <mergeCell ref="N5:P5"/>
    <mergeCell ref="J6:L6"/>
    <mergeCell ref="N6:P6"/>
  </mergeCells>
  <phoneticPr fontId="26" type="noConversion"/>
  <pageMargins left="0.41" right="0.22" top="0.77" bottom="0.54" header="0.5" footer="0.5"/>
  <pageSetup paperSize="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indexed="45"/>
  </sheetPr>
  <dimension ref="A1:P21"/>
  <sheetViews>
    <sheetView topLeftCell="A4" workbookViewId="0">
      <selection activeCell="A4" sqref="A1:IV65536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10</v>
      </c>
      <c r="O3" s="76">
        <v>6</v>
      </c>
    </row>
    <row r="4" spans="1:16">
      <c r="A4" s="234" t="s">
        <v>187</v>
      </c>
      <c r="B4" s="234"/>
      <c r="C4" s="235">
        <v>41480</v>
      </c>
      <c r="D4" s="236" t="s">
        <v>188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30" customHeight="1">
      <c r="A6" s="1067" t="s">
        <v>204</v>
      </c>
      <c r="B6" s="244" t="s">
        <v>205</v>
      </c>
      <c r="C6" s="244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59"/>
      <c r="I6" s="289" t="e">
        <f>#REF!</f>
        <v>#REF!</v>
      </c>
      <c r="J6" s="1064" t="e">
        <f>#REF!</f>
        <v>#REF!</v>
      </c>
      <c r="K6" s="1156"/>
      <c r="L6" s="1157"/>
      <c r="M6" s="227">
        <v>10.59</v>
      </c>
      <c r="N6" s="1090" t="e">
        <f>#REF!</f>
        <v>#REF!</v>
      </c>
      <c r="O6" s="1091"/>
      <c r="P6" s="1092"/>
    </row>
    <row r="7" spans="1:16" ht="30" customHeight="1">
      <c r="A7" s="1075"/>
      <c r="B7" s="260" t="s">
        <v>207</v>
      </c>
      <c r="C7" s="260" t="e">
        <f>#REF!</f>
        <v>#REF!</v>
      </c>
      <c r="D7" s="261" t="e">
        <f>#REF!</f>
        <v>#REF!</v>
      </c>
      <c r="E7" s="261" t="e">
        <f>#REF!</f>
        <v>#REF!</v>
      </c>
      <c r="F7" s="261" t="e">
        <f>#REF!</f>
        <v>#REF!</v>
      </c>
      <c r="G7" s="262" t="e">
        <f>#REF!</f>
        <v>#REF!</v>
      </c>
      <c r="H7" s="263"/>
      <c r="I7" s="270" t="e">
        <f>#REF!</f>
        <v>#REF!</v>
      </c>
      <c r="J7" s="1069" t="e">
        <f>#REF!</f>
        <v>#REF!</v>
      </c>
      <c r="K7" s="1070"/>
      <c r="L7" s="1071"/>
      <c r="M7" s="290">
        <v>10</v>
      </c>
      <c r="N7" s="1081"/>
      <c r="O7" s="1082"/>
      <c r="P7" s="1083"/>
    </row>
    <row r="8" spans="1:16" ht="15" customHeight="1">
      <c r="A8" s="1067" t="s">
        <v>208</v>
      </c>
      <c r="B8" s="93" t="s">
        <v>205</v>
      </c>
      <c r="C8" s="26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>
        <v>0</v>
      </c>
      <c r="J8" s="1072" t="e">
        <f>#REF!</f>
        <v>#REF!</v>
      </c>
      <c r="K8" s="1073"/>
      <c r="L8" s="1074"/>
      <c r="M8" s="292">
        <v>4.4400000000000004</v>
      </c>
      <c r="N8" s="1087" t="e">
        <f>#REF!</f>
        <v>#REF!</v>
      </c>
      <c r="O8" s="1088"/>
      <c r="P8" s="1089"/>
    </row>
    <row r="9" spans="1:16" ht="15" customHeight="1">
      <c r="A9" s="1068"/>
      <c r="B9" s="260" t="s">
        <v>207</v>
      </c>
      <c r="C9" s="268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7.23</v>
      </c>
      <c r="N9" s="1078" t="e">
        <f>#REF!</f>
        <v>#REF!</v>
      </c>
      <c r="O9" s="1079"/>
      <c r="P9" s="1080"/>
    </row>
    <row r="10" spans="1:16" ht="15" customHeight="1">
      <c r="A10" s="1067" t="s">
        <v>210</v>
      </c>
      <c r="B10" s="244" t="s">
        <v>205</v>
      </c>
      <c r="C10" s="304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5" customHeight="1">
      <c r="A11" s="1068"/>
      <c r="B11" s="260" t="s">
        <v>207</v>
      </c>
      <c r="C11" s="268" t="s">
        <v>209</v>
      </c>
      <c r="D11" s="261"/>
      <c r="E11" s="261"/>
      <c r="F11" s="261"/>
      <c r="G11" s="270"/>
      <c r="H11" s="263"/>
      <c r="I11" s="270" t="s">
        <v>206</v>
      </c>
      <c r="J11" s="1069"/>
      <c r="K11" s="1070"/>
      <c r="L11" s="1071"/>
      <c r="M11" s="290"/>
      <c r="N11" s="1078"/>
      <c r="O11" s="1079"/>
      <c r="P11" s="1080"/>
    </row>
    <row r="12" spans="1:16" ht="15" customHeight="1">
      <c r="A12" s="1067" t="s">
        <v>211</v>
      </c>
      <c r="B12" s="244" t="s">
        <v>205</v>
      </c>
      <c r="C12" s="304" t="e">
        <f>#REF!</f>
        <v>#REF!</v>
      </c>
      <c r="D12" s="93" t="e">
        <f>#REF!</f>
        <v>#REF!</v>
      </c>
      <c r="E12" s="134">
        <v>750</v>
      </c>
      <c r="F12" s="134" t="e">
        <f>#REF!</f>
        <v>#REF!</v>
      </c>
      <c r="G12" s="266" t="e">
        <f>#REF!</f>
        <v>#REF!</v>
      </c>
      <c r="H12" s="267"/>
      <c r="I12" s="291">
        <v>0</v>
      </c>
      <c r="J12" s="1072" t="e">
        <f>#REF!</f>
        <v>#REF!</v>
      </c>
      <c r="K12" s="1073"/>
      <c r="L12" s="1074"/>
      <c r="M12" s="292" t="e">
        <f>#REF!</f>
        <v>#REF!</v>
      </c>
      <c r="N12" s="1098"/>
      <c r="O12" s="1099"/>
      <c r="P12" s="1100"/>
    </row>
    <row r="13" spans="1:16" ht="15" customHeight="1">
      <c r="A13" s="1068"/>
      <c r="B13" s="260" t="s">
        <v>207</v>
      </c>
      <c r="C13" s="268" t="e">
        <f>#REF!</f>
        <v>#REF!</v>
      </c>
      <c r="D13" s="261">
        <v>0.25</v>
      </c>
      <c r="E13" s="261">
        <v>750</v>
      </c>
      <c r="F13" s="261" t="e">
        <f>#REF!</f>
        <v>#REF!</v>
      </c>
      <c r="G13" s="270" t="e">
        <f>#REF!</f>
        <v>#REF!</v>
      </c>
      <c r="H13" s="263"/>
      <c r="I13" s="270">
        <v>0</v>
      </c>
      <c r="J13" s="1069" t="e">
        <f>#REF!</f>
        <v>#REF!</v>
      </c>
      <c r="K13" s="1070"/>
      <c r="L13" s="1071"/>
      <c r="M13" s="290" t="e">
        <f>#REF!</f>
        <v>#REF!</v>
      </c>
      <c r="N13" s="1078"/>
      <c r="O13" s="1079"/>
      <c r="P13" s="1080"/>
    </row>
    <row r="14" spans="1:16" s="76" customFormat="1" ht="46.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39.950000000000003" customHeight="1">
      <c r="A15" s="1101" t="s">
        <v>220</v>
      </c>
      <c r="B15" s="84" t="s">
        <v>205</v>
      </c>
      <c r="C15" s="1104" t="e">
        <f>#REF!</f>
        <v>#REF!</v>
      </c>
      <c r="D15" s="1105"/>
      <c r="E15" s="1106"/>
      <c r="F15" s="272" t="s">
        <v>221</v>
      </c>
      <c r="G15" s="244" t="e">
        <f>#REF!</f>
        <v>#REF!</v>
      </c>
      <c r="H15" s="273"/>
      <c r="I15" s="259" t="e">
        <f>#REF!</f>
        <v>#REF!</v>
      </c>
      <c r="J15" s="258" t="e">
        <f>#REF!</f>
        <v>#REF!</v>
      </c>
      <c r="K15" s="258" t="e">
        <f>#REF!</f>
        <v>#REF!</v>
      </c>
      <c r="L15" s="297" t="e">
        <f>#REF!</f>
        <v>#REF!</v>
      </c>
      <c r="M15" s="298">
        <v>7.29</v>
      </c>
      <c r="N15" s="1139" t="e">
        <f>#REF!</f>
        <v>#REF!</v>
      </c>
      <c r="O15" s="1140"/>
      <c r="P15" s="1141"/>
    </row>
    <row r="16" spans="1:16" ht="39.950000000000003" customHeight="1">
      <c r="A16" s="1102"/>
      <c r="B16" s="274" t="s">
        <v>207</v>
      </c>
      <c r="C16" s="1107" t="e">
        <f>#REF!</f>
        <v>#REF!</v>
      </c>
      <c r="D16" s="1108"/>
      <c r="E16" s="1109"/>
      <c r="F16" s="277" t="s">
        <v>284</v>
      </c>
      <c r="G16" s="260" t="e">
        <f>#REF!</f>
        <v>#REF!</v>
      </c>
      <c r="H16" s="278" t="e">
        <f>G16/1106*290</f>
        <v>#REF!</v>
      </c>
      <c r="I16" s="263" t="e">
        <f>#REF!</f>
        <v>#REF!</v>
      </c>
      <c r="J16" s="262" t="e">
        <f>#REF!</f>
        <v>#REF!</v>
      </c>
      <c r="K16" s="262" t="e">
        <f>#REF!</f>
        <v>#REF!</v>
      </c>
      <c r="L16" s="300" t="e">
        <f>#REF!</f>
        <v>#REF!</v>
      </c>
      <c r="M16" s="301">
        <v>8.0399999999999991</v>
      </c>
      <c r="N16" s="1130" t="e">
        <f>#REF!</f>
        <v>#REF!</v>
      </c>
      <c r="O16" s="1131"/>
      <c r="P16" s="1132"/>
    </row>
    <row r="17" spans="1:16" ht="39.950000000000003" customHeight="1">
      <c r="A17" s="1126" t="s">
        <v>223</v>
      </c>
      <c r="B17" s="244" t="s">
        <v>205</v>
      </c>
      <c r="C17" s="1104" t="e">
        <f>#REF!</f>
        <v>#REF!</v>
      </c>
      <c r="D17" s="1105"/>
      <c r="E17" s="1106"/>
      <c r="F17" s="279" t="s">
        <v>285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3.25</v>
      </c>
      <c r="N17" s="1139"/>
      <c r="O17" s="1140"/>
      <c r="P17" s="1141"/>
    </row>
    <row r="18" spans="1:16" ht="39.950000000000003" customHeight="1">
      <c r="A18" s="1127"/>
      <c r="B18" s="260" t="s">
        <v>207</v>
      </c>
      <c r="C18" s="1107" t="e">
        <f>#REF!</f>
        <v>#REF!</v>
      </c>
      <c r="D18" s="1108"/>
      <c r="E18" s="1109"/>
      <c r="F18" s="280" t="s">
        <v>285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1.44</v>
      </c>
      <c r="N18" s="1142" t="e">
        <f>#REF!</f>
        <v>#REF!</v>
      </c>
      <c r="O18" s="1145"/>
      <c r="P18" s="1146"/>
    </row>
    <row r="19" spans="1:16" ht="20.100000000000001" customHeight="1">
      <c r="A19" s="1124" t="s">
        <v>225</v>
      </c>
      <c r="B19" s="244" t="s">
        <v>205</v>
      </c>
      <c r="C19" s="1103" t="e">
        <f>#REF!</f>
        <v>#REF!</v>
      </c>
      <c r="D19" s="1103"/>
      <c r="E19" s="1103"/>
      <c r="F19" s="85" t="s">
        <v>226</v>
      </c>
      <c r="G19" s="134" t="e">
        <f>#REF!</f>
        <v>#REF!</v>
      </c>
      <c r="H19" s="259"/>
      <c r="I19" s="259" t="e">
        <f>#REF!</f>
        <v>#REF!</v>
      </c>
      <c r="J19" s="258" t="e">
        <f>#REF!</f>
        <v>#REF!</v>
      </c>
      <c r="K19" s="302" t="e">
        <f>#REF!</f>
        <v>#REF!</v>
      </c>
      <c r="L19" s="297" t="e">
        <f>#REF!</f>
        <v>#REF!</v>
      </c>
      <c r="M19" s="227">
        <v>9.26</v>
      </c>
      <c r="N19" s="1136" t="e">
        <f>#REF!</f>
        <v>#REF!</v>
      </c>
      <c r="O19" s="1137"/>
      <c r="P19" s="1138"/>
    </row>
    <row r="20" spans="1:16" ht="20.100000000000001" customHeight="1">
      <c r="A20" s="1125"/>
      <c r="B20" s="261" t="s">
        <v>207</v>
      </c>
      <c r="C20" s="1121" t="e">
        <f>#REF!</f>
        <v>#REF!</v>
      </c>
      <c r="D20" s="1122"/>
      <c r="E20" s="1123"/>
      <c r="F20" s="282" t="s">
        <v>226</v>
      </c>
      <c r="G20" s="260" t="e">
        <f>#REF!</f>
        <v>#REF!</v>
      </c>
      <c r="H20" s="263"/>
      <c r="I20" s="263" t="e">
        <f>#REF!</f>
        <v>#REF!</v>
      </c>
      <c r="J20" s="262" t="e">
        <f>#REF!</f>
        <v>#REF!</v>
      </c>
      <c r="K20" s="303" t="e">
        <f>#REF!</f>
        <v>#REF!</v>
      </c>
      <c r="L20" s="300" t="e">
        <f>#REF!</f>
        <v>#REF!</v>
      </c>
      <c r="M20" s="301">
        <v>8.39</v>
      </c>
      <c r="N20" s="1166" t="e">
        <f>#REF!</f>
        <v>#REF!</v>
      </c>
      <c r="O20" s="1167"/>
      <c r="P20" s="1168"/>
    </row>
    <row r="21" spans="1:16" ht="17.25" customHeight="1">
      <c r="A21" s="1110" t="s">
        <v>227</v>
      </c>
      <c r="B21" s="1111"/>
      <c r="C21" s="1112" t="s">
        <v>286</v>
      </c>
      <c r="D21" s="1113"/>
      <c r="E21" s="1114"/>
      <c r="F21" s="1118" t="s">
        <v>287</v>
      </c>
      <c r="G21" s="1119"/>
      <c r="H21" s="1119"/>
      <c r="I21" s="1119"/>
      <c r="J21" s="1120"/>
      <c r="K21" s="285"/>
      <c r="L21" s="1118"/>
      <c r="M21" s="1120"/>
      <c r="N21" s="1158"/>
      <c r="O21" s="1159"/>
      <c r="P21" s="1160"/>
    </row>
  </sheetData>
  <mergeCells count="46">
    <mergeCell ref="A6:A7"/>
    <mergeCell ref="A8:A9"/>
    <mergeCell ref="A10:A11"/>
    <mergeCell ref="N11:P11"/>
    <mergeCell ref="J11:L11"/>
    <mergeCell ref="N10:P10"/>
    <mergeCell ref="N8:P8"/>
    <mergeCell ref="J9:L9"/>
    <mergeCell ref="N5:P5"/>
    <mergeCell ref="N21:P21"/>
    <mergeCell ref="A19:A20"/>
    <mergeCell ref="J13:L13"/>
    <mergeCell ref="N13:P13"/>
    <mergeCell ref="C14:E14"/>
    <mergeCell ref="N14:P14"/>
    <mergeCell ref="N20:P20"/>
    <mergeCell ref="A21:B21"/>
    <mergeCell ref="C21:E21"/>
    <mergeCell ref="L21:M21"/>
    <mergeCell ref="C18:E18"/>
    <mergeCell ref="J10:L10"/>
    <mergeCell ref="C19:E19"/>
    <mergeCell ref="C20:E20"/>
    <mergeCell ref="F21:J21"/>
    <mergeCell ref="D1:G1"/>
    <mergeCell ref="J4:L4"/>
    <mergeCell ref="J5:L5"/>
    <mergeCell ref="J8:L8"/>
    <mergeCell ref="J6:L6"/>
    <mergeCell ref="J7:L7"/>
    <mergeCell ref="N19:P19"/>
    <mergeCell ref="N18:P18"/>
    <mergeCell ref="N6:P6"/>
    <mergeCell ref="N7:P7"/>
    <mergeCell ref="N17:P17"/>
    <mergeCell ref="N15:P15"/>
    <mergeCell ref="N12:P12"/>
    <mergeCell ref="N16:P16"/>
    <mergeCell ref="N9:P9"/>
    <mergeCell ref="A15:A16"/>
    <mergeCell ref="A17:A18"/>
    <mergeCell ref="C15:E15"/>
    <mergeCell ref="J12:L12"/>
    <mergeCell ref="A12:A13"/>
    <mergeCell ref="C16:E16"/>
    <mergeCell ref="C17:E17"/>
  </mergeCells>
  <phoneticPr fontId="26" type="noConversion"/>
  <pageMargins left="0.2" right="0.17" top="0.39" bottom="0.66" header="0.5" footer="0.5"/>
  <pageSetup paperSize="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P22"/>
  <sheetViews>
    <sheetView workbookViewId="0">
      <selection activeCell="O3" sqref="O3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2</v>
      </c>
      <c r="O2" s="76">
        <v>4</v>
      </c>
    </row>
    <row r="3" spans="1:16">
      <c r="M3" s="287" t="s">
        <v>186</v>
      </c>
      <c r="N3" s="76">
        <v>10</v>
      </c>
      <c r="O3" s="76">
        <v>6</v>
      </c>
    </row>
    <row r="4" spans="1:16">
      <c r="A4" s="234" t="s">
        <v>187</v>
      </c>
      <c r="B4" s="234"/>
      <c r="C4" s="235">
        <v>41512</v>
      </c>
      <c r="D4" s="236" t="s">
        <v>232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7.25" customHeight="1">
      <c r="A6" s="1067" t="s">
        <v>204</v>
      </c>
      <c r="B6" s="244" t="s">
        <v>205</v>
      </c>
      <c r="C6" s="26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5" customHeight="1">
      <c r="A7" s="1075"/>
      <c r="B7" s="260" t="s">
        <v>207</v>
      </c>
      <c r="C7" s="264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81"/>
      <c r="O7" s="1082"/>
      <c r="P7" s="1083"/>
    </row>
    <row r="8" spans="1:16" ht="18.95" customHeight="1">
      <c r="A8" s="1067" t="s">
        <v>208</v>
      </c>
      <c r="B8" s="93" t="s">
        <v>205</v>
      </c>
      <c r="C8" s="1199" t="e">
        <f>#REF!</f>
        <v>#REF!</v>
      </c>
      <c r="D8" s="305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1.51</v>
      </c>
      <c r="N8" s="1087" t="e">
        <f>#REF!</f>
        <v>#REF!</v>
      </c>
      <c r="O8" s="1088"/>
      <c r="P8" s="1089"/>
    </row>
    <row r="9" spans="1:16" ht="18.95" customHeight="1">
      <c r="A9" s="1075"/>
      <c r="B9" s="93" t="s">
        <v>205</v>
      </c>
      <c r="C9" s="1165"/>
      <c r="D9" s="93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67"/>
      <c r="I9" s="291" t="e">
        <f>#REF!</f>
        <v>#REF!</v>
      </c>
      <c r="J9" s="1072" t="e">
        <f>#REF!</f>
        <v>#REF!</v>
      </c>
      <c r="K9" s="1073"/>
      <c r="L9" s="1074"/>
      <c r="M9" s="292">
        <v>4.21</v>
      </c>
      <c r="N9" s="1190"/>
      <c r="O9" s="1191"/>
      <c r="P9" s="1192"/>
    </row>
    <row r="10" spans="1:16" ht="18.95" customHeight="1">
      <c r="A10" s="1068"/>
      <c r="B10" s="260" t="s">
        <v>207</v>
      </c>
      <c r="C10" s="260" t="e">
        <f>#REF!</f>
        <v>#REF!</v>
      </c>
      <c r="D10" s="260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63"/>
      <c r="I10" s="293" t="e">
        <f>#REF!</f>
        <v>#REF!</v>
      </c>
      <c r="J10" s="1069" t="e">
        <f>#REF!</f>
        <v>#REF!</v>
      </c>
      <c r="K10" s="1070"/>
      <c r="L10" s="1071"/>
      <c r="M10" s="290">
        <v>8.4</v>
      </c>
      <c r="N10" s="1078" t="e">
        <f>#REF!</f>
        <v>#REF!</v>
      </c>
      <c r="O10" s="1079"/>
      <c r="P10" s="1080"/>
    </row>
    <row r="11" spans="1:16" ht="15" customHeight="1">
      <c r="A11" s="1067" t="s">
        <v>211</v>
      </c>
      <c r="B11" s="244" t="s">
        <v>205</v>
      </c>
      <c r="C11" s="264" t="s">
        <v>209</v>
      </c>
      <c r="D11" s="93"/>
      <c r="E11" s="134"/>
      <c r="F11" s="134"/>
      <c r="G11" s="266"/>
      <c r="H11" s="267"/>
      <c r="I11" s="291"/>
      <c r="J11" s="1072"/>
      <c r="K11" s="1073"/>
      <c r="L11" s="1074"/>
      <c r="M11" s="292"/>
      <c r="N11" s="1098"/>
      <c r="O11" s="1099"/>
      <c r="P11" s="1100"/>
    </row>
    <row r="12" spans="1:16" ht="15" customHeight="1">
      <c r="A12" s="1075"/>
      <c r="B12" s="260" t="s">
        <v>207</v>
      </c>
      <c r="C12" s="268" t="s">
        <v>209</v>
      </c>
      <c r="D12" s="261"/>
      <c r="E12" s="261"/>
      <c r="F12" s="261"/>
      <c r="G12" s="262"/>
      <c r="H12" s="263"/>
      <c r="I12" s="270"/>
      <c r="J12" s="1069"/>
      <c r="K12" s="1070"/>
      <c r="L12" s="1071"/>
      <c r="M12" s="290"/>
      <c r="N12" s="1081"/>
      <c r="O12" s="1082"/>
      <c r="P12" s="1083"/>
    </row>
    <row r="13" spans="1:16" s="76" customFormat="1" ht="46.5" customHeight="1">
      <c r="A13" s="84" t="s">
        <v>212</v>
      </c>
      <c r="B13" s="84" t="s">
        <v>193</v>
      </c>
      <c r="C13" s="1095" t="s">
        <v>213</v>
      </c>
      <c r="D13" s="1065"/>
      <c r="E13" s="1066"/>
      <c r="F13" s="257" t="s">
        <v>214</v>
      </c>
      <c r="G13" s="271" t="s">
        <v>215</v>
      </c>
      <c r="H13" s="257" t="s">
        <v>216</v>
      </c>
      <c r="I13" s="257" t="s">
        <v>217</v>
      </c>
      <c r="J13" s="294" t="s">
        <v>218</v>
      </c>
      <c r="K13" s="294" t="s">
        <v>219</v>
      </c>
      <c r="L13" s="295" t="s">
        <v>201</v>
      </c>
      <c r="M13" s="257" t="s">
        <v>202</v>
      </c>
      <c r="N13" s="1133" t="s">
        <v>203</v>
      </c>
      <c r="O13" s="1134"/>
      <c r="P13" s="1135"/>
    </row>
    <row r="14" spans="1:16" ht="15" customHeight="1">
      <c r="A14" s="1126" t="s">
        <v>288</v>
      </c>
      <c r="B14" s="84" t="s">
        <v>205</v>
      </c>
      <c r="C14" s="1104" t="s">
        <v>209</v>
      </c>
      <c r="D14" s="1105"/>
      <c r="E14" s="1106"/>
      <c r="F14" s="272"/>
      <c r="G14" s="244"/>
      <c r="H14" s="273"/>
      <c r="I14" s="259"/>
      <c r="J14" s="258"/>
      <c r="K14" s="258"/>
      <c r="L14" s="297"/>
      <c r="M14" s="298"/>
      <c r="N14" s="1139"/>
      <c r="O14" s="1140"/>
      <c r="P14" s="1141"/>
    </row>
    <row r="15" spans="1:16" ht="15" customHeight="1">
      <c r="A15" s="1127"/>
      <c r="B15" s="274" t="s">
        <v>207</v>
      </c>
      <c r="C15" s="1107" t="s">
        <v>209</v>
      </c>
      <c r="D15" s="1108"/>
      <c r="E15" s="1109"/>
      <c r="F15" s="277"/>
      <c r="G15" s="260"/>
      <c r="H15" s="278"/>
      <c r="I15" s="263"/>
      <c r="J15" s="262"/>
      <c r="K15" s="262"/>
      <c r="L15" s="300"/>
      <c r="M15" s="301"/>
      <c r="N15" s="1130"/>
      <c r="O15" s="1131"/>
      <c r="P15" s="1132"/>
    </row>
    <row r="16" spans="1:16" ht="15" customHeight="1">
      <c r="A16" s="1126" t="s">
        <v>223</v>
      </c>
      <c r="B16" s="244" t="s">
        <v>205</v>
      </c>
      <c r="C16" s="1161" t="e">
        <f>#REF!</f>
        <v>#REF!</v>
      </c>
      <c r="D16" s="1162"/>
      <c r="E16" s="1163"/>
      <c r="F16" s="279" t="s">
        <v>234</v>
      </c>
      <c r="G16" s="244" t="e">
        <f>#REF!</f>
        <v>#REF!</v>
      </c>
      <c r="H16" s="273"/>
      <c r="I16" s="259" t="e">
        <f>#REF!</f>
        <v>#REF!</v>
      </c>
      <c r="J16" s="258" t="e">
        <f>#REF!</f>
        <v>#REF!</v>
      </c>
      <c r="K16" s="258" t="e">
        <f>#REF!</f>
        <v>#REF!</v>
      </c>
      <c r="L16" s="297" t="e">
        <f>#REF!</f>
        <v>#REF!</v>
      </c>
      <c r="M16" s="227">
        <v>11.35</v>
      </c>
      <c r="N16" s="1139"/>
      <c r="O16" s="1140"/>
      <c r="P16" s="1141"/>
    </row>
    <row r="17" spans="1:16" ht="15" customHeight="1">
      <c r="A17" s="1127"/>
      <c r="B17" s="260" t="s">
        <v>207</v>
      </c>
      <c r="C17" s="1121" t="e">
        <f>#REF!</f>
        <v>#REF!</v>
      </c>
      <c r="D17" s="1122"/>
      <c r="E17" s="1123"/>
      <c r="F17" s="280" t="s">
        <v>234</v>
      </c>
      <c r="G17" s="260" t="e">
        <f>#REF!</f>
        <v>#REF!</v>
      </c>
      <c r="H17" s="278"/>
      <c r="I17" s="263" t="e">
        <f>#REF!</f>
        <v>#REF!</v>
      </c>
      <c r="J17" s="262" t="e">
        <f>#REF!</f>
        <v>#REF!</v>
      </c>
      <c r="K17" s="262" t="e">
        <f>#REF!</f>
        <v>#REF!</v>
      </c>
      <c r="L17" s="300" t="e">
        <f>#REF!</f>
        <v>#REF!</v>
      </c>
      <c r="M17" s="290">
        <v>11.02</v>
      </c>
      <c r="N17" s="1142" t="e">
        <f>#REF!</f>
        <v>#REF!</v>
      </c>
      <c r="O17" s="1145"/>
      <c r="P17" s="1146"/>
    </row>
    <row r="18" spans="1:16" ht="15.75" customHeight="1">
      <c r="A18" s="1124" t="s">
        <v>225</v>
      </c>
      <c r="B18" s="244" t="s">
        <v>205</v>
      </c>
      <c r="C18" s="1104" t="s">
        <v>209</v>
      </c>
      <c r="D18" s="1105"/>
      <c r="E18" s="1106"/>
      <c r="F18" s="85"/>
      <c r="G18" s="134"/>
      <c r="H18" s="259"/>
      <c r="I18" s="259"/>
      <c r="J18" s="258"/>
      <c r="K18" s="302"/>
      <c r="L18" s="297"/>
      <c r="M18" s="227"/>
      <c r="N18" s="1136"/>
      <c r="O18" s="1137"/>
      <c r="P18" s="1138"/>
    </row>
    <row r="19" spans="1:16" ht="15.75" customHeight="1">
      <c r="A19" s="1125"/>
      <c r="B19" s="261" t="s">
        <v>207</v>
      </c>
      <c r="C19" s="1107" t="s">
        <v>209</v>
      </c>
      <c r="D19" s="1108"/>
      <c r="E19" s="1109"/>
      <c r="F19" s="282"/>
      <c r="G19" s="260"/>
      <c r="H19" s="263"/>
      <c r="I19" s="263"/>
      <c r="J19" s="262"/>
      <c r="K19" s="303"/>
      <c r="L19" s="300"/>
      <c r="M19" s="301"/>
      <c r="N19" s="1166"/>
      <c r="O19" s="1167"/>
      <c r="P19" s="1168"/>
    </row>
    <row r="20" spans="1:16" ht="16.5" customHeight="1">
      <c r="A20" s="1124" t="s">
        <v>235</v>
      </c>
      <c r="B20" s="244" t="s">
        <v>205</v>
      </c>
      <c r="C20" s="1103" t="e">
        <f>#REF!</f>
        <v>#REF!</v>
      </c>
      <c r="D20" s="1103"/>
      <c r="E20" s="1103"/>
      <c r="F20" s="85" t="s">
        <v>299</v>
      </c>
      <c r="G20" s="134" t="e">
        <f>#REF!</f>
        <v>#REF!</v>
      </c>
      <c r="H20" s="259"/>
      <c r="I20" s="259" t="e">
        <f>#REF!</f>
        <v>#REF!</v>
      </c>
      <c r="J20" s="258" t="e">
        <f>#REF!</f>
        <v>#REF!</v>
      </c>
      <c r="K20" s="258" t="e">
        <f>#REF!</f>
        <v>#REF!</v>
      </c>
      <c r="L20" s="297" t="e">
        <f>#REF!</f>
        <v>#REF!</v>
      </c>
      <c r="M20" s="227">
        <v>6.34</v>
      </c>
      <c r="N20" s="1136" t="e">
        <f>#REF!</f>
        <v>#REF!</v>
      </c>
      <c r="O20" s="1137"/>
      <c r="P20" s="1138"/>
    </row>
    <row r="21" spans="1:16" ht="15.75" customHeight="1">
      <c r="A21" s="1125"/>
      <c r="B21" s="261" t="s">
        <v>207</v>
      </c>
      <c r="C21" s="1121" t="e">
        <f>#REF!</f>
        <v>#REF!</v>
      </c>
      <c r="D21" s="1122"/>
      <c r="E21" s="1123"/>
      <c r="F21" s="282" t="s">
        <v>299</v>
      </c>
      <c r="G21" s="260" t="e">
        <f>#REF!</f>
        <v>#REF!</v>
      </c>
      <c r="H21" s="263"/>
      <c r="I21" s="263" t="e">
        <f>#REF!</f>
        <v>#REF!</v>
      </c>
      <c r="J21" s="262" t="e">
        <f>#REF!</f>
        <v>#REF!</v>
      </c>
      <c r="K21" s="316" t="e">
        <f>#REF!</f>
        <v>#REF!</v>
      </c>
      <c r="L21" s="300" t="e">
        <f>#REF!</f>
        <v>#REF!</v>
      </c>
      <c r="M21" s="301">
        <v>8.58</v>
      </c>
      <c r="N21" s="1166"/>
      <c r="O21" s="1167"/>
      <c r="P21" s="1168"/>
    </row>
    <row r="22" spans="1:16" ht="17.25" customHeight="1">
      <c r="A22" s="1110" t="s">
        <v>227</v>
      </c>
      <c r="B22" s="1111"/>
      <c r="C22" s="1112" t="s">
        <v>289</v>
      </c>
      <c r="D22" s="1113"/>
      <c r="E22" s="1114"/>
      <c r="F22" s="1118" t="s">
        <v>290</v>
      </c>
      <c r="G22" s="1119"/>
      <c r="H22" s="1119"/>
      <c r="I22" s="1119"/>
      <c r="J22" s="1120"/>
      <c r="K22" s="285"/>
      <c r="L22" s="1118"/>
      <c r="M22" s="1120"/>
      <c r="N22" s="1158"/>
      <c r="O22" s="1159"/>
      <c r="P22" s="1160"/>
    </row>
  </sheetData>
  <mergeCells count="48">
    <mergeCell ref="N14:P14"/>
    <mergeCell ref="J7:L7"/>
    <mergeCell ref="N7:P7"/>
    <mergeCell ref="A6:A7"/>
    <mergeCell ref="C15:E15"/>
    <mergeCell ref="J10:L10"/>
    <mergeCell ref="J11:L11"/>
    <mergeCell ref="J12:L12"/>
    <mergeCell ref="A16:A17"/>
    <mergeCell ref="N17:P17"/>
    <mergeCell ref="N10:P10"/>
    <mergeCell ref="J8:L8"/>
    <mergeCell ref="J9:L9"/>
    <mergeCell ref="A8:A10"/>
    <mergeCell ref="A11:A12"/>
    <mergeCell ref="N8:P9"/>
    <mergeCell ref="C13:E13"/>
    <mergeCell ref="A14:A15"/>
    <mergeCell ref="C14:E14"/>
    <mergeCell ref="C8:C9"/>
    <mergeCell ref="N11:P11"/>
    <mergeCell ref="N13:P13"/>
    <mergeCell ref="N15:P15"/>
    <mergeCell ref="N12:P12"/>
    <mergeCell ref="C16:E16"/>
    <mergeCell ref="N16:P16"/>
    <mergeCell ref="C18:E18"/>
    <mergeCell ref="N19:P19"/>
    <mergeCell ref="C17:E17"/>
    <mergeCell ref="N18:P18"/>
    <mergeCell ref="C19:E19"/>
    <mergeCell ref="D1:G1"/>
    <mergeCell ref="J4:L4"/>
    <mergeCell ref="J5:L5"/>
    <mergeCell ref="N5:P5"/>
    <mergeCell ref="J6:L6"/>
    <mergeCell ref="N6:P6"/>
    <mergeCell ref="A18:A19"/>
    <mergeCell ref="N22:P22"/>
    <mergeCell ref="A22:B22"/>
    <mergeCell ref="C22:E22"/>
    <mergeCell ref="A20:A21"/>
    <mergeCell ref="F22:J22"/>
    <mergeCell ref="L22:M22"/>
    <mergeCell ref="C21:E21"/>
    <mergeCell ref="N21:P21"/>
    <mergeCell ref="N20:P20"/>
    <mergeCell ref="C20:E20"/>
  </mergeCells>
  <phoneticPr fontId="26" type="noConversion"/>
  <pageMargins left="0.28999999999999998" right="0.16" top="0.42" bottom="1" header="0.5" footer="0.5"/>
  <pageSetup paperSize="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P23"/>
  <sheetViews>
    <sheetView workbookViewId="0">
      <selection activeCell="G13" sqref="G13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8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3</v>
      </c>
    </row>
    <row r="3" spans="1:16">
      <c r="M3" s="287" t="s">
        <v>186</v>
      </c>
      <c r="N3" s="76">
        <v>10</v>
      </c>
      <c r="O3" s="76">
        <v>6</v>
      </c>
    </row>
    <row r="4" spans="1:16">
      <c r="A4" s="234" t="s">
        <v>187</v>
      </c>
      <c r="B4" s="234"/>
      <c r="C4" s="235">
        <v>41513</v>
      </c>
      <c r="D4" s="236" t="s">
        <v>240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20.25" customHeight="1">
      <c r="A6" s="1067" t="s">
        <v>204</v>
      </c>
      <c r="B6" s="244" t="s">
        <v>205</v>
      </c>
      <c r="C6" s="244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59"/>
      <c r="I6" s="289" t="e">
        <f>#REF!</f>
        <v>#REF!</v>
      </c>
      <c r="J6" s="1064" t="e">
        <f>#REF!</f>
        <v>#REF!</v>
      </c>
      <c r="K6" s="1156"/>
      <c r="L6" s="1157"/>
      <c r="M6" s="227">
        <v>7.09</v>
      </c>
      <c r="N6" s="1090"/>
      <c r="O6" s="1245"/>
      <c r="P6" s="1246"/>
    </row>
    <row r="7" spans="1:16" ht="15" customHeight="1">
      <c r="A7" s="1075"/>
      <c r="B7" s="260" t="s">
        <v>207</v>
      </c>
      <c r="C7" s="268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78"/>
      <c r="O7" s="1079"/>
      <c r="P7" s="1080"/>
    </row>
    <row r="8" spans="1:16" ht="15.75" customHeight="1">
      <c r="A8" s="1067" t="s">
        <v>208</v>
      </c>
      <c r="B8" s="93" t="s">
        <v>205</v>
      </c>
      <c r="C8" s="304" t="s">
        <v>209</v>
      </c>
      <c r="D8" s="134"/>
      <c r="E8" s="265"/>
      <c r="F8" s="134"/>
      <c r="G8" s="266"/>
      <c r="H8" s="267"/>
      <c r="I8" s="291"/>
      <c r="J8" s="1072"/>
      <c r="K8" s="1073"/>
      <c r="L8" s="1074"/>
      <c r="M8" s="292"/>
      <c r="N8" s="1087"/>
      <c r="O8" s="1088"/>
      <c r="P8" s="1089"/>
    </row>
    <row r="9" spans="1:16" ht="14.25" customHeight="1">
      <c r="A9" s="1068"/>
      <c r="B9" s="260" t="s">
        <v>207</v>
      </c>
      <c r="C9" s="268" t="s">
        <v>209</v>
      </c>
      <c r="D9" s="260"/>
      <c r="E9" s="261"/>
      <c r="F9" s="261"/>
      <c r="G9" s="269"/>
      <c r="H9" s="263"/>
      <c r="I9" s="293"/>
      <c r="J9" s="1069"/>
      <c r="K9" s="1070"/>
      <c r="L9" s="1071"/>
      <c r="M9" s="290"/>
      <c r="N9" s="1078"/>
      <c r="O9" s="1079"/>
      <c r="P9" s="1080"/>
    </row>
    <row r="10" spans="1:16" ht="15" customHeight="1">
      <c r="A10" s="1067" t="s">
        <v>210</v>
      </c>
      <c r="B10" s="244" t="s">
        <v>205</v>
      </c>
      <c r="C10" s="304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282"/>
      <c r="O10" s="1283"/>
      <c r="P10" s="1283"/>
    </row>
    <row r="11" spans="1:16" ht="15" customHeight="1">
      <c r="A11" s="1068"/>
      <c r="B11" s="260" t="s">
        <v>207</v>
      </c>
      <c r="C11" s="268" t="s">
        <v>209</v>
      </c>
      <c r="D11" s="261"/>
      <c r="E11" s="261"/>
      <c r="F11" s="261"/>
      <c r="G11" s="270"/>
      <c r="H11" s="263"/>
      <c r="I11" s="270" t="s">
        <v>206</v>
      </c>
      <c r="J11" s="1069"/>
      <c r="K11" s="1070"/>
      <c r="L11" s="1071"/>
      <c r="M11" s="290"/>
      <c r="N11" s="1078"/>
      <c r="O11" s="1079"/>
      <c r="P11" s="1080"/>
    </row>
    <row r="12" spans="1:16" ht="15" customHeight="1">
      <c r="A12" s="1067" t="s">
        <v>211</v>
      </c>
      <c r="B12" s="244" t="s">
        <v>205</v>
      </c>
      <c r="C12" s="304" t="s">
        <v>209</v>
      </c>
      <c r="D12" s="93" t="s">
        <v>206</v>
      </c>
      <c r="E12" s="134" t="s">
        <v>206</v>
      </c>
      <c r="F12" s="134" t="s">
        <v>206</v>
      </c>
      <c r="G12" s="266"/>
      <c r="H12" s="267"/>
      <c r="I12" s="291"/>
      <c r="J12" s="1072"/>
      <c r="K12" s="1073"/>
      <c r="L12" s="1074"/>
      <c r="M12" s="292"/>
      <c r="N12" s="1098"/>
      <c r="O12" s="1099"/>
      <c r="P12" s="1100"/>
    </row>
    <row r="13" spans="1:16" ht="15" customHeight="1">
      <c r="A13" s="1068"/>
      <c r="B13" s="260" t="s">
        <v>207</v>
      </c>
      <c r="C13" s="268" t="s">
        <v>209</v>
      </c>
      <c r="D13" s="261"/>
      <c r="E13" s="261"/>
      <c r="F13" s="261"/>
      <c r="G13" s="270"/>
      <c r="H13" s="263"/>
      <c r="I13" s="270"/>
      <c r="J13" s="1069"/>
      <c r="K13" s="1070"/>
      <c r="L13" s="1071"/>
      <c r="M13" s="290"/>
      <c r="N13" s="1078"/>
      <c r="O13" s="1079"/>
      <c r="P13" s="1080"/>
    </row>
    <row r="14" spans="1:16" s="76" customFormat="1" ht="46.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15" customHeight="1">
      <c r="A15" s="1126" t="s">
        <v>291</v>
      </c>
      <c r="B15" s="84" t="s">
        <v>205</v>
      </c>
      <c r="C15" s="1104" t="s">
        <v>209</v>
      </c>
      <c r="D15" s="1105"/>
      <c r="E15" s="1106"/>
      <c r="F15" s="272"/>
      <c r="G15" s="244"/>
      <c r="H15" s="273"/>
      <c r="I15" s="259"/>
      <c r="J15" s="258"/>
      <c r="K15" s="258"/>
      <c r="L15" s="297"/>
      <c r="M15" s="298"/>
      <c r="N15" s="1139"/>
      <c r="O15" s="1140"/>
      <c r="P15" s="1141"/>
    </row>
    <row r="16" spans="1:16" ht="17.25" customHeight="1">
      <c r="A16" s="1127"/>
      <c r="B16" s="274" t="s">
        <v>207</v>
      </c>
      <c r="C16" s="1107" t="s">
        <v>209</v>
      </c>
      <c r="D16" s="1108"/>
      <c r="E16" s="1109"/>
      <c r="F16" s="277"/>
      <c r="G16" s="260"/>
      <c r="H16" s="278"/>
      <c r="I16" s="263"/>
      <c r="J16" s="262"/>
      <c r="K16" s="262"/>
      <c r="L16" s="300"/>
      <c r="M16" s="301"/>
      <c r="N16" s="1130"/>
      <c r="O16" s="1131"/>
      <c r="P16" s="1132"/>
    </row>
    <row r="17" spans="1:16" ht="20.100000000000001" customHeight="1">
      <c r="A17" s="1126" t="s">
        <v>223</v>
      </c>
      <c r="B17" s="244" t="s">
        <v>205</v>
      </c>
      <c r="C17" s="1161" t="e">
        <f>#REF!</f>
        <v>#REF!</v>
      </c>
      <c r="D17" s="1162"/>
      <c r="E17" s="1163"/>
      <c r="F17" s="279" t="s">
        <v>234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4.05</v>
      </c>
      <c r="N17" s="1139" t="e">
        <f>#REF!</f>
        <v>#REF!</v>
      </c>
      <c r="O17" s="1140"/>
      <c r="P17" s="1141"/>
    </row>
    <row r="18" spans="1:16" ht="20.100000000000001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234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10.029999999999999</v>
      </c>
      <c r="N18" s="1142"/>
      <c r="O18" s="1145"/>
      <c r="P18" s="1146"/>
    </row>
    <row r="19" spans="1:16" ht="15" customHeight="1">
      <c r="A19" s="1124" t="s">
        <v>225</v>
      </c>
      <c r="B19" s="244" t="s">
        <v>205</v>
      </c>
      <c r="C19" s="1104" t="s">
        <v>209</v>
      </c>
      <c r="D19" s="1105"/>
      <c r="E19" s="1106"/>
      <c r="F19" s="85"/>
      <c r="G19" s="273"/>
      <c r="H19" s="259"/>
      <c r="I19" s="258"/>
      <c r="J19" s="302"/>
      <c r="K19" s="315"/>
      <c r="L19" s="227"/>
      <c r="M19" s="312"/>
      <c r="N19" s="1265"/>
      <c r="O19" s="1281"/>
      <c r="P19" s="1281"/>
    </row>
    <row r="20" spans="1:16" ht="27.95" customHeight="1">
      <c r="A20" s="1125"/>
      <c r="B20" s="260" t="s">
        <v>207</v>
      </c>
      <c r="C20" s="1121" t="e">
        <f>#REF!</f>
        <v>#REF!</v>
      </c>
      <c r="D20" s="1122"/>
      <c r="E20" s="1123"/>
      <c r="F20" s="282" t="s">
        <v>292</v>
      </c>
      <c r="G20" s="260" t="e">
        <f>#REF!</f>
        <v>#REF!</v>
      </c>
      <c r="H20" s="263"/>
      <c r="I20" s="263" t="e">
        <f>#REF!</f>
        <v>#REF!</v>
      </c>
      <c r="J20" s="262" t="e">
        <f>#REF!</f>
        <v>#REF!</v>
      </c>
      <c r="K20" s="262" t="e">
        <f>#REF!</f>
        <v>#REF!</v>
      </c>
      <c r="L20" s="300" t="e">
        <f>#REF!</f>
        <v>#REF!</v>
      </c>
      <c r="M20" s="301">
        <v>2.4300000000000002</v>
      </c>
      <c r="N20" s="1166"/>
      <c r="O20" s="1167"/>
      <c r="P20" s="1168"/>
    </row>
    <row r="21" spans="1:16" ht="27.95" customHeight="1">
      <c r="A21" s="1124" t="s">
        <v>235</v>
      </c>
      <c r="B21" s="244" t="s">
        <v>205</v>
      </c>
      <c r="C21" s="1278" t="e">
        <f>#REF!</f>
        <v>#REF!</v>
      </c>
      <c r="D21" s="1279"/>
      <c r="E21" s="1280"/>
      <c r="F21" s="85" t="s">
        <v>299</v>
      </c>
      <c r="G21" s="273" t="e">
        <f>#REF!</f>
        <v>#REF!</v>
      </c>
      <c r="H21" s="259"/>
      <c r="I21" s="289" t="e">
        <f>#REF!</f>
        <v>#REF!</v>
      </c>
      <c r="J21" s="258" t="e">
        <f>#REF!</f>
        <v>#REF!</v>
      </c>
      <c r="K21" s="258" t="e">
        <f>#REF!</f>
        <v>#REF!</v>
      </c>
      <c r="L21" s="227" t="e">
        <f>#REF!</f>
        <v>#REF!</v>
      </c>
      <c r="M21" s="313">
        <v>3.46</v>
      </c>
      <c r="N21" s="1136" t="e">
        <f>#REF!</f>
        <v>#REF!</v>
      </c>
      <c r="O21" s="1137"/>
      <c r="P21" s="1138"/>
    </row>
    <row r="22" spans="1:16" ht="23.25" customHeight="1">
      <c r="A22" s="1125"/>
      <c r="B22" s="260" t="s">
        <v>207</v>
      </c>
      <c r="C22" s="1121" t="e">
        <f>#REF!</f>
        <v>#REF!</v>
      </c>
      <c r="D22" s="1122"/>
      <c r="E22" s="1123"/>
      <c r="F22" s="282" t="s">
        <v>299</v>
      </c>
      <c r="G22" s="260" t="e">
        <f>#REF!</f>
        <v>#REF!</v>
      </c>
      <c r="H22" s="263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301">
        <v>6.09</v>
      </c>
      <c r="N22" s="1166"/>
      <c r="O22" s="1167"/>
      <c r="P22" s="1168"/>
    </row>
    <row r="23" spans="1:16" ht="17.25" customHeight="1">
      <c r="A23" s="1110" t="s">
        <v>227</v>
      </c>
      <c r="B23" s="1111"/>
      <c r="C23" s="1112" t="s">
        <v>293</v>
      </c>
      <c r="D23" s="1113"/>
      <c r="E23" s="1114"/>
      <c r="F23" s="1118" t="s">
        <v>294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C14:E14"/>
    <mergeCell ref="C15:E15"/>
    <mergeCell ref="A23:B23"/>
    <mergeCell ref="A15:A16"/>
    <mergeCell ref="A19:A20"/>
    <mergeCell ref="A21:A22"/>
    <mergeCell ref="A17:A18"/>
    <mergeCell ref="C22:E22"/>
    <mergeCell ref="N15:P15"/>
    <mergeCell ref="N18:P18"/>
    <mergeCell ref="N17:P17"/>
    <mergeCell ref="A6:A7"/>
    <mergeCell ref="A8:A9"/>
    <mergeCell ref="A10:A11"/>
    <mergeCell ref="A12:A13"/>
    <mergeCell ref="J9:L9"/>
    <mergeCell ref="N9:P9"/>
    <mergeCell ref="J12:L12"/>
    <mergeCell ref="N14:P14"/>
    <mergeCell ref="N10:P10"/>
    <mergeCell ref="J10:L10"/>
    <mergeCell ref="J13:L13"/>
    <mergeCell ref="N13:P13"/>
    <mergeCell ref="J11:L11"/>
    <mergeCell ref="N19:P19"/>
    <mergeCell ref="C19:E19"/>
    <mergeCell ref="N20:P20"/>
    <mergeCell ref="N16:P16"/>
    <mergeCell ref="C20:E20"/>
    <mergeCell ref="C16:E16"/>
    <mergeCell ref="C18:E18"/>
    <mergeCell ref="C17:E17"/>
    <mergeCell ref="N23:P23"/>
    <mergeCell ref="C23:E23"/>
    <mergeCell ref="N21:P21"/>
    <mergeCell ref="L23:M23"/>
    <mergeCell ref="N22:P22"/>
    <mergeCell ref="C21:E21"/>
    <mergeCell ref="F23:J23"/>
    <mergeCell ref="N11:P11"/>
    <mergeCell ref="N12:P12"/>
    <mergeCell ref="D1:G1"/>
    <mergeCell ref="J4:L4"/>
    <mergeCell ref="J5:L5"/>
    <mergeCell ref="N5:P5"/>
    <mergeCell ref="J8:L8"/>
    <mergeCell ref="J6:L6"/>
    <mergeCell ref="N6:P6"/>
    <mergeCell ref="J7:L7"/>
    <mergeCell ref="N7:P7"/>
    <mergeCell ref="N8:P8"/>
  </mergeCells>
  <phoneticPr fontId="26" type="noConversion"/>
  <pageMargins left="0.32" right="0.16" top="0.56000000000000005" bottom="0.26" header="0.5" footer="0.5"/>
  <pageSetup paperSize="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O24"/>
  <sheetViews>
    <sheetView topLeftCell="E6" workbookViewId="0">
      <selection sqref="A1:O24"/>
    </sheetView>
  </sheetViews>
  <sheetFormatPr defaultRowHeight="16.5"/>
  <cols>
    <col min="3" max="3" width="9.5" bestFit="1" customWidth="1"/>
    <col min="4" max="4" width="7.625" customWidth="1"/>
    <col min="5" max="5" width="8.25" customWidth="1"/>
    <col min="9" max="9" width="8.25" customWidth="1"/>
    <col min="10" max="10" width="8.5" customWidth="1"/>
    <col min="11" max="11" width="8.375" customWidth="1"/>
  </cols>
  <sheetData>
    <row r="1" spans="1:15" ht="19.5">
      <c r="A1" s="75"/>
      <c r="B1" s="75"/>
      <c r="C1" s="75"/>
      <c r="D1" s="1093" t="s">
        <v>182</v>
      </c>
      <c r="E1" s="1093"/>
      <c r="F1" s="1093"/>
      <c r="G1" s="1093"/>
      <c r="H1" s="75"/>
      <c r="I1" s="75"/>
      <c r="J1" s="75"/>
      <c r="K1" s="75"/>
      <c r="L1" s="75"/>
      <c r="M1" s="76" t="s">
        <v>183</v>
      </c>
      <c r="N1" s="76" t="s">
        <v>184</v>
      </c>
      <c r="O1" s="233"/>
    </row>
    <row r="2" spans="1:15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286" t="s">
        <v>185</v>
      </c>
      <c r="M2" s="76">
        <v>3</v>
      </c>
      <c r="N2" s="76">
        <v>3</v>
      </c>
      <c r="O2" s="233"/>
    </row>
    <row r="3" spans="1:15">
      <c r="A3" s="75"/>
      <c r="B3" s="75"/>
      <c r="C3" s="75"/>
      <c r="D3" s="75"/>
      <c r="E3" s="75"/>
      <c r="F3" s="75"/>
      <c r="G3" s="75"/>
      <c r="H3" s="75"/>
      <c r="I3" s="75"/>
      <c r="J3" s="75"/>
      <c r="K3" s="75"/>
      <c r="L3" s="287" t="s">
        <v>186</v>
      </c>
      <c r="M3" s="76">
        <v>10</v>
      </c>
      <c r="N3" s="76">
        <v>6</v>
      </c>
      <c r="O3" s="233"/>
    </row>
    <row r="4" spans="1:15">
      <c r="A4" s="234" t="s">
        <v>187</v>
      </c>
      <c r="B4" s="234"/>
      <c r="C4" s="235">
        <v>41514</v>
      </c>
      <c r="D4" s="236" t="s">
        <v>244</v>
      </c>
      <c r="E4" s="115"/>
      <c r="F4" s="75"/>
      <c r="G4" s="238" t="s">
        <v>189</v>
      </c>
      <c r="H4" s="238"/>
      <c r="I4" s="1094"/>
      <c r="J4" s="1094"/>
      <c r="K4" s="1094"/>
      <c r="L4" s="287" t="s">
        <v>191</v>
      </c>
      <c r="M4" s="76">
        <v>1</v>
      </c>
      <c r="N4" s="76">
        <v>0</v>
      </c>
      <c r="O4" s="233"/>
    </row>
    <row r="5" spans="1:15" ht="33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47" t="s">
        <v>200</v>
      </c>
      <c r="I5" s="1095" t="s">
        <v>201</v>
      </c>
      <c r="J5" s="1065"/>
      <c r="K5" s="1066"/>
      <c r="L5" s="288" t="s">
        <v>202</v>
      </c>
      <c r="M5" s="1063" t="s">
        <v>203</v>
      </c>
      <c r="N5" s="1063"/>
      <c r="O5" s="1063"/>
    </row>
    <row r="6" spans="1:15">
      <c r="A6" s="1067" t="s">
        <v>204</v>
      </c>
      <c r="B6" s="1199" t="s">
        <v>205</v>
      </c>
      <c r="C6" s="1199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89" t="e">
        <f>#REF!</f>
        <v>#REF!</v>
      </c>
      <c r="I6" s="1064" t="e">
        <f>#REF!</f>
        <v>#REF!</v>
      </c>
      <c r="J6" s="1156"/>
      <c r="K6" s="1157"/>
      <c r="L6" s="227">
        <v>5.34</v>
      </c>
      <c r="M6" s="1090" t="e">
        <f>#REF!</f>
        <v>#REF!</v>
      </c>
      <c r="N6" s="1091"/>
      <c r="O6" s="1092"/>
    </row>
    <row r="7" spans="1:15">
      <c r="A7" s="1075"/>
      <c r="B7" s="1165"/>
      <c r="C7" s="1165"/>
      <c r="D7" s="244" t="e">
        <f>#REF!</f>
        <v>#REF!</v>
      </c>
      <c r="E7" s="84" t="e">
        <f>#REF!</f>
        <v>#REF!</v>
      </c>
      <c r="F7" s="84" t="e">
        <f>#REF!</f>
        <v>#REF!</v>
      </c>
      <c r="G7" s="258" t="e">
        <f>#REF!</f>
        <v>#REF!</v>
      </c>
      <c r="H7" s="289" t="e">
        <f>#REF!</f>
        <v>#REF!</v>
      </c>
      <c r="I7" s="1064" t="e">
        <f>#REF!</f>
        <v>#REF!</v>
      </c>
      <c r="J7" s="1156"/>
      <c r="K7" s="1157"/>
      <c r="L7" s="227">
        <v>2.59</v>
      </c>
      <c r="M7" s="1284"/>
      <c r="N7" s="1285"/>
      <c r="O7" s="1286"/>
    </row>
    <row r="8" spans="1:15">
      <c r="A8" s="1075"/>
      <c r="B8" s="260" t="s">
        <v>207</v>
      </c>
      <c r="C8" s="268" t="e">
        <f>#REF!</f>
        <v>#REF!</v>
      </c>
      <c r="D8" s="261" t="e">
        <f>#REF!</f>
        <v>#REF!</v>
      </c>
      <c r="E8" s="261" t="e">
        <f>#REF!</f>
        <v>#REF!</v>
      </c>
      <c r="F8" s="261" t="e">
        <f>#REF!</f>
        <v>#REF!</v>
      </c>
      <c r="G8" s="262" t="e">
        <f>#REF!</f>
        <v>#REF!</v>
      </c>
      <c r="H8" s="270" t="e">
        <f>#REF!</f>
        <v>#REF!</v>
      </c>
      <c r="I8" s="1069" t="e">
        <f>#REF!</f>
        <v>#REF!</v>
      </c>
      <c r="J8" s="1070"/>
      <c r="K8" s="1071"/>
      <c r="L8" s="290">
        <v>9.08</v>
      </c>
      <c r="M8" s="1078"/>
      <c r="N8" s="1079"/>
      <c r="O8" s="1080"/>
    </row>
    <row r="9" spans="1:15">
      <c r="A9" s="1067" t="s">
        <v>208</v>
      </c>
      <c r="B9" s="93" t="s">
        <v>205</v>
      </c>
      <c r="C9" s="304" t="s">
        <v>209</v>
      </c>
      <c r="D9" s="134"/>
      <c r="E9" s="265"/>
      <c r="F9" s="134"/>
      <c r="G9" s="266"/>
      <c r="H9" s="291"/>
      <c r="I9" s="1072"/>
      <c r="J9" s="1073"/>
      <c r="K9" s="1074"/>
      <c r="L9" s="292"/>
      <c r="M9" s="1087"/>
      <c r="N9" s="1088"/>
      <c r="O9" s="1089"/>
    </row>
    <row r="10" spans="1:15">
      <c r="A10" s="1068"/>
      <c r="B10" s="260" t="s">
        <v>207</v>
      </c>
      <c r="C10" s="268" t="s">
        <v>209</v>
      </c>
      <c r="D10" s="260"/>
      <c r="E10" s="261"/>
      <c r="F10" s="261"/>
      <c r="G10" s="269"/>
      <c r="H10" s="293"/>
      <c r="I10" s="1069"/>
      <c r="J10" s="1070"/>
      <c r="K10" s="1071"/>
      <c r="L10" s="290"/>
      <c r="M10" s="1078"/>
      <c r="N10" s="1079"/>
      <c r="O10" s="1080"/>
    </row>
    <row r="11" spans="1:15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91"/>
      <c r="I11" s="1072"/>
      <c r="J11" s="1073"/>
      <c r="K11" s="1074"/>
      <c r="L11" s="292"/>
      <c r="M11" s="1282"/>
      <c r="N11" s="1283"/>
      <c r="O11" s="1283"/>
    </row>
    <row r="12" spans="1:15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70" t="s">
        <v>206</v>
      </c>
      <c r="I12" s="1069"/>
      <c r="J12" s="1070"/>
      <c r="K12" s="1071"/>
      <c r="L12" s="290"/>
      <c r="M12" s="1078"/>
      <c r="N12" s="1079"/>
      <c r="O12" s="1080"/>
    </row>
    <row r="13" spans="1:15">
      <c r="A13" s="1067" t="s">
        <v>211</v>
      </c>
      <c r="B13" s="244" t="s">
        <v>205</v>
      </c>
      <c r="C13" s="304" t="s">
        <v>209</v>
      </c>
      <c r="D13" s="93" t="s">
        <v>206</v>
      </c>
      <c r="E13" s="134" t="s">
        <v>206</v>
      </c>
      <c r="F13" s="134" t="s">
        <v>206</v>
      </c>
      <c r="G13" s="266"/>
      <c r="H13" s="291"/>
      <c r="I13" s="1072"/>
      <c r="J13" s="1073"/>
      <c r="K13" s="1074"/>
      <c r="L13" s="292"/>
      <c r="M13" s="1098"/>
      <c r="N13" s="1099"/>
      <c r="O13" s="1100"/>
    </row>
    <row r="14" spans="1:15">
      <c r="A14" s="1068"/>
      <c r="B14" s="260" t="s">
        <v>207</v>
      </c>
      <c r="C14" s="268" t="s">
        <v>209</v>
      </c>
      <c r="D14" s="261"/>
      <c r="E14" s="261"/>
      <c r="F14" s="261"/>
      <c r="G14" s="270"/>
      <c r="H14" s="270"/>
      <c r="I14" s="1069"/>
      <c r="J14" s="1070"/>
      <c r="K14" s="1071"/>
      <c r="L14" s="290"/>
      <c r="M14" s="1078"/>
      <c r="N14" s="1079"/>
      <c r="O14" s="1080"/>
    </row>
    <row r="15" spans="1:15" ht="31.5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217</v>
      </c>
      <c r="I15" s="294" t="s">
        <v>218</v>
      </c>
      <c r="J15" s="294" t="s">
        <v>219</v>
      </c>
      <c r="K15" s="295" t="s">
        <v>201</v>
      </c>
      <c r="L15" s="257" t="s">
        <v>202</v>
      </c>
      <c r="M15" s="1133" t="s">
        <v>203</v>
      </c>
      <c r="N15" s="1134"/>
      <c r="O15" s="1135"/>
    </row>
    <row r="16" spans="1:15">
      <c r="A16" s="1126" t="s">
        <v>291</v>
      </c>
      <c r="B16" s="84" t="s">
        <v>205</v>
      </c>
      <c r="C16" s="1104" t="s">
        <v>209</v>
      </c>
      <c r="D16" s="1105"/>
      <c r="E16" s="1106"/>
      <c r="F16" s="272"/>
      <c r="G16" s="244"/>
      <c r="H16" s="259"/>
      <c r="I16" s="258"/>
      <c r="J16" s="258"/>
      <c r="K16" s="297"/>
      <c r="L16" s="298"/>
      <c r="M16" s="1139"/>
      <c r="N16" s="1140"/>
      <c r="O16" s="1141"/>
    </row>
    <row r="17" spans="1:15">
      <c r="A17" s="1127"/>
      <c r="B17" s="274" t="s">
        <v>207</v>
      </c>
      <c r="C17" s="1107" t="s">
        <v>209</v>
      </c>
      <c r="D17" s="1108"/>
      <c r="E17" s="1109"/>
      <c r="F17" s="277"/>
      <c r="G17" s="260"/>
      <c r="H17" s="263"/>
      <c r="I17" s="262"/>
      <c r="J17" s="262"/>
      <c r="K17" s="300"/>
      <c r="L17" s="301"/>
      <c r="M17" s="1130"/>
      <c r="N17" s="1131"/>
      <c r="O17" s="1132"/>
    </row>
    <row r="18" spans="1:15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279" t="s">
        <v>234</v>
      </c>
      <c r="G18" s="244" t="e">
        <f>#REF!</f>
        <v>#REF!</v>
      </c>
      <c r="H18" s="259" t="e">
        <f>#REF!</f>
        <v>#REF!</v>
      </c>
      <c r="I18" s="258" t="e">
        <f>#REF!</f>
        <v>#REF!</v>
      </c>
      <c r="J18" s="258" t="e">
        <f>#REF!</f>
        <v>#REF!</v>
      </c>
      <c r="K18" s="297" t="e">
        <f>#REF!</f>
        <v>#REF!</v>
      </c>
      <c r="L18" s="227">
        <v>8.42</v>
      </c>
      <c r="M18" s="1139" t="e">
        <f>#REF!</f>
        <v>#REF!</v>
      </c>
      <c r="N18" s="1140"/>
      <c r="O18" s="1141"/>
    </row>
    <row r="19" spans="1:15">
      <c r="A19" s="1127"/>
      <c r="B19" s="260" t="s">
        <v>207</v>
      </c>
      <c r="C19" s="1121" t="e">
        <f>#REF!</f>
        <v>#REF!</v>
      </c>
      <c r="D19" s="1122"/>
      <c r="E19" s="1123"/>
      <c r="F19" s="280" t="s">
        <v>234</v>
      </c>
      <c r="G19" s="260" t="e">
        <f>#REF!</f>
        <v>#REF!</v>
      </c>
      <c r="H19" s="263" t="e">
        <f>#REF!</f>
        <v>#REF!</v>
      </c>
      <c r="I19" s="262" t="e">
        <f>#REF!</f>
        <v>#REF!</v>
      </c>
      <c r="J19" s="262" t="e">
        <f>#REF!</f>
        <v>#REF!</v>
      </c>
      <c r="K19" s="300" t="e">
        <f>#REF!</f>
        <v>#REF!</v>
      </c>
      <c r="L19" s="290">
        <v>6.31</v>
      </c>
      <c r="M19" s="1142"/>
      <c r="N19" s="1145"/>
      <c r="O19" s="1146"/>
    </row>
    <row r="20" spans="1:15">
      <c r="A20" s="1124" t="s">
        <v>225</v>
      </c>
      <c r="B20" s="244" t="s">
        <v>205</v>
      </c>
      <c r="C20" s="1161" t="e">
        <f>#REF!</f>
        <v>#REF!</v>
      </c>
      <c r="D20" s="1162"/>
      <c r="E20" s="1163"/>
      <c r="F20" s="85" t="s">
        <v>292</v>
      </c>
      <c r="G20" s="273" t="e">
        <f>#REF!</f>
        <v>#REF!</v>
      </c>
      <c r="H20" s="289" t="e">
        <f>#REF!</f>
        <v>#REF!</v>
      </c>
      <c r="I20" s="258" t="e">
        <f>#REF!</f>
        <v>#REF!</v>
      </c>
      <c r="J20" s="311" t="e">
        <f>#REF!</f>
        <v>#REF!</v>
      </c>
      <c r="K20" s="297" t="e">
        <f>#REF!</f>
        <v>#REF!</v>
      </c>
      <c r="L20" s="312">
        <v>6.55</v>
      </c>
      <c r="M20" s="1265"/>
      <c r="N20" s="1281"/>
      <c r="O20" s="1281"/>
    </row>
    <row r="21" spans="1:15">
      <c r="A21" s="1125"/>
      <c r="B21" s="260" t="s">
        <v>207</v>
      </c>
      <c r="C21" s="1121" t="e">
        <f>#REF!</f>
        <v>#REF!</v>
      </c>
      <c r="D21" s="1122"/>
      <c r="E21" s="1123"/>
      <c r="F21" s="282" t="s">
        <v>292</v>
      </c>
      <c r="G21" s="260" t="e">
        <f>#REF!</f>
        <v>#REF!</v>
      </c>
      <c r="H21" s="263" t="e">
        <f>#REF!</f>
        <v>#REF!</v>
      </c>
      <c r="I21" s="262" t="e">
        <f>#REF!</f>
        <v>#REF!</v>
      </c>
      <c r="J21" s="262" t="e">
        <f>#REF!</f>
        <v>#REF!</v>
      </c>
      <c r="K21" s="300" t="e">
        <f>#REF!</f>
        <v>#REF!</v>
      </c>
      <c r="L21" s="301">
        <v>1.49</v>
      </c>
      <c r="M21" s="1166"/>
      <c r="N21" s="1167"/>
      <c r="O21" s="1168"/>
    </row>
    <row r="22" spans="1:15">
      <c r="A22" s="1124" t="s">
        <v>235</v>
      </c>
      <c r="B22" s="244" t="s">
        <v>205</v>
      </c>
      <c r="C22" s="1287" t="s">
        <v>209</v>
      </c>
      <c r="D22" s="1288"/>
      <c r="E22" s="1289"/>
      <c r="F22" s="85"/>
      <c r="G22" s="273"/>
      <c r="H22" s="289"/>
      <c r="I22" s="258"/>
      <c r="J22" s="258"/>
      <c r="K22" s="227"/>
      <c r="L22" s="313"/>
      <c r="M22" s="1136"/>
      <c r="N22" s="1137"/>
      <c r="O22" s="1138"/>
    </row>
    <row r="23" spans="1:15">
      <c r="A23" s="1125"/>
      <c r="B23" s="260" t="s">
        <v>207</v>
      </c>
      <c r="C23" s="1107" t="s">
        <v>209</v>
      </c>
      <c r="D23" s="1108"/>
      <c r="E23" s="1109"/>
      <c r="F23" s="282"/>
      <c r="G23" s="260"/>
      <c r="H23" s="263"/>
      <c r="I23" s="262"/>
      <c r="J23" s="262"/>
      <c r="K23" s="300"/>
      <c r="L23" s="301"/>
      <c r="M23" s="1166"/>
      <c r="N23" s="1167"/>
      <c r="O23" s="1168"/>
    </row>
    <row r="24" spans="1:15">
      <c r="A24" s="1110" t="s">
        <v>227</v>
      </c>
      <c r="B24" s="1111"/>
      <c r="C24" s="1112" t="s">
        <v>295</v>
      </c>
      <c r="D24" s="1113"/>
      <c r="E24" s="1114"/>
      <c r="F24" s="1118" t="s">
        <v>296</v>
      </c>
      <c r="G24" s="1119"/>
      <c r="H24" s="1119"/>
      <c r="I24" s="1120"/>
      <c r="J24" s="285"/>
      <c r="K24" s="1118"/>
      <c r="L24" s="1120"/>
      <c r="M24" s="1158"/>
      <c r="N24" s="1159"/>
      <c r="O24" s="1160"/>
    </row>
  </sheetData>
  <mergeCells count="54">
    <mergeCell ref="K24:L24"/>
    <mergeCell ref="M20:O20"/>
    <mergeCell ref="M19:O19"/>
    <mergeCell ref="M23:O23"/>
    <mergeCell ref="M21:O21"/>
    <mergeCell ref="A24:B24"/>
    <mergeCell ref="C24:E24"/>
    <mergeCell ref="I14:K14"/>
    <mergeCell ref="M14:O14"/>
    <mergeCell ref="A13:A14"/>
    <mergeCell ref="A20:A21"/>
    <mergeCell ref="A22:A23"/>
    <mergeCell ref="C22:E22"/>
    <mergeCell ref="C20:E20"/>
    <mergeCell ref="C21:E21"/>
    <mergeCell ref="A18:A19"/>
    <mergeCell ref="M24:O24"/>
    <mergeCell ref="M22:O22"/>
    <mergeCell ref="I13:K13"/>
    <mergeCell ref="M13:O13"/>
    <mergeCell ref="F24:I24"/>
    <mergeCell ref="B6:B7"/>
    <mergeCell ref="C6:C7"/>
    <mergeCell ref="C17:E17"/>
    <mergeCell ref="A16:A17"/>
    <mergeCell ref="C16:E16"/>
    <mergeCell ref="A6:A8"/>
    <mergeCell ref="A9:A10"/>
    <mergeCell ref="A11:A12"/>
    <mergeCell ref="M12:O12"/>
    <mergeCell ref="C23:E23"/>
    <mergeCell ref="M15:O15"/>
    <mergeCell ref="M17:O17"/>
    <mergeCell ref="M18:O18"/>
    <mergeCell ref="M16:O16"/>
    <mergeCell ref="C18:E18"/>
    <mergeCell ref="C19:E19"/>
    <mergeCell ref="C15:E15"/>
    <mergeCell ref="I12:K12"/>
    <mergeCell ref="D1:G1"/>
    <mergeCell ref="I4:K4"/>
    <mergeCell ref="I5:K5"/>
    <mergeCell ref="I11:K11"/>
    <mergeCell ref="I10:K10"/>
    <mergeCell ref="I8:K8"/>
    <mergeCell ref="I9:K9"/>
    <mergeCell ref="M5:O5"/>
    <mergeCell ref="I6:K6"/>
    <mergeCell ref="I7:K7"/>
    <mergeCell ref="M11:O11"/>
    <mergeCell ref="M10:O10"/>
    <mergeCell ref="M6:O7"/>
    <mergeCell ref="M8:O8"/>
    <mergeCell ref="M9:O9"/>
  </mergeCells>
  <phoneticPr fontId="26" type="noConversion"/>
  <pageMargins left="0.35" right="0.35" top="0.59" bottom="0.59" header="0.51" footer="0.51"/>
  <pageSetup paperSize="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O24"/>
  <sheetViews>
    <sheetView topLeftCell="D19" workbookViewId="0">
      <selection sqref="A1:O24"/>
    </sheetView>
  </sheetViews>
  <sheetFormatPr defaultRowHeight="16.5"/>
  <cols>
    <col min="3" max="3" width="9.5" bestFit="1" customWidth="1"/>
  </cols>
  <sheetData>
    <row r="1" spans="1:15" ht="19.5">
      <c r="A1" s="75"/>
      <c r="B1" s="75"/>
      <c r="C1" s="75"/>
      <c r="D1" s="1093" t="s">
        <v>182</v>
      </c>
      <c r="E1" s="1093"/>
      <c r="F1" s="1093"/>
      <c r="G1" s="1093"/>
      <c r="H1" s="75"/>
      <c r="I1" s="75"/>
      <c r="J1" s="75"/>
      <c r="K1" s="75"/>
      <c r="L1" s="75"/>
      <c r="M1" s="76" t="s">
        <v>183</v>
      </c>
      <c r="N1" s="76" t="s">
        <v>184</v>
      </c>
      <c r="O1" s="233"/>
    </row>
    <row r="2" spans="1:15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286" t="s">
        <v>185</v>
      </c>
      <c r="M2" s="76">
        <v>3</v>
      </c>
      <c r="N2" s="76">
        <v>3</v>
      </c>
      <c r="O2" s="233"/>
    </row>
    <row r="3" spans="1:15">
      <c r="A3" s="75"/>
      <c r="B3" s="75"/>
      <c r="C3" s="75"/>
      <c r="D3" s="75"/>
      <c r="E3" s="75"/>
      <c r="F3" s="75"/>
      <c r="G3" s="75"/>
      <c r="H3" s="75"/>
      <c r="I3" s="75"/>
      <c r="J3" s="75"/>
      <c r="K3" s="75"/>
      <c r="L3" s="287" t="s">
        <v>186</v>
      </c>
      <c r="M3" s="76">
        <v>10</v>
      </c>
      <c r="N3" s="76">
        <v>6</v>
      </c>
      <c r="O3" s="233"/>
    </row>
    <row r="4" spans="1:15">
      <c r="A4" s="234" t="s">
        <v>187</v>
      </c>
      <c r="B4" s="234"/>
      <c r="C4" s="235">
        <v>41515</v>
      </c>
      <c r="D4" s="236" t="s">
        <v>188</v>
      </c>
      <c r="E4" s="115"/>
      <c r="F4" s="75"/>
      <c r="G4" s="238" t="s">
        <v>189</v>
      </c>
      <c r="H4" s="238"/>
      <c r="I4" s="1094"/>
      <c r="J4" s="1094"/>
      <c r="K4" s="1094"/>
      <c r="L4" s="287" t="s">
        <v>191</v>
      </c>
      <c r="M4" s="76">
        <v>1</v>
      </c>
      <c r="N4" s="76">
        <v>0</v>
      </c>
      <c r="O4" s="233"/>
    </row>
    <row r="5" spans="1:15" ht="33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47" t="s">
        <v>200</v>
      </c>
      <c r="I5" s="1095" t="s">
        <v>201</v>
      </c>
      <c r="J5" s="1065"/>
      <c r="K5" s="1066"/>
      <c r="L5" s="288" t="s">
        <v>202</v>
      </c>
      <c r="M5" s="1063" t="s">
        <v>203</v>
      </c>
      <c r="N5" s="1063"/>
      <c r="O5" s="1063"/>
    </row>
    <row r="6" spans="1:15">
      <c r="A6" s="1067" t="s">
        <v>204</v>
      </c>
      <c r="B6" s="244" t="s">
        <v>205</v>
      </c>
      <c r="C6" s="244" t="e">
        <f>#REF!</f>
        <v>#REF!</v>
      </c>
      <c r="D6" s="244" t="e">
        <f>#REF!</f>
        <v>#REF!</v>
      </c>
      <c r="E6" s="84" t="e">
        <f>#REF!</f>
        <v>#REF!</v>
      </c>
      <c r="F6" s="84" t="e">
        <f>#REF!</f>
        <v>#REF!</v>
      </c>
      <c r="G6" s="258" t="e">
        <f>#REF!</f>
        <v>#REF!</v>
      </c>
      <c r="H6" s="289" t="e">
        <f>#REF!</f>
        <v>#REF!</v>
      </c>
      <c r="I6" s="1064" t="e">
        <f>#REF!</f>
        <v>#REF!</v>
      </c>
      <c r="J6" s="1156"/>
      <c r="K6" s="1157"/>
      <c r="L6" s="227">
        <v>9.23</v>
      </c>
      <c r="M6" s="1090"/>
      <c r="N6" s="1091"/>
      <c r="O6" s="1092"/>
    </row>
    <row r="7" spans="1:15">
      <c r="A7" s="1075"/>
      <c r="B7" s="260" t="s">
        <v>207</v>
      </c>
      <c r="C7" s="268" t="e">
        <f>#REF!</f>
        <v>#REF!</v>
      </c>
      <c r="D7" s="261" t="e">
        <f>#REF!</f>
        <v>#REF!</v>
      </c>
      <c r="E7" s="261" t="e">
        <f>#REF!</f>
        <v>#REF!</v>
      </c>
      <c r="F7" s="261" t="e">
        <f>#REF!</f>
        <v>#REF!</v>
      </c>
      <c r="G7" s="262" t="e">
        <f>#REF!</f>
        <v>#REF!</v>
      </c>
      <c r="H7" s="270" t="e">
        <f>#REF!</f>
        <v>#REF!</v>
      </c>
      <c r="I7" s="1069" t="e">
        <f>#REF!</f>
        <v>#REF!</v>
      </c>
      <c r="J7" s="1070"/>
      <c r="K7" s="1071"/>
      <c r="L7" s="290">
        <v>3.1</v>
      </c>
      <c r="M7" s="1078"/>
      <c r="N7" s="1079"/>
      <c r="O7" s="1080"/>
    </row>
    <row r="8" spans="1:15">
      <c r="A8" s="1067" t="s">
        <v>208</v>
      </c>
      <c r="B8" s="1180" t="s">
        <v>205</v>
      </c>
      <c r="C8" s="1297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91" t="e">
        <f>#REF!</f>
        <v>#REF!</v>
      </c>
      <c r="I8" s="1072" t="e">
        <f>#REF!</f>
        <v>#REF!</v>
      </c>
      <c r="J8" s="1073"/>
      <c r="K8" s="1074"/>
      <c r="L8" s="292">
        <v>5.59</v>
      </c>
      <c r="M8" s="1291"/>
      <c r="N8" s="1292"/>
      <c r="O8" s="1293"/>
    </row>
    <row r="9" spans="1:15">
      <c r="A9" s="1075"/>
      <c r="B9" s="1181"/>
      <c r="C9" s="1298"/>
      <c r="D9" s="306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91" t="e">
        <f>#REF!</f>
        <v>#REF!</v>
      </c>
      <c r="I9" s="1072" t="e">
        <f>#REF!</f>
        <v>#REF!</v>
      </c>
      <c r="J9" s="1073"/>
      <c r="K9" s="1074"/>
      <c r="L9" s="292">
        <v>1.21</v>
      </c>
      <c r="M9" s="1294"/>
      <c r="N9" s="1295"/>
      <c r="O9" s="1296"/>
    </row>
    <row r="10" spans="1:15">
      <c r="A10" s="1068"/>
      <c r="B10" s="260" t="s">
        <v>207</v>
      </c>
      <c r="C10" s="268" t="e">
        <f>#REF!</f>
        <v>#REF!</v>
      </c>
      <c r="D10" s="307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93" t="e">
        <f>#REF!</f>
        <v>#REF!</v>
      </c>
      <c r="I10" s="1069" t="e">
        <f>#REF!</f>
        <v>#REF!</v>
      </c>
      <c r="J10" s="1070"/>
      <c r="K10" s="1071"/>
      <c r="L10" s="290">
        <v>8.56</v>
      </c>
      <c r="M10" s="1078" t="e">
        <f>#REF!</f>
        <v>#REF!</v>
      </c>
      <c r="N10" s="1079"/>
      <c r="O10" s="1080"/>
    </row>
    <row r="11" spans="1:15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91"/>
      <c r="I11" s="1072"/>
      <c r="J11" s="1073"/>
      <c r="K11" s="1074"/>
      <c r="L11" s="292"/>
      <c r="M11" s="1290"/>
      <c r="N11" s="1290"/>
      <c r="O11" s="1290"/>
    </row>
    <row r="12" spans="1:15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70" t="s">
        <v>206</v>
      </c>
      <c r="I12" s="1069"/>
      <c r="J12" s="1070"/>
      <c r="K12" s="1071"/>
      <c r="L12" s="290"/>
      <c r="M12" s="1078"/>
      <c r="N12" s="1079"/>
      <c r="O12" s="1080"/>
    </row>
    <row r="13" spans="1:15">
      <c r="A13" s="1067" t="s">
        <v>211</v>
      </c>
      <c r="B13" s="244" t="s">
        <v>205</v>
      </c>
      <c r="C13" s="304" t="s">
        <v>209</v>
      </c>
      <c r="D13" s="93" t="s">
        <v>206</v>
      </c>
      <c r="E13" s="134" t="s">
        <v>206</v>
      </c>
      <c r="F13" s="134" t="s">
        <v>206</v>
      </c>
      <c r="G13" s="266"/>
      <c r="H13" s="291"/>
      <c r="I13" s="1072"/>
      <c r="J13" s="1073"/>
      <c r="K13" s="1074"/>
      <c r="L13" s="292"/>
      <c r="M13" s="1098"/>
      <c r="N13" s="1099"/>
      <c r="O13" s="1100"/>
    </row>
    <row r="14" spans="1:15">
      <c r="A14" s="1068"/>
      <c r="B14" s="260" t="s">
        <v>207</v>
      </c>
      <c r="C14" s="268" t="s">
        <v>209</v>
      </c>
      <c r="D14" s="261"/>
      <c r="E14" s="261"/>
      <c r="F14" s="261"/>
      <c r="G14" s="270"/>
      <c r="H14" s="270"/>
      <c r="I14" s="1069"/>
      <c r="J14" s="1070"/>
      <c r="K14" s="1071"/>
      <c r="L14" s="290"/>
      <c r="M14" s="1078"/>
      <c r="N14" s="1079"/>
      <c r="O14" s="1080"/>
    </row>
    <row r="15" spans="1:15" ht="31.5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217</v>
      </c>
      <c r="I15" s="294" t="s">
        <v>218</v>
      </c>
      <c r="J15" s="294" t="s">
        <v>219</v>
      </c>
      <c r="K15" s="295" t="s">
        <v>201</v>
      </c>
      <c r="L15" s="257" t="s">
        <v>202</v>
      </c>
      <c r="M15" s="1133" t="s">
        <v>203</v>
      </c>
      <c r="N15" s="1134"/>
      <c r="O15" s="1135"/>
    </row>
    <row r="16" spans="1:15">
      <c r="A16" s="1126" t="s">
        <v>291</v>
      </c>
      <c r="B16" s="84" t="s">
        <v>205</v>
      </c>
      <c r="C16" s="1104" t="s">
        <v>209</v>
      </c>
      <c r="D16" s="1105"/>
      <c r="E16" s="1106"/>
      <c r="F16" s="272"/>
      <c r="G16" s="244"/>
      <c r="H16" s="259"/>
      <c r="I16" s="258"/>
      <c r="J16" s="258"/>
      <c r="K16" s="297"/>
      <c r="L16" s="298"/>
      <c r="M16" s="1139"/>
      <c r="N16" s="1140"/>
      <c r="O16" s="1141"/>
    </row>
    <row r="17" spans="1:15">
      <c r="A17" s="1127"/>
      <c r="B17" s="274" t="s">
        <v>207</v>
      </c>
      <c r="C17" s="1107" t="s">
        <v>209</v>
      </c>
      <c r="D17" s="1108"/>
      <c r="E17" s="1109"/>
      <c r="F17" s="277"/>
      <c r="G17" s="260"/>
      <c r="H17" s="263"/>
      <c r="I17" s="262"/>
      <c r="J17" s="262"/>
      <c r="K17" s="300"/>
      <c r="L17" s="301"/>
      <c r="M17" s="1130"/>
      <c r="N17" s="1131"/>
      <c r="O17" s="1132"/>
    </row>
    <row r="18" spans="1:15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279" t="s">
        <v>234</v>
      </c>
      <c r="G18" s="244" t="e">
        <f>#REF!</f>
        <v>#REF!</v>
      </c>
      <c r="H18" s="259" t="e">
        <f>#REF!</f>
        <v>#REF!</v>
      </c>
      <c r="I18" s="258" t="e">
        <f>#REF!</f>
        <v>#REF!</v>
      </c>
      <c r="J18" s="258" t="e">
        <f>#REF!</f>
        <v>#REF!</v>
      </c>
      <c r="K18" s="297" t="e">
        <f>#REF!</f>
        <v>#REF!</v>
      </c>
      <c r="L18" s="227">
        <v>9.4700000000000006</v>
      </c>
      <c r="M18" s="1139"/>
      <c r="N18" s="1140"/>
      <c r="O18" s="1141"/>
    </row>
    <row r="19" spans="1:15">
      <c r="A19" s="1127"/>
      <c r="B19" s="260" t="s">
        <v>207</v>
      </c>
      <c r="C19" s="1121" t="e">
        <f>#REF!</f>
        <v>#REF!</v>
      </c>
      <c r="D19" s="1122"/>
      <c r="E19" s="1123"/>
      <c r="F19" s="280" t="s">
        <v>234</v>
      </c>
      <c r="G19" s="260" t="e">
        <f>#REF!</f>
        <v>#REF!</v>
      </c>
      <c r="H19" s="263" t="e">
        <f>#REF!</f>
        <v>#REF!</v>
      </c>
      <c r="I19" s="262" t="e">
        <f>#REF!</f>
        <v>#REF!</v>
      </c>
      <c r="J19" s="262" t="e">
        <f>#REF!</f>
        <v>#REF!</v>
      </c>
      <c r="K19" s="300" t="e">
        <f>#REF!</f>
        <v>#REF!</v>
      </c>
      <c r="L19" s="290">
        <v>11.41</v>
      </c>
      <c r="M19" s="1142"/>
      <c r="N19" s="1145"/>
      <c r="O19" s="1146"/>
    </row>
    <row r="20" spans="1:15">
      <c r="A20" s="1124" t="s">
        <v>225</v>
      </c>
      <c r="B20" s="244" t="s">
        <v>205</v>
      </c>
      <c r="C20" s="1104" t="s">
        <v>209</v>
      </c>
      <c r="D20" s="1105"/>
      <c r="E20" s="1106"/>
      <c r="F20" s="85"/>
      <c r="G20" s="273"/>
      <c r="H20" s="289"/>
      <c r="I20" s="258"/>
      <c r="J20" s="311"/>
      <c r="K20" s="297"/>
      <c r="L20" s="312"/>
      <c r="M20" s="1265"/>
      <c r="N20" s="1281"/>
      <c r="O20" s="1281"/>
    </row>
    <row r="21" spans="1:15">
      <c r="A21" s="1125"/>
      <c r="B21" s="260" t="s">
        <v>207</v>
      </c>
      <c r="C21" s="1107" t="s">
        <v>209</v>
      </c>
      <c r="D21" s="1108"/>
      <c r="E21" s="1109"/>
      <c r="F21" s="282"/>
      <c r="G21" s="260"/>
      <c r="H21" s="263"/>
      <c r="I21" s="262"/>
      <c r="J21" s="262"/>
      <c r="K21" s="300"/>
      <c r="L21" s="301"/>
      <c r="M21" s="1166"/>
      <c r="N21" s="1167"/>
      <c r="O21" s="1168"/>
    </row>
    <row r="22" spans="1:15" ht="27" customHeight="1">
      <c r="A22" s="1124" t="s">
        <v>235</v>
      </c>
      <c r="B22" s="244" t="s">
        <v>205</v>
      </c>
      <c r="C22" s="1278" t="e">
        <f>#REF!</f>
        <v>#REF!</v>
      </c>
      <c r="D22" s="1279"/>
      <c r="E22" s="1280"/>
      <c r="F22" s="85" t="s">
        <v>161</v>
      </c>
      <c r="G22" s="273" t="e">
        <f>#REF!</f>
        <v>#REF!</v>
      </c>
      <c r="H22" s="289" t="e">
        <f>#REF!</f>
        <v>#REF!</v>
      </c>
      <c r="I22" s="258" t="e">
        <f>#REF!</f>
        <v>#REF!</v>
      </c>
      <c r="J22" s="258" t="e">
        <f>#REF!</f>
        <v>#REF!</v>
      </c>
      <c r="K22" s="297" t="e">
        <f>#REF!</f>
        <v>#REF!</v>
      </c>
      <c r="L22" s="313">
        <v>4.2300000000000004</v>
      </c>
      <c r="M22" s="1136" t="e">
        <f>#REF!</f>
        <v>#REF!</v>
      </c>
      <c r="N22" s="1137"/>
      <c r="O22" s="1138"/>
    </row>
    <row r="23" spans="1:15">
      <c r="A23" s="1125"/>
      <c r="B23" s="260" t="s">
        <v>207</v>
      </c>
      <c r="C23" s="1121" t="e">
        <f>#REF!</f>
        <v>#REF!</v>
      </c>
      <c r="D23" s="1122"/>
      <c r="E23" s="1123"/>
      <c r="F23" s="282" t="s">
        <v>161</v>
      </c>
      <c r="G23" s="260" t="e">
        <f>#REF!</f>
        <v>#REF!</v>
      </c>
      <c r="H23" s="263" t="e">
        <f>#REF!</f>
        <v>#REF!</v>
      </c>
      <c r="I23" s="262" t="e">
        <f>#REF!</f>
        <v>#REF!</v>
      </c>
      <c r="J23" s="262" t="e">
        <f>#REF!</f>
        <v>#REF!</v>
      </c>
      <c r="K23" s="300" t="e">
        <f>#REF!</f>
        <v>#REF!</v>
      </c>
      <c r="L23" s="301">
        <v>9.07</v>
      </c>
      <c r="M23" s="1166"/>
      <c r="N23" s="1167"/>
      <c r="O23" s="1168"/>
    </row>
    <row r="24" spans="1:15">
      <c r="A24" s="1110" t="s">
        <v>227</v>
      </c>
      <c r="B24" s="1111"/>
      <c r="C24" s="1112" t="s">
        <v>297</v>
      </c>
      <c r="D24" s="1113"/>
      <c r="E24" s="1114"/>
      <c r="F24" s="1118" t="s">
        <v>48</v>
      </c>
      <c r="G24" s="1119"/>
      <c r="H24" s="1119"/>
      <c r="I24" s="1120"/>
      <c r="J24" s="285"/>
      <c r="K24" s="1118"/>
      <c r="L24" s="1120"/>
      <c r="M24" s="1158"/>
      <c r="N24" s="1159"/>
      <c r="O24" s="1160"/>
    </row>
  </sheetData>
  <mergeCells count="54">
    <mergeCell ref="M24:O24"/>
    <mergeCell ref="M21:O21"/>
    <mergeCell ref="K24:L24"/>
    <mergeCell ref="F24:I24"/>
    <mergeCell ref="C24:E24"/>
    <mergeCell ref="C21:E21"/>
    <mergeCell ref="C23:E23"/>
    <mergeCell ref="M23:O23"/>
    <mergeCell ref="M22:O22"/>
    <mergeCell ref="A6:A7"/>
    <mergeCell ref="B8:B9"/>
    <mergeCell ref="C8:C9"/>
    <mergeCell ref="A8:A10"/>
    <mergeCell ref="A24:B24"/>
    <mergeCell ref="C22:E22"/>
    <mergeCell ref="A22:A23"/>
    <mergeCell ref="A11:A12"/>
    <mergeCell ref="C16:E16"/>
    <mergeCell ref="C15:E15"/>
    <mergeCell ref="A18:A19"/>
    <mergeCell ref="A20:A21"/>
    <mergeCell ref="C20:E20"/>
    <mergeCell ref="A16:A17"/>
    <mergeCell ref="A13:A14"/>
    <mergeCell ref="C18:E18"/>
    <mergeCell ref="M20:O20"/>
    <mergeCell ref="M17:O17"/>
    <mergeCell ref="M19:O19"/>
    <mergeCell ref="M18:O18"/>
    <mergeCell ref="M6:O6"/>
    <mergeCell ref="M7:O7"/>
    <mergeCell ref="C19:E19"/>
    <mergeCell ref="M16:O16"/>
    <mergeCell ref="M15:O15"/>
    <mergeCell ref="I12:K12"/>
    <mergeCell ref="M14:O14"/>
    <mergeCell ref="M13:O13"/>
    <mergeCell ref="I13:K13"/>
    <mergeCell ref="C17:E17"/>
    <mergeCell ref="I14:K14"/>
    <mergeCell ref="D1:G1"/>
    <mergeCell ref="I4:K4"/>
    <mergeCell ref="I5:K5"/>
    <mergeCell ref="M5:O5"/>
    <mergeCell ref="M12:O12"/>
    <mergeCell ref="I7:K7"/>
    <mergeCell ref="M10:O10"/>
    <mergeCell ref="I6:K6"/>
    <mergeCell ref="M11:O11"/>
    <mergeCell ref="M8:O9"/>
    <mergeCell ref="I8:K8"/>
    <mergeCell ref="I10:K10"/>
    <mergeCell ref="I11:K11"/>
    <mergeCell ref="I9:K9"/>
  </mergeCells>
  <phoneticPr fontId="26" type="noConversion"/>
  <pageMargins left="0.35" right="0.35" top="0.59" bottom="0.59" header="0.51" footer="0.51"/>
  <pageSetup paperSize="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O25"/>
  <sheetViews>
    <sheetView topLeftCell="B7" workbookViewId="0">
      <selection activeCell="C27" sqref="C27"/>
    </sheetView>
  </sheetViews>
  <sheetFormatPr defaultRowHeight="16.5"/>
  <cols>
    <col min="3" max="3" width="9.5" bestFit="1" customWidth="1"/>
    <col min="7" max="7" width="10.75" customWidth="1"/>
    <col min="10" max="10" width="9.75" bestFit="1" customWidth="1"/>
  </cols>
  <sheetData>
    <row r="1" spans="1:15" ht="19.5">
      <c r="A1" s="75"/>
      <c r="B1" s="75"/>
      <c r="C1" s="75"/>
      <c r="D1" s="1093" t="s">
        <v>182</v>
      </c>
      <c r="E1" s="1093"/>
      <c r="F1" s="1093"/>
      <c r="G1" s="1093"/>
      <c r="H1" s="75"/>
      <c r="I1" s="75"/>
      <c r="J1" s="75"/>
      <c r="K1" s="75"/>
      <c r="L1" s="75"/>
      <c r="M1" s="76" t="s">
        <v>183</v>
      </c>
      <c r="N1" s="76" t="s">
        <v>184</v>
      </c>
      <c r="O1" s="233"/>
    </row>
    <row r="2" spans="1:15">
      <c r="A2" s="75"/>
      <c r="B2" s="75"/>
      <c r="C2" s="75"/>
      <c r="D2" s="75"/>
      <c r="E2" s="75"/>
      <c r="F2" s="75"/>
      <c r="G2" s="75"/>
      <c r="H2" s="75"/>
      <c r="I2" s="75"/>
      <c r="J2" s="75"/>
      <c r="K2" s="75"/>
      <c r="L2" s="286" t="s">
        <v>185</v>
      </c>
      <c r="M2" s="76">
        <v>3</v>
      </c>
      <c r="N2" s="76">
        <v>3</v>
      </c>
      <c r="O2" s="233"/>
    </row>
    <row r="3" spans="1:15">
      <c r="A3" s="75"/>
      <c r="B3" s="75"/>
      <c r="C3" s="75"/>
      <c r="D3" s="75"/>
      <c r="E3" s="75"/>
      <c r="F3" s="75"/>
      <c r="G3" s="75"/>
      <c r="H3" s="75"/>
      <c r="I3" s="75"/>
      <c r="J3" s="75"/>
      <c r="K3" s="75"/>
      <c r="L3" s="287" t="s">
        <v>186</v>
      </c>
      <c r="M3" s="76">
        <v>9</v>
      </c>
      <c r="N3" s="76">
        <v>6</v>
      </c>
      <c r="O3" s="233"/>
    </row>
    <row r="4" spans="1:15">
      <c r="A4" s="234" t="s">
        <v>187</v>
      </c>
      <c r="B4" s="234"/>
      <c r="C4" s="235">
        <v>41516</v>
      </c>
      <c r="D4" s="236" t="s">
        <v>248</v>
      </c>
      <c r="E4" s="115"/>
      <c r="F4" s="75"/>
      <c r="G4" s="238" t="s">
        <v>189</v>
      </c>
      <c r="H4" s="238"/>
      <c r="I4" s="1094"/>
      <c r="J4" s="1094"/>
      <c r="K4" s="1094"/>
      <c r="L4" s="287" t="s">
        <v>191</v>
      </c>
      <c r="M4" s="76">
        <v>1</v>
      </c>
      <c r="N4" s="76">
        <v>0</v>
      </c>
      <c r="O4" s="233"/>
    </row>
    <row r="5" spans="1:15" ht="33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47" t="s">
        <v>200</v>
      </c>
      <c r="I5" s="1095" t="s">
        <v>201</v>
      </c>
      <c r="J5" s="1065"/>
      <c r="K5" s="1066"/>
      <c r="L5" s="288" t="s">
        <v>202</v>
      </c>
      <c r="M5" s="1063" t="s">
        <v>203</v>
      </c>
      <c r="N5" s="1063"/>
      <c r="O5" s="1063"/>
    </row>
    <row r="6" spans="1:15">
      <c r="A6" s="1067" t="s">
        <v>204</v>
      </c>
      <c r="B6" s="244" t="s">
        <v>205</v>
      </c>
      <c r="C6" s="304" t="s">
        <v>209</v>
      </c>
      <c r="D6" s="244"/>
      <c r="E6" s="84"/>
      <c r="F6" s="84"/>
      <c r="G6" s="258"/>
      <c r="H6" s="289"/>
      <c r="I6" s="1064"/>
      <c r="J6" s="1156"/>
      <c r="K6" s="1157"/>
      <c r="L6" s="227"/>
      <c r="M6" s="1090"/>
      <c r="N6" s="1091"/>
      <c r="O6" s="1092"/>
    </row>
    <row r="7" spans="1:15">
      <c r="A7" s="1075"/>
      <c r="B7" s="260" t="s">
        <v>207</v>
      </c>
      <c r="C7" s="268" t="s">
        <v>209</v>
      </c>
      <c r="D7" s="261"/>
      <c r="E7" s="261"/>
      <c r="F7" s="261"/>
      <c r="G7" s="262"/>
      <c r="H7" s="270"/>
      <c r="I7" s="1069"/>
      <c r="J7" s="1070"/>
      <c r="K7" s="1071"/>
      <c r="L7" s="290"/>
      <c r="M7" s="1078"/>
      <c r="N7" s="1079"/>
      <c r="O7" s="1080"/>
    </row>
    <row r="8" spans="1:15" ht="21" customHeight="1">
      <c r="A8" s="1067" t="s">
        <v>208</v>
      </c>
      <c r="B8" s="1180" t="s">
        <v>205</v>
      </c>
      <c r="C8" s="1180" t="e">
        <f>#REF!</f>
        <v>#REF!</v>
      </c>
      <c r="D8" s="305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91" t="e">
        <f>#REF!</f>
        <v>#REF!</v>
      </c>
      <c r="I8" s="1072" t="e">
        <f>#REF!</f>
        <v>#REF!</v>
      </c>
      <c r="J8" s="1073"/>
      <c r="K8" s="1074"/>
      <c r="L8" s="292">
        <v>5.59</v>
      </c>
      <c r="M8" s="1291"/>
      <c r="N8" s="1292"/>
      <c r="O8" s="1293"/>
    </row>
    <row r="9" spans="1:15" ht="21" customHeight="1">
      <c r="A9" s="1075"/>
      <c r="B9" s="1181"/>
      <c r="C9" s="1181"/>
      <c r="D9" s="306" t="e">
        <f>#REF!</f>
        <v>#REF!</v>
      </c>
      <c r="E9" s="265" t="e">
        <f>#REF!</f>
        <v>#REF!</v>
      </c>
      <c r="F9" s="134" t="e">
        <f>#REF!</f>
        <v>#REF!</v>
      </c>
      <c r="G9" s="266" t="e">
        <f>#REF!</f>
        <v>#REF!</v>
      </c>
      <c r="H9" s="291" t="e">
        <f>#REF!</f>
        <v>#REF!</v>
      </c>
      <c r="I9" s="1072" t="e">
        <f>#REF!</f>
        <v>#REF!</v>
      </c>
      <c r="J9" s="1073"/>
      <c r="K9" s="1074"/>
      <c r="L9" s="292">
        <v>3.23</v>
      </c>
      <c r="M9" s="308"/>
      <c r="N9" s="309"/>
      <c r="O9" s="310"/>
    </row>
    <row r="10" spans="1:15" ht="22.7" customHeight="1">
      <c r="A10" s="1068"/>
      <c r="B10" s="260" t="s">
        <v>207</v>
      </c>
      <c r="C10" s="260" t="e">
        <f>#REF!</f>
        <v>#REF!</v>
      </c>
      <c r="D10" s="307" t="e">
        <f>#REF!</f>
        <v>#REF!</v>
      </c>
      <c r="E10" s="261" t="e">
        <f>#REF!</f>
        <v>#REF!</v>
      </c>
      <c r="F10" s="261" t="e">
        <f>#REF!</f>
        <v>#REF!</v>
      </c>
      <c r="G10" s="269" t="e">
        <f>#REF!</f>
        <v>#REF!</v>
      </c>
      <c r="H10" s="293" t="e">
        <f>#REF!</f>
        <v>#REF!</v>
      </c>
      <c r="I10" s="1069" t="e">
        <f>#REF!</f>
        <v>#REF!</v>
      </c>
      <c r="J10" s="1070"/>
      <c r="K10" s="1071"/>
      <c r="L10" s="290">
        <v>10.220000000000001</v>
      </c>
      <c r="M10" s="1078"/>
      <c r="N10" s="1079"/>
      <c r="O10" s="1080"/>
    </row>
    <row r="11" spans="1:15">
      <c r="A11" s="1067" t="s">
        <v>210</v>
      </c>
      <c r="B11" s="244" t="s">
        <v>205</v>
      </c>
      <c r="C11" s="304" t="s">
        <v>209</v>
      </c>
      <c r="D11" s="93"/>
      <c r="E11" s="134"/>
      <c r="F11" s="134"/>
      <c r="G11" s="266"/>
      <c r="H11" s="291"/>
      <c r="I11" s="1072"/>
      <c r="J11" s="1073"/>
      <c r="K11" s="1074"/>
      <c r="L11" s="292"/>
      <c r="M11" s="1290"/>
      <c r="N11" s="1290"/>
      <c r="O11" s="1290"/>
    </row>
    <row r="12" spans="1:15">
      <c r="A12" s="1068"/>
      <c r="B12" s="260" t="s">
        <v>207</v>
      </c>
      <c r="C12" s="268" t="s">
        <v>209</v>
      </c>
      <c r="D12" s="261"/>
      <c r="E12" s="261"/>
      <c r="F12" s="261"/>
      <c r="G12" s="270"/>
      <c r="H12" s="270" t="s">
        <v>206</v>
      </c>
      <c r="I12" s="1069"/>
      <c r="J12" s="1070"/>
      <c r="K12" s="1071"/>
      <c r="L12" s="290"/>
      <c r="M12" s="1078"/>
      <c r="N12" s="1079"/>
      <c r="O12" s="1080"/>
    </row>
    <row r="13" spans="1:15">
      <c r="A13" s="1067" t="s">
        <v>211</v>
      </c>
      <c r="B13" s="244" t="s">
        <v>205</v>
      </c>
      <c r="C13" s="304" t="s">
        <v>209</v>
      </c>
      <c r="D13" s="93" t="s">
        <v>206</v>
      </c>
      <c r="E13" s="134" t="s">
        <v>206</v>
      </c>
      <c r="F13" s="134" t="s">
        <v>206</v>
      </c>
      <c r="G13" s="266"/>
      <c r="H13" s="291"/>
      <c r="I13" s="1072"/>
      <c r="J13" s="1073"/>
      <c r="K13" s="1074"/>
      <c r="L13" s="292"/>
      <c r="M13" s="1098"/>
      <c r="N13" s="1099"/>
      <c r="O13" s="1100"/>
    </row>
    <row r="14" spans="1:15">
      <c r="A14" s="1068"/>
      <c r="B14" s="260" t="s">
        <v>207</v>
      </c>
      <c r="C14" s="268" t="s">
        <v>209</v>
      </c>
      <c r="D14" s="261"/>
      <c r="E14" s="261"/>
      <c r="F14" s="261"/>
      <c r="G14" s="270"/>
      <c r="H14" s="270"/>
      <c r="I14" s="1069"/>
      <c r="J14" s="1070"/>
      <c r="K14" s="1071"/>
      <c r="L14" s="290"/>
      <c r="M14" s="1078"/>
      <c r="N14" s="1079"/>
      <c r="O14" s="1080"/>
    </row>
    <row r="15" spans="1:15" ht="31.5">
      <c r="A15" s="84" t="s">
        <v>212</v>
      </c>
      <c r="B15" s="84" t="s">
        <v>193</v>
      </c>
      <c r="C15" s="1095" t="s">
        <v>213</v>
      </c>
      <c r="D15" s="1065"/>
      <c r="E15" s="1066"/>
      <c r="F15" s="257" t="s">
        <v>214</v>
      </c>
      <c r="G15" s="271" t="s">
        <v>215</v>
      </c>
      <c r="H15" s="257" t="s">
        <v>217</v>
      </c>
      <c r="I15" s="294" t="s">
        <v>218</v>
      </c>
      <c r="J15" s="294" t="s">
        <v>219</v>
      </c>
      <c r="K15" s="295" t="s">
        <v>201</v>
      </c>
      <c r="L15" s="257" t="s">
        <v>202</v>
      </c>
      <c r="M15" s="1133" t="s">
        <v>203</v>
      </c>
      <c r="N15" s="1134"/>
      <c r="O15" s="1135"/>
    </row>
    <row r="16" spans="1:15">
      <c r="A16" s="1126" t="s">
        <v>291</v>
      </c>
      <c r="B16" s="84" t="s">
        <v>205</v>
      </c>
      <c r="C16" s="1104" t="s">
        <v>209</v>
      </c>
      <c r="D16" s="1105"/>
      <c r="E16" s="1106"/>
      <c r="F16" s="272"/>
      <c r="G16" s="244"/>
      <c r="H16" s="259"/>
      <c r="I16" s="258"/>
      <c r="J16" s="258"/>
      <c r="K16" s="297"/>
      <c r="L16" s="298"/>
      <c r="M16" s="1139"/>
      <c r="N16" s="1140"/>
      <c r="O16" s="1141"/>
    </row>
    <row r="17" spans="1:15" ht="18" customHeight="1">
      <c r="A17" s="1127"/>
      <c r="B17" s="274" t="s">
        <v>207</v>
      </c>
      <c r="C17" s="1107" t="s">
        <v>209</v>
      </c>
      <c r="D17" s="1108"/>
      <c r="E17" s="1109"/>
      <c r="F17" s="277"/>
      <c r="G17" s="260"/>
      <c r="H17" s="263"/>
      <c r="I17" s="262"/>
      <c r="J17" s="262"/>
      <c r="K17" s="300"/>
      <c r="L17" s="301"/>
      <c r="M17" s="1130"/>
      <c r="N17" s="1131"/>
      <c r="O17" s="1132"/>
    </row>
    <row r="18" spans="1:15" ht="20.25" customHeight="1">
      <c r="A18" s="1126" t="s">
        <v>223</v>
      </c>
      <c r="B18" s="244" t="s">
        <v>205</v>
      </c>
      <c r="C18" s="1161" t="e">
        <f>#REF!</f>
        <v>#REF!</v>
      </c>
      <c r="D18" s="1162"/>
      <c r="E18" s="1163"/>
      <c r="F18" s="279" t="s">
        <v>234</v>
      </c>
      <c r="G18" s="244" t="e">
        <f>#REF!</f>
        <v>#REF!</v>
      </c>
      <c r="H18" s="259" t="e">
        <f>#REF!</f>
        <v>#REF!</v>
      </c>
      <c r="I18" s="258" t="e">
        <f>#REF!</f>
        <v>#REF!</v>
      </c>
      <c r="J18" s="258" t="e">
        <f>#REF!</f>
        <v>#REF!</v>
      </c>
      <c r="K18" s="297" t="e">
        <f>#REF!</f>
        <v>#REF!</v>
      </c>
      <c r="L18" s="227">
        <v>9.4700000000000006</v>
      </c>
      <c r="M18" s="1139"/>
      <c r="N18" s="1140"/>
      <c r="O18" s="1141"/>
    </row>
    <row r="19" spans="1:15" ht="20.25" customHeight="1">
      <c r="A19" s="1127"/>
      <c r="B19" s="260" t="s">
        <v>207</v>
      </c>
      <c r="C19" s="1121" t="e">
        <f>#REF!</f>
        <v>#REF!</v>
      </c>
      <c r="D19" s="1122"/>
      <c r="E19" s="1123"/>
      <c r="F19" s="280" t="s">
        <v>234</v>
      </c>
      <c r="G19" s="260" t="e">
        <f>#REF!</f>
        <v>#REF!</v>
      </c>
      <c r="H19" s="263" t="e">
        <f>#REF!</f>
        <v>#REF!</v>
      </c>
      <c r="I19" s="262" t="e">
        <f>#REF!</f>
        <v>#REF!</v>
      </c>
      <c r="J19" s="262" t="e">
        <f>#REF!</f>
        <v>#REF!</v>
      </c>
      <c r="K19" s="300" t="e">
        <f>#REF!</f>
        <v>#REF!</v>
      </c>
      <c r="L19" s="290">
        <v>10.199999999999999</v>
      </c>
      <c r="M19" s="1142"/>
      <c r="N19" s="1145"/>
      <c r="O19" s="1146"/>
    </row>
    <row r="20" spans="1:15" ht="20.25" customHeight="1">
      <c r="A20" s="1126" t="s">
        <v>225</v>
      </c>
      <c r="B20" s="244" t="s">
        <v>205</v>
      </c>
      <c r="C20" s="1104" t="s">
        <v>209</v>
      </c>
      <c r="D20" s="1105"/>
      <c r="E20" s="1106"/>
      <c r="F20" s="85"/>
      <c r="G20" s="273"/>
      <c r="H20" s="289"/>
      <c r="I20" s="258"/>
      <c r="J20" s="311"/>
      <c r="K20" s="297"/>
      <c r="L20" s="312"/>
      <c r="M20" s="1265"/>
      <c r="N20" s="1281"/>
      <c r="O20" s="1281"/>
    </row>
    <row r="21" spans="1:15" ht="20.25" customHeight="1">
      <c r="A21" s="1189"/>
      <c r="B21" s="1076" t="s">
        <v>207</v>
      </c>
      <c r="C21" s="1121" t="e">
        <f>#REF!</f>
        <v>#REF!</v>
      </c>
      <c r="D21" s="1122"/>
      <c r="E21" s="1123"/>
      <c r="F21" s="282" t="s">
        <v>161</v>
      </c>
      <c r="G21" s="261" t="e">
        <f>#REF!</f>
        <v>#REF!</v>
      </c>
      <c r="H21" s="263" t="e">
        <f>#REF!</f>
        <v>#REF!</v>
      </c>
      <c r="I21" s="262" t="e">
        <f>#REF!</f>
        <v>#REF!</v>
      </c>
      <c r="J21" s="262" t="e">
        <f>#REF!</f>
        <v>#REF!</v>
      </c>
      <c r="K21" s="300" t="e">
        <f>#REF!</f>
        <v>#REF!</v>
      </c>
      <c r="L21" s="301">
        <v>8.24</v>
      </c>
      <c r="M21" s="1299" t="e">
        <f>#REF!</f>
        <v>#REF!</v>
      </c>
      <c r="N21" s="1300"/>
      <c r="O21" s="1301"/>
    </row>
    <row r="22" spans="1:15" ht="20.25" customHeight="1">
      <c r="A22" s="1127"/>
      <c r="B22" s="1077"/>
      <c r="C22" s="1164" t="e">
        <f>#REF!</f>
        <v>#REF!</v>
      </c>
      <c r="D22" s="1151"/>
      <c r="E22" s="1152"/>
      <c r="F22" s="282" t="s">
        <v>274</v>
      </c>
      <c r="G22" s="261" t="e">
        <f>#REF!</f>
        <v>#REF!</v>
      </c>
      <c r="H22" s="263" t="e">
        <f>#REF!</f>
        <v>#REF!</v>
      </c>
      <c r="I22" s="262" t="e">
        <f>#REF!</f>
        <v>#REF!</v>
      </c>
      <c r="J22" s="262" t="e">
        <f>#REF!</f>
        <v>#REF!</v>
      </c>
      <c r="K22" s="300" t="e">
        <f>#REF!</f>
        <v>#REF!</v>
      </c>
      <c r="L22" s="301">
        <v>1.33</v>
      </c>
      <c r="M22" s="1302"/>
      <c r="N22" s="1303"/>
      <c r="O22" s="1304"/>
    </row>
    <row r="23" spans="1:15" ht="20.25" customHeight="1">
      <c r="A23" s="1124" t="s">
        <v>235</v>
      </c>
      <c r="B23" s="244" t="s">
        <v>205</v>
      </c>
      <c r="C23" s="1278" t="e">
        <f>#REF!</f>
        <v>#REF!</v>
      </c>
      <c r="D23" s="1279"/>
      <c r="E23" s="1280"/>
      <c r="F23" s="85" t="s">
        <v>161</v>
      </c>
      <c r="G23" s="273" t="e">
        <f>#REF!</f>
        <v>#REF!</v>
      </c>
      <c r="H23" s="289" t="e">
        <f>#REF!</f>
        <v>#REF!</v>
      </c>
      <c r="I23" s="258" t="e">
        <f>#REF!</f>
        <v>#REF!</v>
      </c>
      <c r="J23" s="258" t="e">
        <f>#REF!</f>
        <v>#REF!</v>
      </c>
      <c r="K23" s="297" t="e">
        <f>#REF!</f>
        <v>#REF!</v>
      </c>
      <c r="L23" s="313">
        <v>10.24</v>
      </c>
      <c r="M23" s="1305" t="e">
        <f>#REF!</f>
        <v>#REF!</v>
      </c>
      <c r="N23" s="1306"/>
      <c r="O23" s="1307"/>
    </row>
    <row r="24" spans="1:15" ht="21" customHeight="1">
      <c r="A24" s="1125"/>
      <c r="B24" s="260" t="s">
        <v>207</v>
      </c>
      <c r="C24" s="1107" t="s">
        <v>209</v>
      </c>
      <c r="D24" s="1108"/>
      <c r="E24" s="1109"/>
      <c r="F24" s="282"/>
      <c r="G24" s="260"/>
      <c r="H24" s="263"/>
      <c r="I24" s="262"/>
      <c r="J24" s="262"/>
      <c r="K24" s="300"/>
      <c r="L24" s="301"/>
      <c r="M24" s="1166"/>
      <c r="N24" s="1167"/>
      <c r="O24" s="1168"/>
    </row>
    <row r="25" spans="1:15">
      <c r="A25" s="1110" t="s">
        <v>227</v>
      </c>
      <c r="B25" s="1111"/>
      <c r="C25" s="1112" t="s">
        <v>49</v>
      </c>
      <c r="D25" s="1113"/>
      <c r="E25" s="1114"/>
      <c r="F25" s="1118" t="s">
        <v>50</v>
      </c>
      <c r="G25" s="1119"/>
      <c r="H25" s="1119"/>
      <c r="I25" s="1120"/>
      <c r="J25" s="285"/>
      <c r="K25" s="1118"/>
      <c r="L25" s="1120"/>
      <c r="M25" s="1158"/>
      <c r="N25" s="1159"/>
      <c r="O25" s="1160"/>
    </row>
  </sheetData>
  <mergeCells count="56">
    <mergeCell ref="A6:A7"/>
    <mergeCell ref="A8:A10"/>
    <mergeCell ref="B8:B9"/>
    <mergeCell ref="A16:A17"/>
    <mergeCell ref="A11:A12"/>
    <mergeCell ref="A13:A14"/>
    <mergeCell ref="C23:E23"/>
    <mergeCell ref="A25:B25"/>
    <mergeCell ref="C25:E25"/>
    <mergeCell ref="C19:E19"/>
    <mergeCell ref="A18:A19"/>
    <mergeCell ref="A20:A22"/>
    <mergeCell ref="B21:B22"/>
    <mergeCell ref="A23:A24"/>
    <mergeCell ref="C18:E18"/>
    <mergeCell ref="C24:E24"/>
    <mergeCell ref="C22:E22"/>
    <mergeCell ref="C20:E20"/>
    <mergeCell ref="C17:E17"/>
    <mergeCell ref="C21:E21"/>
    <mergeCell ref="M5:O5"/>
    <mergeCell ref="M8:O8"/>
    <mergeCell ref="I10:K10"/>
    <mergeCell ref="M10:O10"/>
    <mergeCell ref="M7:O7"/>
    <mergeCell ref="I9:K9"/>
    <mergeCell ref="I7:K7"/>
    <mergeCell ref="I8:K8"/>
    <mergeCell ref="M6:O6"/>
    <mergeCell ref="M15:O15"/>
    <mergeCell ref="M14:O14"/>
    <mergeCell ref="M20:O20"/>
    <mergeCell ref="M19:O19"/>
    <mergeCell ref="M17:O17"/>
    <mergeCell ref="M25:O25"/>
    <mergeCell ref="M13:O13"/>
    <mergeCell ref="I14:K14"/>
    <mergeCell ref="I11:K11"/>
    <mergeCell ref="I13:K13"/>
    <mergeCell ref="M16:O16"/>
    <mergeCell ref="M21:O22"/>
    <mergeCell ref="M18:O18"/>
    <mergeCell ref="M11:O11"/>
    <mergeCell ref="I12:K12"/>
    <mergeCell ref="M23:O23"/>
    <mergeCell ref="M12:O12"/>
    <mergeCell ref="K25:L25"/>
    <mergeCell ref="F25:I25"/>
    <mergeCell ref="M24:O24"/>
    <mergeCell ref="D1:G1"/>
    <mergeCell ref="I4:K4"/>
    <mergeCell ref="I5:K5"/>
    <mergeCell ref="C16:E16"/>
    <mergeCell ref="I6:K6"/>
    <mergeCell ref="C8:C9"/>
    <mergeCell ref="C15:E15"/>
  </mergeCells>
  <phoneticPr fontId="26" type="noConversion"/>
  <pageMargins left="0.35" right="0.35" top="0.59" bottom="0.59" header="0.51" footer="0.51"/>
  <pageSetup paperSize="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P23"/>
  <sheetViews>
    <sheetView topLeftCell="A10" workbookViewId="0">
      <selection activeCell="N3" sqref="N3"/>
    </sheetView>
  </sheetViews>
  <sheetFormatPr defaultRowHeight="16.5"/>
  <cols>
    <col min="1" max="2" width="7.375" style="75" customWidth="1"/>
    <col min="3" max="3" width="10" style="75" customWidth="1"/>
    <col min="4" max="4" width="7.75" style="75" customWidth="1"/>
    <col min="5" max="5" width="9.125" style="75" customWidth="1"/>
    <col min="6" max="6" width="8.5" style="75" customWidth="1"/>
    <col min="7" max="7" width="10.75" style="75" customWidth="1"/>
    <col min="8" max="8" width="11.625" style="75" hidden="1" customWidth="1"/>
    <col min="9" max="9" width="8.125" style="75" customWidth="1"/>
    <col min="10" max="10" width="7" style="75" customWidth="1"/>
    <col min="11" max="11" width="9.25" style="75" customWidth="1"/>
    <col min="12" max="13" width="8.125" style="75" customWidth="1"/>
    <col min="14" max="14" width="8" style="233" customWidth="1"/>
    <col min="15" max="15" width="11.875" style="233" customWidth="1"/>
    <col min="16" max="16" width="17.875" style="233" customWidth="1"/>
    <col min="17" max="16384" width="9" style="75"/>
  </cols>
  <sheetData>
    <row r="1" spans="1:16" ht="16.5" customHeight="1">
      <c r="D1" s="1093" t="s">
        <v>182</v>
      </c>
      <c r="E1" s="1093"/>
      <c r="F1" s="1093"/>
      <c r="G1" s="1093"/>
      <c r="N1" s="76" t="s">
        <v>183</v>
      </c>
      <c r="O1" s="76" t="s">
        <v>184</v>
      </c>
    </row>
    <row r="2" spans="1:16">
      <c r="M2" s="286" t="s">
        <v>185</v>
      </c>
      <c r="N2" s="76">
        <v>3</v>
      </c>
      <c r="O2" s="76">
        <v>2</v>
      </c>
    </row>
    <row r="3" spans="1:16">
      <c r="M3" s="287" t="s">
        <v>186</v>
      </c>
      <c r="N3" s="76">
        <v>9</v>
      </c>
      <c r="O3" s="76">
        <v>5</v>
      </c>
    </row>
    <row r="4" spans="1:16">
      <c r="A4" s="234" t="s">
        <v>187</v>
      </c>
      <c r="B4" s="234"/>
      <c r="C4" s="235">
        <v>41517</v>
      </c>
      <c r="D4" s="236" t="s">
        <v>302</v>
      </c>
      <c r="E4" s="115"/>
      <c r="G4" s="238" t="s">
        <v>189</v>
      </c>
      <c r="H4" s="238" t="s">
        <v>190</v>
      </c>
      <c r="I4" s="238"/>
      <c r="J4" s="1094"/>
      <c r="K4" s="1094"/>
      <c r="L4" s="1094"/>
      <c r="M4" s="287" t="s">
        <v>191</v>
      </c>
      <c r="N4" s="76">
        <v>1</v>
      </c>
      <c r="O4" s="76">
        <v>0</v>
      </c>
    </row>
    <row r="5" spans="1:16" s="76" customFormat="1" ht="50.25" customHeight="1">
      <c r="A5" s="84" t="s">
        <v>192</v>
      </c>
      <c r="B5" s="84" t="s">
        <v>193</v>
      </c>
      <c r="C5" s="84" t="s">
        <v>194</v>
      </c>
      <c r="D5" s="84" t="s">
        <v>195</v>
      </c>
      <c r="E5" s="247" t="s">
        <v>196</v>
      </c>
      <c r="F5" s="247" t="s">
        <v>197</v>
      </c>
      <c r="G5" s="247" t="s">
        <v>198</v>
      </c>
      <c r="H5" s="257" t="s">
        <v>199</v>
      </c>
      <c r="I5" s="247" t="s">
        <v>200</v>
      </c>
      <c r="J5" s="1095" t="s">
        <v>201</v>
      </c>
      <c r="K5" s="1065"/>
      <c r="L5" s="1066"/>
      <c r="M5" s="288" t="s">
        <v>202</v>
      </c>
      <c r="N5" s="1063" t="s">
        <v>203</v>
      </c>
      <c r="O5" s="1063"/>
      <c r="P5" s="1063"/>
    </row>
    <row r="6" spans="1:16" ht="18.95" customHeight="1">
      <c r="A6" s="1067" t="s">
        <v>204</v>
      </c>
      <c r="B6" s="244" t="s">
        <v>205</v>
      </c>
      <c r="C6" s="244" t="s">
        <v>209</v>
      </c>
      <c r="D6" s="244"/>
      <c r="E6" s="84"/>
      <c r="F6" s="84"/>
      <c r="G6" s="258"/>
      <c r="H6" s="259"/>
      <c r="I6" s="289"/>
      <c r="J6" s="1064"/>
      <c r="K6" s="1156"/>
      <c r="L6" s="1157"/>
      <c r="M6" s="227"/>
      <c r="N6" s="1090"/>
      <c r="O6" s="1091"/>
      <c r="P6" s="1092"/>
    </row>
    <row r="7" spans="1:16" ht="18.95" customHeight="1">
      <c r="A7" s="1075"/>
      <c r="B7" s="260" t="s">
        <v>207</v>
      </c>
      <c r="C7" s="260" t="s">
        <v>209</v>
      </c>
      <c r="D7" s="261"/>
      <c r="E7" s="261"/>
      <c r="F7" s="261"/>
      <c r="G7" s="262"/>
      <c r="H7" s="263"/>
      <c r="I7" s="270"/>
      <c r="J7" s="1069"/>
      <c r="K7" s="1070"/>
      <c r="L7" s="1071"/>
      <c r="M7" s="290"/>
      <c r="N7" s="1081"/>
      <c r="O7" s="1082"/>
      <c r="P7" s="1083"/>
    </row>
    <row r="8" spans="1:16" ht="22.7" customHeight="1">
      <c r="A8" s="1067" t="s">
        <v>208</v>
      </c>
      <c r="B8" s="93" t="s">
        <v>205</v>
      </c>
      <c r="C8" s="264" t="e">
        <f>#REF!</f>
        <v>#REF!</v>
      </c>
      <c r="D8" s="134" t="e">
        <f>#REF!</f>
        <v>#REF!</v>
      </c>
      <c r="E8" s="265" t="e">
        <f>#REF!</f>
        <v>#REF!</v>
      </c>
      <c r="F8" s="134" t="e">
        <f>#REF!</f>
        <v>#REF!</v>
      </c>
      <c r="G8" s="266" t="e">
        <f>#REF!</f>
        <v>#REF!</v>
      </c>
      <c r="H8" s="267"/>
      <c r="I8" s="291" t="e">
        <f>#REF!</f>
        <v>#REF!</v>
      </c>
      <c r="J8" s="1072" t="e">
        <f>#REF!</f>
        <v>#REF!</v>
      </c>
      <c r="K8" s="1073"/>
      <c r="L8" s="1074"/>
      <c r="M8" s="292">
        <v>10.23</v>
      </c>
      <c r="N8" s="1087" t="s">
        <v>206</v>
      </c>
      <c r="O8" s="1088"/>
      <c r="P8" s="1089"/>
    </row>
    <row r="9" spans="1:16" ht="24" customHeight="1">
      <c r="A9" s="1068"/>
      <c r="B9" s="260" t="s">
        <v>207</v>
      </c>
      <c r="C9" s="268" t="e">
        <f>#REF!</f>
        <v>#REF!</v>
      </c>
      <c r="D9" s="260" t="e">
        <f>#REF!</f>
        <v>#REF!</v>
      </c>
      <c r="E9" s="261" t="e">
        <f>#REF!</f>
        <v>#REF!</v>
      </c>
      <c r="F9" s="261" t="e">
        <f>#REF!</f>
        <v>#REF!</v>
      </c>
      <c r="G9" s="269" t="e">
        <f>#REF!</f>
        <v>#REF!</v>
      </c>
      <c r="H9" s="263"/>
      <c r="I9" s="293" t="e">
        <f>#REF!</f>
        <v>#REF!</v>
      </c>
      <c r="J9" s="1069" t="e">
        <f>#REF!</f>
        <v>#REF!</v>
      </c>
      <c r="K9" s="1070"/>
      <c r="L9" s="1071"/>
      <c r="M9" s="290">
        <v>10.19</v>
      </c>
      <c r="N9" s="1078" t="e">
        <f>#REF!</f>
        <v>#REF!</v>
      </c>
      <c r="O9" s="1079"/>
      <c r="P9" s="1080"/>
    </row>
    <row r="10" spans="1:16" ht="17.25" customHeight="1">
      <c r="A10" s="1067" t="s">
        <v>210</v>
      </c>
      <c r="B10" s="244" t="s">
        <v>205</v>
      </c>
      <c r="C10" s="93" t="s">
        <v>209</v>
      </c>
      <c r="D10" s="93"/>
      <c r="E10" s="134"/>
      <c r="F10" s="134"/>
      <c r="G10" s="266"/>
      <c r="H10" s="267"/>
      <c r="I10" s="291"/>
      <c r="J10" s="1072"/>
      <c r="K10" s="1073"/>
      <c r="L10" s="1074"/>
      <c r="M10" s="292"/>
      <c r="N10" s="1098"/>
      <c r="O10" s="1099"/>
      <c r="P10" s="1100"/>
    </row>
    <row r="11" spans="1:16" ht="18" customHeight="1">
      <c r="A11" s="1068"/>
      <c r="B11" s="260" t="s">
        <v>207</v>
      </c>
      <c r="C11" s="260" t="s">
        <v>209</v>
      </c>
      <c r="D11" s="261"/>
      <c r="E11" s="261"/>
      <c r="F11" s="261"/>
      <c r="G11" s="270"/>
      <c r="H11" s="263"/>
      <c r="I11" s="270" t="s">
        <v>206</v>
      </c>
      <c r="J11" s="1069"/>
      <c r="K11" s="1070"/>
      <c r="L11" s="1071"/>
      <c r="M11" s="290"/>
      <c r="N11" s="1078"/>
      <c r="O11" s="1079"/>
      <c r="P11" s="1080"/>
    </row>
    <row r="12" spans="1:16" ht="18" customHeight="1">
      <c r="A12" s="1067" t="s">
        <v>211</v>
      </c>
      <c r="B12" s="244" t="s">
        <v>205</v>
      </c>
      <c r="C12" s="93" t="s">
        <v>209</v>
      </c>
      <c r="D12" s="93" t="s">
        <v>206</v>
      </c>
      <c r="E12" s="134" t="s">
        <v>206</v>
      </c>
      <c r="F12" s="134" t="s">
        <v>206</v>
      </c>
      <c r="G12" s="266" t="s">
        <v>206</v>
      </c>
      <c r="H12" s="267"/>
      <c r="I12" s="291" t="s">
        <v>206</v>
      </c>
      <c r="J12" s="1072" t="s">
        <v>206</v>
      </c>
      <c r="K12" s="1073"/>
      <c r="L12" s="1074"/>
      <c r="M12" s="292" t="s">
        <v>206</v>
      </c>
      <c r="N12" s="1098"/>
      <c r="O12" s="1099"/>
      <c r="P12" s="1100"/>
    </row>
    <row r="13" spans="1:16" ht="18" customHeight="1">
      <c r="A13" s="1068"/>
      <c r="B13" s="260" t="s">
        <v>207</v>
      </c>
      <c r="C13" s="260" t="s">
        <v>209</v>
      </c>
      <c r="D13" s="261" t="s">
        <v>206</v>
      </c>
      <c r="E13" s="261" t="s">
        <v>206</v>
      </c>
      <c r="F13" s="261" t="s">
        <v>206</v>
      </c>
      <c r="G13" s="270" t="s">
        <v>206</v>
      </c>
      <c r="H13" s="263"/>
      <c r="I13" s="270" t="s">
        <v>206</v>
      </c>
      <c r="J13" s="1069" t="s">
        <v>206</v>
      </c>
      <c r="K13" s="1070"/>
      <c r="L13" s="1071"/>
      <c r="M13" s="290" t="s">
        <v>206</v>
      </c>
      <c r="N13" s="1078"/>
      <c r="O13" s="1079"/>
      <c r="P13" s="1080"/>
    </row>
    <row r="14" spans="1:16" s="76" customFormat="1" ht="46.5" customHeight="1">
      <c r="A14" s="84" t="s">
        <v>212</v>
      </c>
      <c r="B14" s="84" t="s">
        <v>193</v>
      </c>
      <c r="C14" s="1095" t="s">
        <v>213</v>
      </c>
      <c r="D14" s="1065"/>
      <c r="E14" s="1066"/>
      <c r="F14" s="257" t="s">
        <v>214</v>
      </c>
      <c r="G14" s="271" t="s">
        <v>215</v>
      </c>
      <c r="H14" s="257" t="s">
        <v>216</v>
      </c>
      <c r="I14" s="257" t="s">
        <v>217</v>
      </c>
      <c r="J14" s="294" t="s">
        <v>218</v>
      </c>
      <c r="K14" s="294" t="s">
        <v>219</v>
      </c>
      <c r="L14" s="295" t="s">
        <v>201</v>
      </c>
      <c r="M14" s="257" t="s">
        <v>202</v>
      </c>
      <c r="N14" s="1133" t="s">
        <v>203</v>
      </c>
      <c r="O14" s="1134"/>
      <c r="P14" s="1135"/>
    </row>
    <row r="15" spans="1:16" ht="19.5" customHeight="1">
      <c r="A15" s="1126" t="s">
        <v>291</v>
      </c>
      <c r="B15" s="84" t="s">
        <v>205</v>
      </c>
      <c r="C15" s="1161" t="s">
        <v>209</v>
      </c>
      <c r="D15" s="1162"/>
      <c r="E15" s="1163"/>
      <c r="F15" s="272"/>
      <c r="G15" s="244"/>
      <c r="H15" s="273"/>
      <c r="I15" s="259"/>
      <c r="J15" s="258"/>
      <c r="K15" s="296"/>
      <c r="L15" s="297"/>
      <c r="M15" s="298"/>
      <c r="N15" s="1139"/>
      <c r="O15" s="1140"/>
      <c r="P15" s="1141"/>
    </row>
    <row r="16" spans="1:16" ht="17.25" customHeight="1">
      <c r="A16" s="1127"/>
      <c r="B16" s="274" t="s">
        <v>207</v>
      </c>
      <c r="C16" s="1121" t="s">
        <v>209</v>
      </c>
      <c r="D16" s="1122"/>
      <c r="E16" s="1123"/>
      <c r="F16" s="277"/>
      <c r="G16" s="260"/>
      <c r="H16" s="278"/>
      <c r="I16" s="263"/>
      <c r="J16" s="262"/>
      <c r="K16" s="299"/>
      <c r="L16" s="300"/>
      <c r="M16" s="301"/>
      <c r="N16" s="1130"/>
      <c r="O16" s="1131"/>
      <c r="P16" s="1132"/>
    </row>
    <row r="17" spans="1:16" ht="20.25" customHeight="1">
      <c r="A17" s="1126" t="s">
        <v>223</v>
      </c>
      <c r="B17" s="244" t="s">
        <v>205</v>
      </c>
      <c r="C17" s="1161" t="e">
        <f>#REF!</f>
        <v>#REF!</v>
      </c>
      <c r="D17" s="1162"/>
      <c r="E17" s="1163"/>
      <c r="F17" s="279" t="s">
        <v>234</v>
      </c>
      <c r="G17" s="244" t="e">
        <f>#REF!</f>
        <v>#REF!</v>
      </c>
      <c r="H17" s="273"/>
      <c r="I17" s="259" t="e">
        <f>#REF!</f>
        <v>#REF!</v>
      </c>
      <c r="J17" s="258" t="e">
        <f>#REF!</f>
        <v>#REF!</v>
      </c>
      <c r="K17" s="258" t="e">
        <f>#REF!</f>
        <v>#REF!</v>
      </c>
      <c r="L17" s="297" t="e">
        <f>#REF!</f>
        <v>#REF!</v>
      </c>
      <c r="M17" s="227">
        <v>9.31</v>
      </c>
      <c r="N17" s="1139"/>
      <c r="O17" s="1140"/>
      <c r="P17" s="1141"/>
    </row>
    <row r="18" spans="1:16" ht="27.95" customHeight="1">
      <c r="A18" s="1127"/>
      <c r="B18" s="260" t="s">
        <v>207</v>
      </c>
      <c r="C18" s="1121" t="e">
        <f>#REF!</f>
        <v>#REF!</v>
      </c>
      <c r="D18" s="1122"/>
      <c r="E18" s="1123"/>
      <c r="F18" s="280" t="s">
        <v>234</v>
      </c>
      <c r="G18" s="260" t="e">
        <f>#REF!</f>
        <v>#REF!</v>
      </c>
      <c r="H18" s="278"/>
      <c r="I18" s="263" t="e">
        <f>#REF!</f>
        <v>#REF!</v>
      </c>
      <c r="J18" s="262" t="e">
        <f>#REF!</f>
        <v>#REF!</v>
      </c>
      <c r="K18" s="262" t="e">
        <f>#REF!</f>
        <v>#REF!</v>
      </c>
      <c r="L18" s="300" t="e">
        <f>#REF!</f>
        <v>#REF!</v>
      </c>
      <c r="M18" s="290">
        <v>5.39</v>
      </c>
      <c r="N18" s="1142"/>
      <c r="O18" s="1145"/>
      <c r="P18" s="1146"/>
    </row>
    <row r="19" spans="1:16" ht="19.5" customHeight="1">
      <c r="A19" s="1124" t="s">
        <v>225</v>
      </c>
      <c r="B19" s="244" t="s">
        <v>205</v>
      </c>
      <c r="C19" s="1103" t="s">
        <v>209</v>
      </c>
      <c r="D19" s="1103"/>
      <c r="E19" s="1103"/>
      <c r="F19" s="85"/>
      <c r="G19" s="134"/>
      <c r="H19" s="259"/>
      <c r="I19" s="259"/>
      <c r="J19" s="258"/>
      <c r="K19" s="302"/>
      <c r="L19" s="297"/>
      <c r="M19" s="227"/>
      <c r="N19" s="1136"/>
      <c r="O19" s="1137"/>
      <c r="P19" s="1138"/>
    </row>
    <row r="20" spans="1:16" ht="18.95" customHeight="1">
      <c r="A20" s="1125"/>
      <c r="B20" s="260" t="s">
        <v>207</v>
      </c>
      <c r="C20" s="1121" t="s">
        <v>209</v>
      </c>
      <c r="D20" s="1185"/>
      <c r="E20" s="1186"/>
      <c r="F20" s="282"/>
      <c r="G20" s="260"/>
      <c r="H20" s="263"/>
      <c r="I20" s="263"/>
      <c r="J20" s="262"/>
      <c r="K20" s="303"/>
      <c r="L20" s="300"/>
      <c r="M20" s="301"/>
      <c r="N20" s="1166"/>
      <c r="O20" s="1167"/>
      <c r="P20" s="1168"/>
    </row>
    <row r="21" spans="1:16" ht="20.25" customHeight="1">
      <c r="A21" s="1124" t="s">
        <v>235</v>
      </c>
      <c r="B21" s="244" t="s">
        <v>205</v>
      </c>
      <c r="C21" s="1103" t="s">
        <v>209</v>
      </c>
      <c r="D21" s="1103"/>
      <c r="E21" s="1103"/>
      <c r="F21" s="85"/>
      <c r="G21" s="134"/>
      <c r="H21" s="259"/>
      <c r="I21" s="259"/>
      <c r="J21" s="258"/>
      <c r="K21" s="258"/>
      <c r="L21" s="297"/>
      <c r="M21" s="227"/>
      <c r="N21" s="1136"/>
      <c r="O21" s="1137"/>
      <c r="P21" s="1138"/>
    </row>
    <row r="22" spans="1:16" ht="22.7" customHeight="1">
      <c r="A22" s="1125"/>
      <c r="B22" s="260" t="s">
        <v>207</v>
      </c>
      <c r="C22" s="1121" t="e">
        <f>#REF!</f>
        <v>#REF!</v>
      </c>
      <c r="D22" s="1185"/>
      <c r="E22" s="1186"/>
      <c r="F22" s="282" t="s">
        <v>236</v>
      </c>
      <c r="G22" s="260" t="e">
        <f>#REF!</f>
        <v>#REF!</v>
      </c>
      <c r="H22" s="263"/>
      <c r="I22" s="263" t="e">
        <f>#REF!</f>
        <v>#REF!</v>
      </c>
      <c r="J22" s="262" t="e">
        <f>#REF!</f>
        <v>#REF!</v>
      </c>
      <c r="K22" s="262" t="e">
        <f>#REF!</f>
        <v>#REF!</v>
      </c>
      <c r="L22" s="300" t="e">
        <f>#REF!</f>
        <v>#REF!</v>
      </c>
      <c r="M22" s="301">
        <v>10.09</v>
      </c>
      <c r="N22" s="1166"/>
      <c r="O22" s="1167"/>
      <c r="P22" s="1168"/>
    </row>
    <row r="23" spans="1:16">
      <c r="A23" s="1110" t="s">
        <v>227</v>
      </c>
      <c r="B23" s="1111"/>
      <c r="C23" s="1112" t="s">
        <v>51</v>
      </c>
      <c r="D23" s="1113"/>
      <c r="E23" s="1114"/>
      <c r="F23" s="1118" t="s">
        <v>52</v>
      </c>
      <c r="G23" s="1119"/>
      <c r="H23" s="1119"/>
      <c r="I23" s="1119"/>
      <c r="J23" s="1120"/>
      <c r="K23" s="285"/>
      <c r="L23" s="1118"/>
      <c r="M23" s="1120"/>
      <c r="N23" s="1158"/>
      <c r="O23" s="1159"/>
      <c r="P23" s="1160"/>
    </row>
  </sheetData>
  <mergeCells count="51">
    <mergeCell ref="C14:E14"/>
    <mergeCell ref="C15:E15"/>
    <mergeCell ref="A23:B23"/>
    <mergeCell ref="A15:A16"/>
    <mergeCell ref="A19:A20"/>
    <mergeCell ref="A21:A22"/>
    <mergeCell ref="A17:A18"/>
    <mergeCell ref="C22:E22"/>
    <mergeCell ref="N15:P15"/>
    <mergeCell ref="N18:P18"/>
    <mergeCell ref="N17:P17"/>
    <mergeCell ref="A6:A7"/>
    <mergeCell ref="A8:A9"/>
    <mergeCell ref="A10:A11"/>
    <mergeCell ref="A12:A13"/>
    <mergeCell ref="J9:L9"/>
    <mergeCell ref="N9:P9"/>
    <mergeCell ref="J12:L12"/>
    <mergeCell ref="N14:P14"/>
    <mergeCell ref="N10:P10"/>
    <mergeCell ref="J10:L10"/>
    <mergeCell ref="J13:L13"/>
    <mergeCell ref="N13:P13"/>
    <mergeCell ref="J11:L11"/>
    <mergeCell ref="N19:P19"/>
    <mergeCell ref="C19:E19"/>
    <mergeCell ref="N20:P20"/>
    <mergeCell ref="N16:P16"/>
    <mergeCell ref="C20:E20"/>
    <mergeCell ref="C16:E16"/>
    <mergeCell ref="C18:E18"/>
    <mergeCell ref="C17:E17"/>
    <mergeCell ref="N23:P23"/>
    <mergeCell ref="C23:E23"/>
    <mergeCell ref="N21:P21"/>
    <mergeCell ref="L23:M23"/>
    <mergeCell ref="N22:P22"/>
    <mergeCell ref="C21:E21"/>
    <mergeCell ref="F23:J23"/>
    <mergeCell ref="N11:P11"/>
    <mergeCell ref="N12:P12"/>
    <mergeCell ref="D1:G1"/>
    <mergeCell ref="J4:L4"/>
    <mergeCell ref="J5:L5"/>
    <mergeCell ref="N5:P5"/>
    <mergeCell ref="J8:L8"/>
    <mergeCell ref="J6:L6"/>
    <mergeCell ref="N6:P6"/>
    <mergeCell ref="J7:L7"/>
    <mergeCell ref="N7:P7"/>
    <mergeCell ref="N8:P8"/>
  </mergeCells>
  <phoneticPr fontId="26" type="noConversion"/>
  <pageMargins left="0.32" right="0.34" top="0.48" bottom="0.31" header="0.5" footer="0.5"/>
  <pageSetup paperSize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A119"/>
  <sheetViews>
    <sheetView topLeftCell="A77" workbookViewId="0">
      <selection activeCell="A116" sqref="A116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9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746</v>
      </c>
      <c r="O2" s="1319"/>
      <c r="P2" s="1320"/>
      <c r="Q2" s="1318" t="s">
        <v>747</v>
      </c>
      <c r="R2" s="1320"/>
      <c r="S2" s="642" t="s">
        <v>750</v>
      </c>
    </row>
    <row r="3" spans="1:23" ht="70.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751</v>
      </c>
      <c r="O3" s="1319"/>
      <c r="P3" s="1320"/>
      <c r="Q3" s="1318" t="s">
        <v>704</v>
      </c>
      <c r="R3" s="1320"/>
      <c r="S3" s="85"/>
    </row>
    <row r="4" spans="1:23" ht="39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748</v>
      </c>
      <c r="O4" s="1319"/>
      <c r="P4" s="1320"/>
      <c r="Q4" s="1318" t="s">
        <v>749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45231</v>
      </c>
      <c r="D5" s="419" t="s">
        <v>745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341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'102'!O4</f>
        <v>750</v>
      </c>
      <c r="G9" s="1311">
        <f>'102'!K4</f>
        <v>8030</v>
      </c>
      <c r="H9" s="1312"/>
      <c r="I9" s="1313"/>
      <c r="J9" s="814">
        <f>'102'!L4</f>
        <v>0</v>
      </c>
      <c r="K9" s="1314">
        <f>'102'!P4</f>
        <v>0.89222222222222225</v>
      </c>
      <c r="L9" s="1315"/>
      <c r="M9" s="1316"/>
      <c r="N9" s="820">
        <f>J9/(G9+J9)</f>
        <v>0</v>
      </c>
      <c r="O9" s="1308" t="str">
        <f>'102'!U4</f>
        <v>19:59最後一支交接班</v>
      </c>
      <c r="P9" s="1309"/>
      <c r="Q9" s="1309"/>
      <c r="R9" s="1310"/>
      <c r="S9" s="878" t="str">
        <f>'102'!V4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'102'!O5</f>
        <v>750</v>
      </c>
      <c r="G10" s="1327">
        <f>'102'!K5</f>
        <v>7758</v>
      </c>
      <c r="H10" s="1328"/>
      <c r="I10" s="1329"/>
      <c r="J10" s="423">
        <f>'102'!L5</f>
        <v>0</v>
      </c>
      <c r="K10" s="1314">
        <f>'102'!P5</f>
        <v>0.86199999999999999</v>
      </c>
      <c r="L10" s="1315"/>
      <c r="M10" s="1316"/>
      <c r="N10" s="820">
        <f>J10/(G10+J10)</f>
        <v>0</v>
      </c>
      <c r="O10" s="1308" t="str">
        <f>'102'!U5</f>
        <v>07:43最後一支交接班</v>
      </c>
      <c r="P10" s="1309"/>
      <c r="Q10" s="1309"/>
      <c r="R10" s="1310"/>
      <c r="S10" s="878" t="str">
        <f>'102'!V5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649">
        <v>0.36</v>
      </c>
      <c r="E11" s="815">
        <v>870</v>
      </c>
      <c r="F11" s="815">
        <f>'103'!O4</f>
        <v>350</v>
      </c>
      <c r="G11" s="1311">
        <f>'103'!K4</f>
        <v>4022</v>
      </c>
      <c r="H11" s="1312"/>
      <c r="I11" s="1313"/>
      <c r="J11" s="814">
        <f>'103'!L4</f>
        <v>0</v>
      </c>
      <c r="K11" s="1314">
        <f>'103'!P4</f>
        <v>0.95761904761904759</v>
      </c>
      <c r="L11" s="1315"/>
      <c r="M11" s="1316"/>
      <c r="N11" s="820">
        <f>J11/(G11+J11)</f>
        <v>0</v>
      </c>
      <c r="O11" s="1308" t="str">
        <f>'103'!U4</f>
        <v>19:15最後一支交接班</v>
      </c>
      <c r="P11" s="1309"/>
      <c r="Q11" s="1309"/>
      <c r="R11" s="1310"/>
      <c r="S11" s="822" t="str">
        <f>'103'!V4</f>
        <v>盧宇昇</v>
      </c>
    </row>
    <row r="12" spans="1:23" ht="17.25" customHeight="1">
      <c r="A12" s="1336"/>
      <c r="B12" s="881" t="s">
        <v>207</v>
      </c>
      <c r="C12" s="422" t="s">
        <v>42</v>
      </c>
      <c r="D12" s="421">
        <v>0.36</v>
      </c>
      <c r="E12" s="880">
        <v>870</v>
      </c>
      <c r="F12" s="880">
        <f>'103'!O5</f>
        <v>350</v>
      </c>
      <c r="G12" s="1327">
        <f>'103'!K5</f>
        <v>4030</v>
      </c>
      <c r="H12" s="1328"/>
      <c r="I12" s="1329"/>
      <c r="J12" s="423">
        <f>'103'!L5</f>
        <v>0</v>
      </c>
      <c r="K12" s="1314">
        <f>'103'!P5</f>
        <v>0.95952380952380956</v>
      </c>
      <c r="L12" s="1315"/>
      <c r="M12" s="1316"/>
      <c r="N12" s="820">
        <f>J12/(G12+J12)</f>
        <v>0</v>
      </c>
      <c r="O12" s="1308" t="str">
        <f>'103'!U5</f>
        <v>07:15最後一支交接班</v>
      </c>
      <c r="P12" s="1309"/>
      <c r="Q12" s="1309"/>
      <c r="R12" s="1310"/>
      <c r="S12" s="822" t="str">
        <f>'103'!V5</f>
        <v>阮宏山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>
        <v>1.2</v>
      </c>
      <c r="E15" s="815">
        <v>715</v>
      </c>
      <c r="F15" s="815">
        <f>'105'!O4</f>
        <v>450</v>
      </c>
      <c r="G15" s="1311">
        <f>'105'!K4</f>
        <v>4273</v>
      </c>
      <c r="H15" s="1312"/>
      <c r="I15" s="1313"/>
      <c r="J15" s="814">
        <f>'105'!L4</f>
        <v>0</v>
      </c>
      <c r="K15" s="1330">
        <f>'105'!P4</f>
        <v>0.79129629629629628</v>
      </c>
      <c r="L15" s="1331"/>
      <c r="M15" s="1332"/>
      <c r="N15" s="871">
        <f t="shared" ref="N15:N20" si="0">J15/(G15+J15)</f>
        <v>0</v>
      </c>
      <c r="O15" s="1333" t="str">
        <f>'105'!U4</f>
        <v>18:30最後一支交接班</v>
      </c>
      <c r="P15" s="1334"/>
      <c r="Q15" s="1334"/>
      <c r="R15" s="1335"/>
      <c r="S15" s="860" t="str">
        <f>'105'!V4</f>
        <v>范文光</v>
      </c>
    </row>
    <row r="16" spans="1:23" ht="17.25" customHeight="1">
      <c r="A16" s="1359"/>
      <c r="B16" s="881" t="s">
        <v>43</v>
      </c>
      <c r="C16" s="422" t="s">
        <v>44</v>
      </c>
      <c r="D16" s="421">
        <v>1.2</v>
      </c>
      <c r="E16" s="880">
        <v>715</v>
      </c>
      <c r="F16" s="880">
        <f>'105'!O5</f>
        <v>450</v>
      </c>
      <c r="G16" s="1327">
        <f>'105'!K5</f>
        <v>4985</v>
      </c>
      <c r="H16" s="1328"/>
      <c r="I16" s="1329"/>
      <c r="J16" s="423">
        <f>'105'!L5</f>
        <v>0</v>
      </c>
      <c r="K16" s="1330">
        <f>'105'!P5</f>
        <v>0.92314814814814816</v>
      </c>
      <c r="L16" s="1331"/>
      <c r="M16" s="1332"/>
      <c r="N16" s="871">
        <f>J16/(G16+J16)</f>
        <v>0</v>
      </c>
      <c r="O16" s="1333" t="str">
        <f>'105'!U5</f>
        <v>07:06最後一支交接班</v>
      </c>
      <c r="P16" s="1334"/>
      <c r="Q16" s="1334"/>
      <c r="R16" s="1335"/>
      <c r="S16" s="860" t="str">
        <f>'105'!V5</f>
        <v>阮庭平</v>
      </c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1.38</v>
      </c>
      <c r="E17" s="815">
        <v>805</v>
      </c>
      <c r="F17" s="815">
        <f>'106'!O4</f>
        <v>1185</v>
      </c>
      <c r="G17" s="1311">
        <f>'106'!K4</f>
        <v>13117</v>
      </c>
      <c r="H17" s="1312"/>
      <c r="I17" s="1313"/>
      <c r="J17" s="814">
        <f>'106'!L4</f>
        <v>0</v>
      </c>
      <c r="K17" s="1330">
        <f>'106'!P4</f>
        <v>0.92243319268635726</v>
      </c>
      <c r="L17" s="1331"/>
      <c r="M17" s="1332"/>
      <c r="N17" s="871">
        <f t="shared" si="0"/>
        <v>0</v>
      </c>
      <c r="O17" s="1364" t="str">
        <f>'106'!U4</f>
        <v>19:24最後一支交接班</v>
      </c>
      <c r="P17" s="1365"/>
      <c r="Q17" s="1365"/>
      <c r="R17" s="1366"/>
      <c r="S17" s="822" t="str">
        <f>'106'!V4</f>
        <v>黎文中.林子維</v>
      </c>
    </row>
    <row r="18" spans="1:19" ht="17.25" customHeight="1">
      <c r="A18" s="1371"/>
      <c r="B18" s="881" t="s">
        <v>43</v>
      </c>
      <c r="C18" s="422" t="s">
        <v>42</v>
      </c>
      <c r="D18" s="421">
        <v>1.38</v>
      </c>
      <c r="E18" s="880">
        <v>805</v>
      </c>
      <c r="F18" s="880">
        <f>'106'!O5</f>
        <v>1185</v>
      </c>
      <c r="G18" s="1327">
        <f>'106'!K5</f>
        <v>13125</v>
      </c>
      <c r="H18" s="1328"/>
      <c r="I18" s="1329"/>
      <c r="J18" s="423">
        <f>'106'!L5</f>
        <v>0</v>
      </c>
      <c r="K18" s="1330">
        <f>'106'!P5</f>
        <v>0.9229957805907173</v>
      </c>
      <c r="L18" s="1331"/>
      <c r="M18" s="1332"/>
      <c r="N18" s="871">
        <f t="shared" si="0"/>
        <v>0</v>
      </c>
      <c r="O18" s="1364" t="str">
        <f>'106'!U5</f>
        <v>07:15最後一支交接班</v>
      </c>
      <c r="P18" s="1365"/>
      <c r="Q18" s="1365"/>
      <c r="R18" s="1366"/>
      <c r="S18" s="822" t="str">
        <f>'106'!V5</f>
        <v>黃隨貴</v>
      </c>
    </row>
    <row r="19" spans="1:19" ht="17.25" customHeight="1">
      <c r="A19" s="1362" t="s">
        <v>418</v>
      </c>
      <c r="B19" s="84" t="s">
        <v>205</v>
      </c>
      <c r="C19" s="850" t="s">
        <v>44</v>
      </c>
      <c r="D19" s="851">
        <v>0.47</v>
      </c>
      <c r="E19" s="815">
        <v>820</v>
      </c>
      <c r="F19" s="815">
        <f>'107'!O4</f>
        <v>450</v>
      </c>
      <c r="G19" s="1311">
        <f>'107'!K4</f>
        <v>5028</v>
      </c>
      <c r="H19" s="1312"/>
      <c r="I19" s="1313"/>
      <c r="J19" s="814">
        <f>'107'!L4</f>
        <v>0</v>
      </c>
      <c r="K19" s="1314">
        <f>'107'!P4</f>
        <v>0.93111111111111111</v>
      </c>
      <c r="L19" s="1315"/>
      <c r="M19" s="1316"/>
      <c r="N19" s="871">
        <f t="shared" si="0"/>
        <v>0</v>
      </c>
      <c r="O19" s="1364" t="str">
        <f>'107'!U4</f>
        <v>19:21最後一支交接班</v>
      </c>
      <c r="P19" s="1365"/>
      <c r="Q19" s="1365"/>
      <c r="R19" s="1366"/>
      <c r="S19" s="822" t="str">
        <f>'107'!V4</f>
        <v>潘文銅</v>
      </c>
    </row>
    <row r="20" spans="1:19" ht="17.25" customHeight="1">
      <c r="A20" s="1363"/>
      <c r="B20" s="881" t="s">
        <v>43</v>
      </c>
      <c r="C20" s="422" t="s">
        <v>44</v>
      </c>
      <c r="D20" s="421">
        <v>0.47</v>
      </c>
      <c r="E20" s="880">
        <v>820</v>
      </c>
      <c r="F20" s="880">
        <f>'107'!O5</f>
        <v>450</v>
      </c>
      <c r="G20" s="1327">
        <f>'107'!K5</f>
        <v>5033</v>
      </c>
      <c r="H20" s="1328"/>
      <c r="I20" s="1329"/>
      <c r="J20" s="423">
        <f>'107'!L5</f>
        <v>0</v>
      </c>
      <c r="K20" s="1314">
        <f>'107'!P5</f>
        <v>0.932037037037037</v>
      </c>
      <c r="L20" s="1315"/>
      <c r="M20" s="1316"/>
      <c r="N20" s="871">
        <f t="shared" si="0"/>
        <v>0</v>
      </c>
      <c r="O20" s="1367" t="str">
        <f>'107'!U5</f>
        <v>07:16最後一支交接班</v>
      </c>
      <c r="P20" s="1368"/>
      <c r="Q20" s="1368"/>
      <c r="R20" s="1369"/>
      <c r="S20" s="822" t="str">
        <f>'107'!V5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69401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1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1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1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1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69401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51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699</v>
      </c>
      <c r="G48" s="828" t="e">
        <f>#REF!</f>
        <v>#REF!</v>
      </c>
      <c r="H48" s="815"/>
      <c r="I48" s="827">
        <v>4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51.75" customHeight="1">
      <c r="A49" s="1189"/>
      <c r="B49" s="881" t="s">
        <v>43</v>
      </c>
      <c r="C49" s="1360" t="e">
        <f>#REF!</f>
        <v>#REF!</v>
      </c>
      <c r="D49" s="1360"/>
      <c r="E49" s="1360"/>
      <c r="F49" s="418" t="s">
        <v>699</v>
      </c>
      <c r="G49" s="660" t="e">
        <f>#REF!</f>
        <v>#REF!</v>
      </c>
      <c r="H49" s="880"/>
      <c r="I49" s="418">
        <v>4</v>
      </c>
      <c r="J49" s="660" t="e">
        <f>#REF!</f>
        <v>#REF!</v>
      </c>
      <c r="K49" s="660" t="e">
        <f>#REF!</f>
        <v>#REF!</v>
      </c>
      <c r="L49" s="660" t="e">
        <f>#REF!</f>
        <v>#REF!</v>
      </c>
      <c r="M49" s="661" t="e">
        <f>#REF!</f>
        <v>#REF!</v>
      </c>
      <c r="N49" s="662" t="e">
        <f>#REF!</f>
        <v>#REF!</v>
      </c>
      <c r="O49" s="1361" t="e">
        <f>#REF!</f>
        <v>#REF!</v>
      </c>
      <c r="P49" s="1361"/>
      <c r="Q49" s="1361"/>
      <c r="R49" s="1361"/>
      <c r="S49" s="822" t="e">
        <f>#REF!</f>
        <v>#REF!</v>
      </c>
      <c r="V49" s="1382" t="s">
        <v>633</v>
      </c>
      <c r="W49" s="1383"/>
      <c r="X49" s="1384"/>
    </row>
    <row r="50" spans="1:24" ht="53.25" customHeight="1">
      <c r="A50" s="1126" t="s">
        <v>22</v>
      </c>
      <c r="B50" s="84" t="s">
        <v>0</v>
      </c>
      <c r="C50" s="1427" t="e">
        <f>#REF!</f>
        <v>#REF!</v>
      </c>
      <c r="D50" s="1427"/>
      <c r="E50" s="1427"/>
      <c r="F50" s="827" t="s">
        <v>722</v>
      </c>
      <c r="G50" s="852" t="e">
        <f>#REF!</f>
        <v>#REF!</v>
      </c>
      <c r="H50" s="815"/>
      <c r="I50" s="827">
        <v>2</v>
      </c>
      <c r="J50" s="852" t="e">
        <f>#REF!</f>
        <v>#REF!</v>
      </c>
      <c r="K50" s="885" t="e">
        <f>#REF!</f>
        <v>#REF!</v>
      </c>
      <c r="L50" s="885" t="e">
        <f>#REF!</f>
        <v>#REF!</v>
      </c>
      <c r="M50" s="863" t="e">
        <f>#REF!</f>
        <v>#REF!</v>
      </c>
      <c r="N50" s="415" t="e">
        <f>#REF!</f>
        <v>#REF!</v>
      </c>
      <c r="O50" s="1364" t="e">
        <f>#REF!</f>
        <v>#REF!</v>
      </c>
      <c r="P50" s="1365"/>
      <c r="Q50" s="1365"/>
      <c r="R50" s="1366"/>
      <c r="S50" s="821" t="e">
        <f>#REF!</f>
        <v>#REF!</v>
      </c>
    </row>
    <row r="51" spans="1:24" ht="17.25" customHeight="1">
      <c r="A51" s="1189"/>
      <c r="B51" s="881" t="s">
        <v>43</v>
      </c>
      <c r="C51" s="1360" t="e">
        <f>#REF!</f>
        <v>#REF!</v>
      </c>
      <c r="D51" s="1360"/>
      <c r="E51" s="1360"/>
      <c r="F51" s="418" t="s">
        <v>723</v>
      </c>
      <c r="G51" s="840" t="e">
        <f>#REF!</f>
        <v>#REF!</v>
      </c>
      <c r="H51" s="880"/>
      <c r="I51" s="418">
        <v>2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35.2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3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17.25" customHeight="1">
      <c r="A53" s="1429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260" t="s">
        <v>634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816"/>
      <c r="N56" s="817"/>
      <c r="O56" s="1430"/>
      <c r="P56" s="1431"/>
      <c r="Q56" s="1431"/>
      <c r="R56" s="1432"/>
      <c r="S56" s="822"/>
    </row>
    <row r="57" spans="1:24" ht="17.25" customHeight="1">
      <c r="A57" s="1260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816"/>
      <c r="N57" s="817"/>
      <c r="O57" s="1430"/>
      <c r="P57" s="1431"/>
      <c r="Q57" s="1431"/>
      <c r="R57" s="1432"/>
      <c r="S57" s="822"/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55"/>
    </row>
    <row r="59" spans="1:24" ht="35.25" customHeight="1">
      <c r="A59" s="1127"/>
      <c r="B59" s="381" t="s">
        <v>43</v>
      </c>
      <c r="C59" s="1360" t="e">
        <f>#REF!</f>
        <v>#REF!</v>
      </c>
      <c r="D59" s="1360"/>
      <c r="E59" s="1360"/>
      <c r="F59" s="418" t="s">
        <v>700</v>
      </c>
      <c r="G59" s="660" t="e">
        <f>#REF!</f>
        <v>#REF!</v>
      </c>
      <c r="H59" s="880"/>
      <c r="I59" s="418">
        <v>3</v>
      </c>
      <c r="J59" s="660" t="e">
        <f>#REF!</f>
        <v>#REF!</v>
      </c>
      <c r="K59" s="660" t="e">
        <f>#REF!</f>
        <v>#REF!</v>
      </c>
      <c r="L59" s="660" t="e">
        <f>#REF!</f>
        <v>#REF!</v>
      </c>
      <c r="M59" s="816" t="e">
        <f>#REF!</f>
        <v>#REF!</v>
      </c>
      <c r="N59" s="818" t="e">
        <f>#REF!</f>
        <v>#REF!</v>
      </c>
      <c r="O59" s="1333" t="e">
        <f>#REF!</f>
        <v>#REF!</v>
      </c>
      <c r="P59" s="1334"/>
      <c r="Q59" s="1334"/>
      <c r="R59" s="1335"/>
      <c r="S59" s="855" t="e">
        <f>#REF!</f>
        <v>#REF!</v>
      </c>
    </row>
    <row r="60" spans="1:24" ht="17.25" customHeight="1">
      <c r="A60" s="1126" t="s">
        <v>725</v>
      </c>
      <c r="B60" s="84" t="s">
        <v>0</v>
      </c>
      <c r="C60" s="1427" t="e">
        <f>#REF!</f>
        <v>#REF!</v>
      </c>
      <c r="D60" s="1427"/>
      <c r="E60" s="1427"/>
      <c r="F60" s="827" t="s">
        <v>703</v>
      </c>
      <c r="G60" s="828" t="e">
        <f>#REF!</f>
        <v>#REF!</v>
      </c>
      <c r="H60" s="815"/>
      <c r="I60" s="827">
        <v>4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6" t="e">
        <f>#REF!</f>
        <v>#REF!</v>
      </c>
      <c r="P60" s="1436"/>
      <c r="Q60" s="1436"/>
      <c r="R60" s="1436"/>
      <c r="S60" s="848" t="e">
        <f>#REF!</f>
        <v>#REF!</v>
      </c>
    </row>
    <row r="61" spans="1:24" ht="17.25" customHeight="1">
      <c r="A61" s="1127"/>
      <c r="B61" s="381" t="s">
        <v>43</v>
      </c>
      <c r="C61" s="1360" t="e">
        <f>#REF!</f>
        <v>#REF!</v>
      </c>
      <c r="D61" s="1360"/>
      <c r="E61" s="1360"/>
      <c r="F61" s="418" t="s">
        <v>726</v>
      </c>
      <c r="G61" s="660" t="e">
        <f>#REF!</f>
        <v>#REF!</v>
      </c>
      <c r="H61" s="880"/>
      <c r="I61" s="418">
        <v>5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7" t="e">
        <f>#REF!</f>
        <v>#REF!</v>
      </c>
      <c r="O61" s="1436" t="e">
        <f>#REF!</f>
        <v>#REF!</v>
      </c>
      <c r="P61" s="1436"/>
      <c r="Q61" s="1436"/>
      <c r="R61" s="1436"/>
      <c r="S61" s="848" t="e">
        <f>#REF!</f>
        <v>#REF!</v>
      </c>
    </row>
    <row r="62" spans="1:24" ht="17.25" customHeight="1">
      <c r="A62" s="1126" t="s">
        <v>728</v>
      </c>
      <c r="B62" s="84" t="s">
        <v>0</v>
      </c>
      <c r="C62" s="1427" t="e">
        <f>#REF!</f>
        <v>#REF!</v>
      </c>
      <c r="D62" s="1427"/>
      <c r="E62" s="1427"/>
      <c r="F62" s="827" t="s">
        <v>694</v>
      </c>
      <c r="G62" s="828" t="e">
        <f>#REF!</f>
        <v>#REF!</v>
      </c>
      <c r="H62" s="815"/>
      <c r="I62" s="827">
        <v>3</v>
      </c>
      <c r="J62" s="828" t="e">
        <f>#REF!</f>
        <v>#REF!</v>
      </c>
      <c r="K62" s="828" t="e">
        <f>#REF!</f>
        <v>#REF!</v>
      </c>
      <c r="L62" s="828" t="e">
        <f>#REF!</f>
        <v>#REF!</v>
      </c>
      <c r="M62" s="816" t="e">
        <f>#REF!</f>
        <v>#REF!</v>
      </c>
      <c r="N62" s="817" t="e">
        <f>#REF!</f>
        <v>#REF!</v>
      </c>
      <c r="O62" s="1436" t="e">
        <f>#REF!</f>
        <v>#REF!</v>
      </c>
      <c r="P62" s="1436"/>
      <c r="Q62" s="1436"/>
      <c r="R62" s="1436"/>
      <c r="S62" s="821" t="e">
        <f>#REF!</f>
        <v>#REF!</v>
      </c>
    </row>
    <row r="63" spans="1:24" ht="17.25" customHeight="1">
      <c r="A63" s="1127"/>
      <c r="B63" s="381" t="s">
        <v>43</v>
      </c>
      <c r="C63" s="1360" t="e">
        <f>#REF!</f>
        <v>#REF!</v>
      </c>
      <c r="D63" s="1360"/>
      <c r="E63" s="1360"/>
      <c r="F63" s="418" t="s">
        <v>694</v>
      </c>
      <c r="G63" s="660" t="e">
        <f>#REF!</f>
        <v>#REF!</v>
      </c>
      <c r="H63" s="880"/>
      <c r="I63" s="418">
        <v>3</v>
      </c>
      <c r="J63" s="660" t="e">
        <f>#REF!</f>
        <v>#REF!</v>
      </c>
      <c r="K63" s="660" t="e">
        <f>#REF!</f>
        <v>#REF!</v>
      </c>
      <c r="L63" s="660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21" t="e">
        <f>#REF!</f>
        <v>#REF!</v>
      </c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67.5" customHeight="1">
      <c r="A65" s="1400" t="s">
        <v>25</v>
      </c>
      <c r="B65" s="84" t="s">
        <v>0</v>
      </c>
      <c r="C65" s="1427" t="e">
        <f>#REF!</f>
        <v>#REF!</v>
      </c>
      <c r="D65" s="1427"/>
      <c r="E65" s="1427"/>
      <c r="F65" s="827" t="s">
        <v>729</v>
      </c>
      <c r="G65" s="828" t="e">
        <f>#REF!</f>
        <v>#REF!</v>
      </c>
      <c r="H65" s="815"/>
      <c r="I65" s="827">
        <v>5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659" t="e">
        <f>#REF!</f>
        <v>#REF!</v>
      </c>
      <c r="N65" s="415" t="e">
        <f>#REF!</f>
        <v>#REF!</v>
      </c>
      <c r="O65" s="1437" t="e">
        <f>#REF!</f>
        <v>#REF!</v>
      </c>
      <c r="P65" s="1438"/>
      <c r="Q65" s="1438"/>
      <c r="R65" s="1439"/>
      <c r="S65" s="876" t="e">
        <f>#REF!</f>
        <v>#REF!</v>
      </c>
    </row>
    <row r="66" spans="1:79" ht="51" customHeight="1">
      <c r="A66" s="1400"/>
      <c r="B66" s="381" t="s">
        <v>43</v>
      </c>
      <c r="C66" s="1360" t="e">
        <f>#REF!</f>
        <v>#REF!</v>
      </c>
      <c r="D66" s="1360"/>
      <c r="E66" s="1360"/>
      <c r="F66" s="418" t="s">
        <v>729</v>
      </c>
      <c r="G66" s="660" t="e">
        <f>#REF!</f>
        <v>#REF!</v>
      </c>
      <c r="H66" s="880"/>
      <c r="I66" s="418">
        <v>5</v>
      </c>
      <c r="J66" s="660" t="e">
        <f>#REF!</f>
        <v>#REF!</v>
      </c>
      <c r="K66" s="660" t="e">
        <f>#REF!</f>
        <v>#REF!</v>
      </c>
      <c r="L66" s="660" t="e">
        <f>#REF!</f>
        <v>#REF!</v>
      </c>
      <c r="M66" s="659" t="e">
        <f>#REF!</f>
        <v>#REF!</v>
      </c>
      <c r="N66" s="415" t="e">
        <f>#REF!</f>
        <v>#REF!</v>
      </c>
      <c r="O66" s="1437" t="e">
        <f>#REF!</f>
        <v>#REF!</v>
      </c>
      <c r="P66" s="1438"/>
      <c r="Q66" s="1438"/>
      <c r="R66" s="1439"/>
      <c r="S66" s="876" t="e">
        <f>#REF!</f>
        <v>#REF!</v>
      </c>
    </row>
    <row r="67" spans="1:79" ht="51.75" customHeight="1">
      <c r="A67" s="1260" t="s">
        <v>62</v>
      </c>
      <c r="B67" s="84" t="s">
        <v>0</v>
      </c>
      <c r="C67" s="1427" t="e">
        <f>#REF!</f>
        <v>#REF!</v>
      </c>
      <c r="D67" s="1427"/>
      <c r="E67" s="1427"/>
      <c r="F67" s="827" t="s">
        <v>731</v>
      </c>
      <c r="G67" s="828" t="e">
        <f>#REF!</f>
        <v>#REF!</v>
      </c>
      <c r="H67" s="815"/>
      <c r="I67" s="827">
        <v>3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61" t="e">
        <f>#REF!</f>
        <v>#REF!</v>
      </c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17.25" customHeight="1">
      <c r="A68" s="126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61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260" t="s">
        <v>640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658"/>
      <c r="O69" s="1437"/>
      <c r="P69" s="1438"/>
      <c r="Q69" s="1438"/>
      <c r="R69" s="1439"/>
      <c r="S69" s="823"/>
    </row>
    <row r="70" spans="1:79" ht="17.25" customHeight="1">
      <c r="A70" s="1260"/>
      <c r="B70" s="8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658"/>
      <c r="O70" s="1437"/>
      <c r="P70" s="1438"/>
      <c r="Q70" s="1438"/>
      <c r="R70" s="1439"/>
      <c r="S70" s="823"/>
    </row>
    <row r="71" spans="1:79" ht="17.25" customHeight="1">
      <c r="A71" s="1440" t="s">
        <v>26</v>
      </c>
      <c r="B71" s="84" t="s">
        <v>0</v>
      </c>
      <c r="C71" s="1427" t="e">
        <f>#REF!</f>
        <v>#REF!</v>
      </c>
      <c r="D71" s="1427"/>
      <c r="E71" s="1427"/>
      <c r="F71" s="827" t="s">
        <v>732</v>
      </c>
      <c r="G71" s="828" t="e">
        <f>#REF!</f>
        <v>#REF!</v>
      </c>
      <c r="H71" s="815"/>
      <c r="I71" s="827">
        <v>3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842" t="e">
        <f>#REF!</f>
        <v>#REF!</v>
      </c>
      <c r="N71" s="415" t="e">
        <f>#REF!</f>
        <v>#REF!</v>
      </c>
      <c r="O71" s="1442" t="e">
        <f>#REF!</f>
        <v>#REF!</v>
      </c>
      <c r="P71" s="1443"/>
      <c r="Q71" s="1443"/>
      <c r="R71" s="1444"/>
      <c r="S71" s="822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36" customHeight="1">
      <c r="A72" s="1441"/>
      <c r="B72" s="881" t="s">
        <v>43</v>
      </c>
      <c r="C72" s="1360" t="e">
        <f>#REF!</f>
        <v>#REF!</v>
      </c>
      <c r="D72" s="1360"/>
      <c r="E72" s="1360"/>
      <c r="F72" s="418" t="s">
        <v>732</v>
      </c>
      <c r="G72" s="660" t="e">
        <f>#REF!</f>
        <v>#REF!</v>
      </c>
      <c r="H72" s="880"/>
      <c r="I72" s="418">
        <v>2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51.75" customHeight="1">
      <c r="A73" s="1440" t="s">
        <v>27</v>
      </c>
      <c r="B73" s="841" t="s">
        <v>0</v>
      </c>
      <c r="C73" s="1427" t="e">
        <f>#REF!</f>
        <v>#REF!</v>
      </c>
      <c r="D73" s="1427"/>
      <c r="E73" s="1427"/>
      <c r="F73" s="827" t="s">
        <v>734</v>
      </c>
      <c r="G73" s="828" t="e">
        <f>#REF!</f>
        <v>#REF!</v>
      </c>
      <c r="H73" s="815"/>
      <c r="I73" s="827">
        <v>3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1"/>
      <c r="B74" s="881" t="s">
        <v>43</v>
      </c>
      <c r="C74" s="1360" t="e">
        <f>#REF!</f>
        <v>#REF!</v>
      </c>
      <c r="D74" s="1360"/>
      <c r="E74" s="1360"/>
      <c r="F74" s="418" t="s">
        <v>734</v>
      </c>
      <c r="G74" s="660" t="e">
        <f>#REF!</f>
        <v>#REF!</v>
      </c>
      <c r="H74" s="880"/>
      <c r="I74" s="418">
        <v>4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641</v>
      </c>
      <c r="B75" s="84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659"/>
      <c r="N75" s="415"/>
      <c r="O75" s="1437"/>
      <c r="P75" s="1438"/>
      <c r="Q75" s="1438"/>
      <c r="R75" s="1439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1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126" t="s">
        <v>642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816"/>
      <c r="N77" s="415"/>
      <c r="O77" s="1437"/>
      <c r="P77" s="1438"/>
      <c r="Q77" s="1438"/>
      <c r="R77" s="1439"/>
      <c r="S77" s="823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816"/>
      <c r="N78" s="415"/>
      <c r="O78" s="1437"/>
      <c r="P78" s="1438"/>
      <c r="Q78" s="1438"/>
      <c r="R78" s="1439"/>
      <c r="S78" s="82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260" t="s">
        <v>643</v>
      </c>
      <c r="B79" s="84" t="s">
        <v>0</v>
      </c>
      <c r="C79" s="1427" t="e">
        <f>#REF!</f>
        <v>#REF!</v>
      </c>
      <c r="D79" s="1427"/>
      <c r="E79" s="1427"/>
      <c r="F79" s="827" t="s">
        <v>735</v>
      </c>
      <c r="G79" s="828" t="e">
        <f>#REF!</f>
        <v>#REF!</v>
      </c>
      <c r="H79" s="815"/>
      <c r="I79" s="827">
        <v>11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659" t="e">
        <f>#REF!</f>
        <v>#REF!</v>
      </c>
      <c r="N79" s="415" t="e">
        <f>#REF!</f>
        <v>#REF!</v>
      </c>
      <c r="O79" s="1437"/>
      <c r="P79" s="1438"/>
      <c r="Q79" s="1438"/>
      <c r="R79" s="1439"/>
      <c r="S79" s="848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260"/>
      <c r="B80" s="881" t="s">
        <v>43</v>
      </c>
      <c r="C80" s="1360" t="e">
        <f>#REF!</f>
        <v>#REF!</v>
      </c>
      <c r="D80" s="1360"/>
      <c r="E80" s="1360"/>
      <c r="F80" s="418" t="s">
        <v>735</v>
      </c>
      <c r="G80" s="660" t="e">
        <f>#REF!</f>
        <v>#REF!</v>
      </c>
      <c r="H80" s="880"/>
      <c r="I80" s="418">
        <v>10</v>
      </c>
      <c r="J80" s="660" t="e">
        <f>#REF!</f>
        <v>#REF!</v>
      </c>
      <c r="K80" s="660" t="e">
        <f>#REF!</f>
        <v>#REF!</v>
      </c>
      <c r="L80" s="660" t="e">
        <f>#REF!</f>
        <v>#REF!</v>
      </c>
      <c r="M80" s="659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48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260" t="s">
        <v>651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437"/>
      <c r="P81" s="1438"/>
      <c r="Q81" s="1438"/>
      <c r="R81" s="1439"/>
      <c r="S81" s="82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437"/>
      <c r="P82" s="1438"/>
      <c r="Q82" s="1438"/>
      <c r="R82" s="1439"/>
      <c r="S82" s="82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837"/>
      <c r="B83" s="841"/>
      <c r="C83" s="882"/>
      <c r="D83" s="883"/>
      <c r="E83" s="883"/>
      <c r="F83" s="845"/>
      <c r="G83" s="846"/>
      <c r="H83" s="815"/>
      <c r="I83" s="827"/>
      <c r="J83" s="834" t="s">
        <v>666</v>
      </c>
      <c r="K83" s="847" t="e">
        <f>SUM(K65:K82)</f>
        <v>#REF!</v>
      </c>
      <c r="L83" s="829"/>
      <c r="M83" s="659"/>
      <c r="N83" s="415"/>
      <c r="O83" s="1437"/>
      <c r="P83" s="1438"/>
      <c r="Q83" s="1438"/>
      <c r="R83" s="1439"/>
      <c r="S83" s="862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s="76" customFormat="1" ht="39" customHeight="1">
      <c r="A84" s="400" t="s">
        <v>63</v>
      </c>
      <c r="B84" s="400" t="s">
        <v>193</v>
      </c>
      <c r="C84" s="1445" t="s">
        <v>11</v>
      </c>
      <c r="D84" s="1446"/>
      <c r="E84" s="1446"/>
      <c r="F84" s="1446"/>
      <c r="G84" s="1447"/>
      <c r="H84" s="242" t="s">
        <v>216</v>
      </c>
      <c r="I84" s="242" t="s">
        <v>12</v>
      </c>
      <c r="J84" s="242" t="s">
        <v>13</v>
      </c>
      <c r="K84" s="405" t="s">
        <v>218</v>
      </c>
      <c r="L84" s="416" t="s">
        <v>60</v>
      </c>
      <c r="M84" s="257" t="s">
        <v>28</v>
      </c>
      <c r="N84" s="257" t="s">
        <v>45</v>
      </c>
      <c r="O84" s="1448" t="s">
        <v>29</v>
      </c>
      <c r="P84" s="1449"/>
      <c r="Q84" s="1449"/>
      <c r="R84" s="1450"/>
      <c r="S84" s="417" t="s">
        <v>57</v>
      </c>
    </row>
    <row r="85" spans="1:79" ht="18" customHeight="1">
      <c r="A85" s="1199">
        <v>401</v>
      </c>
      <c r="B85" s="84" t="s">
        <v>0</v>
      </c>
      <c r="C85" s="1290">
        <f>印401!I17</f>
        <v>0</v>
      </c>
      <c r="D85" s="1290"/>
      <c r="E85" s="1290"/>
      <c r="F85" s="1290"/>
      <c r="G85" s="1290"/>
      <c r="H85" s="849"/>
      <c r="I85" s="849">
        <f>印401!R17</f>
        <v>0</v>
      </c>
      <c r="J85" s="852">
        <f>印401!S17</f>
        <v>0</v>
      </c>
      <c r="K85" s="872">
        <f>印401!L17</f>
        <v>0</v>
      </c>
      <c r="L85" s="873">
        <f>印401!N17</f>
        <v>0</v>
      </c>
      <c r="M85" s="852">
        <f>印401!P17</f>
        <v>0</v>
      </c>
      <c r="N85" s="853">
        <f>印401!Q17</f>
        <v>0</v>
      </c>
      <c r="O85" s="1451"/>
      <c r="P85" s="1452"/>
      <c r="Q85" s="1452"/>
      <c r="R85" s="1453"/>
      <c r="S85" s="874">
        <f>印401!AB17</f>
        <v>0</v>
      </c>
    </row>
    <row r="86" spans="1:79" ht="18" customHeight="1">
      <c r="A86" s="1216"/>
      <c r="B86" s="84" t="s">
        <v>0</v>
      </c>
      <c r="C86" s="1290">
        <f>印401!I18</f>
        <v>0</v>
      </c>
      <c r="D86" s="1290"/>
      <c r="E86" s="1290"/>
      <c r="F86" s="1290"/>
      <c r="G86" s="1290"/>
      <c r="H86" s="849"/>
      <c r="I86" s="849">
        <f>印401!R18</f>
        <v>0</v>
      </c>
      <c r="J86" s="852">
        <f>印401!S18</f>
        <v>0</v>
      </c>
      <c r="K86" s="872">
        <f>印401!L18</f>
        <v>0</v>
      </c>
      <c r="L86" s="873">
        <f>印401!N18</f>
        <v>0</v>
      </c>
      <c r="M86" s="852">
        <f>印401!P18</f>
        <v>0</v>
      </c>
      <c r="N86" s="853">
        <f>印401!Q18</f>
        <v>0</v>
      </c>
      <c r="O86" s="1451"/>
      <c r="P86" s="1452"/>
      <c r="Q86" s="1452"/>
      <c r="R86" s="1453"/>
      <c r="S86" s="874">
        <f>印401!AB18</f>
        <v>0</v>
      </c>
    </row>
    <row r="87" spans="1:79" ht="18" customHeight="1">
      <c r="A87" s="1216"/>
      <c r="B87" s="881" t="s">
        <v>43</v>
      </c>
      <c r="C87" s="1454" t="s">
        <v>633</v>
      </c>
      <c r="D87" s="1454"/>
      <c r="E87" s="1454"/>
      <c r="F87" s="1454"/>
      <c r="G87" s="1454"/>
      <c r="H87" s="664"/>
      <c r="I87" s="664"/>
      <c r="J87" s="840"/>
      <c r="K87" s="424"/>
      <c r="L87" s="830"/>
      <c r="M87" s="840"/>
      <c r="N87" s="672"/>
      <c r="O87" s="1455"/>
      <c r="P87" s="1456"/>
      <c r="Q87" s="1456"/>
      <c r="R87" s="1457"/>
      <c r="S87" s="810"/>
    </row>
    <row r="88" spans="1:79" ht="18" customHeight="1">
      <c r="A88" s="1461">
        <v>402</v>
      </c>
      <c r="B88" s="84" t="s">
        <v>205</v>
      </c>
      <c r="C88" s="1290" t="e">
        <f>#REF!</f>
        <v>#REF!</v>
      </c>
      <c r="D88" s="1290"/>
      <c r="E88" s="1290"/>
      <c r="F88" s="1290"/>
      <c r="G88" s="1290"/>
      <c r="H88" s="663"/>
      <c r="I88" s="663" t="e">
        <f>#REF!</f>
        <v>#REF!</v>
      </c>
      <c r="J88" s="399" t="e">
        <f>#REF!</f>
        <v>#REF!</v>
      </c>
      <c r="K88" s="665" t="e">
        <f>#REF!</f>
        <v>#REF!</v>
      </c>
      <c r="L88" s="813" t="e">
        <f>#REF!</f>
        <v>#REF!</v>
      </c>
      <c r="M88" s="399" t="e">
        <f>#REF!</f>
        <v>#REF!</v>
      </c>
      <c r="N88" s="425" t="e">
        <f>#REF!</f>
        <v>#REF!</v>
      </c>
      <c r="O88" s="1463"/>
      <c r="P88" s="1464"/>
      <c r="Q88" s="1464"/>
      <c r="R88" s="1465"/>
      <c r="S88" s="809" t="e">
        <f>#REF!</f>
        <v>#REF!</v>
      </c>
    </row>
    <row r="89" spans="1:79" ht="18" customHeight="1">
      <c r="A89" s="1462"/>
      <c r="B89" s="881" t="s">
        <v>43</v>
      </c>
      <c r="C89" s="1454" t="s">
        <v>633</v>
      </c>
      <c r="D89" s="1454"/>
      <c r="E89" s="1454"/>
      <c r="F89" s="1454"/>
      <c r="G89" s="1454"/>
      <c r="H89" s="664"/>
      <c r="I89" s="664"/>
      <c r="J89" s="840"/>
      <c r="K89" s="424"/>
      <c r="L89" s="830"/>
      <c r="M89" s="840"/>
      <c r="N89" s="672"/>
      <c r="O89" s="1455"/>
      <c r="P89" s="1456"/>
      <c r="Q89" s="1456"/>
      <c r="R89" s="1457"/>
      <c r="S89" s="810"/>
    </row>
    <row r="90" spans="1:79" ht="17.25" customHeight="1">
      <c r="A90" s="1466">
        <v>403</v>
      </c>
      <c r="B90" s="244" t="s">
        <v>0</v>
      </c>
      <c r="C90" s="1290" t="s">
        <v>633</v>
      </c>
      <c r="D90" s="1290"/>
      <c r="E90" s="1290"/>
      <c r="F90" s="1290"/>
      <c r="G90" s="1290"/>
      <c r="H90" s="849"/>
      <c r="I90" s="849"/>
      <c r="J90" s="852"/>
      <c r="K90" s="872"/>
      <c r="L90" s="852"/>
      <c r="M90" s="852"/>
      <c r="N90" s="853"/>
      <c r="O90" s="1451"/>
      <c r="P90" s="1452"/>
      <c r="Q90" s="1452"/>
      <c r="R90" s="1453"/>
      <c r="S90" s="874"/>
    </row>
    <row r="91" spans="1:79" ht="17.25" customHeight="1">
      <c r="A91" s="1467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40"/>
      <c r="M91" s="840"/>
      <c r="N91" s="672"/>
      <c r="O91" s="1455"/>
      <c r="P91" s="1456"/>
      <c r="Q91" s="1456"/>
      <c r="R91" s="1457"/>
      <c r="S91" s="810"/>
    </row>
    <row r="92" spans="1:79" ht="18" customHeight="1">
      <c r="A92" s="1274">
        <v>405</v>
      </c>
      <c r="B92" s="8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274"/>
      <c r="B93" s="8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8" customHeight="1">
      <c r="A94" s="1274"/>
      <c r="B94" s="881" t="s">
        <v>43</v>
      </c>
      <c r="C94" s="1454" t="e">
        <f>#REF!</f>
        <v>#REF!</v>
      </c>
      <c r="D94" s="1454"/>
      <c r="E94" s="1454"/>
      <c r="F94" s="1454"/>
      <c r="G94" s="1454"/>
      <c r="H94" s="664"/>
      <c r="I94" s="664" t="e">
        <f>#REF!</f>
        <v>#REF!</v>
      </c>
      <c r="J94" s="840" t="e">
        <f>#REF!</f>
        <v>#REF!</v>
      </c>
      <c r="K94" s="424" t="e">
        <f>#REF!</f>
        <v>#REF!</v>
      </c>
      <c r="L94" s="840" t="e">
        <f>#REF!</f>
        <v>#REF!</v>
      </c>
      <c r="M94" s="840" t="e">
        <f>#REF!</f>
        <v>#REF!</v>
      </c>
      <c r="N94" s="672" t="e">
        <f>#REF!</f>
        <v>#REF!</v>
      </c>
      <c r="O94" s="1455"/>
      <c r="P94" s="1456"/>
      <c r="Q94" s="1456"/>
      <c r="R94" s="1457"/>
      <c r="S94" s="810" t="e">
        <f>#REF!</f>
        <v>#REF!</v>
      </c>
    </row>
    <row r="95" spans="1:79" ht="18" customHeight="1">
      <c r="A95" s="314"/>
      <c r="B95" s="841"/>
      <c r="C95" s="1458"/>
      <c r="D95" s="1459"/>
      <c r="E95" s="1459"/>
      <c r="F95" s="1459"/>
      <c r="G95" s="1460"/>
      <c r="H95" s="849"/>
      <c r="I95" s="849"/>
      <c r="J95" s="834" t="s">
        <v>666</v>
      </c>
      <c r="K95" s="835" t="e">
        <f>SUM(K85:K94)</f>
        <v>#REF!</v>
      </c>
      <c r="L95" s="852"/>
      <c r="M95" s="852"/>
      <c r="N95" s="853"/>
      <c r="O95" s="886"/>
      <c r="P95" s="887"/>
      <c r="Q95" s="887"/>
      <c r="R95" s="888"/>
      <c r="S95" s="854"/>
    </row>
    <row r="96" spans="1:79" s="76" customFormat="1" ht="31.7" hidden="1" customHeight="1">
      <c r="A96" s="400" t="s">
        <v>425</v>
      </c>
      <c r="B96" s="400" t="s">
        <v>193</v>
      </c>
      <c r="C96" s="1282" t="e">
        <f>[1]印403!J91</f>
        <v>#REF!</v>
      </c>
      <c r="D96" s="1283"/>
      <c r="E96" s="1283"/>
      <c r="F96" s="1283"/>
      <c r="G96" s="1468"/>
      <c r="H96" s="242" t="s">
        <v>216</v>
      </c>
      <c r="I96" s="242" t="s">
        <v>12</v>
      </c>
      <c r="J96" s="242" t="s">
        <v>13</v>
      </c>
      <c r="K96" s="405" t="s">
        <v>218</v>
      </c>
      <c r="L96" s="427" t="s">
        <v>60</v>
      </c>
      <c r="M96" s="399" t="e">
        <f>[1]印403!O90</f>
        <v>#REF!</v>
      </c>
      <c r="N96" s="257" t="s">
        <v>45</v>
      </c>
      <c r="O96" s="1448" t="s">
        <v>29</v>
      </c>
      <c r="P96" s="1449"/>
      <c r="Q96" s="1449"/>
      <c r="R96" s="1450"/>
      <c r="S96" s="417" t="s">
        <v>57</v>
      </c>
    </row>
    <row r="97" spans="1:19" ht="15" hidden="1" customHeight="1">
      <c r="A97" s="1199" t="s">
        <v>426</v>
      </c>
      <c r="B97" s="84" t="s">
        <v>205</v>
      </c>
      <c r="C97" s="1282" t="e">
        <f>[1]印403!J92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[1]印403!O91</f>
        <v>#REF!</v>
      </c>
      <c r="N97" s="399"/>
      <c r="O97" s="1469"/>
      <c r="P97" s="1245"/>
      <c r="Q97" s="1245"/>
      <c r="R97" s="1246"/>
      <c r="S97" s="1470"/>
    </row>
    <row r="98" spans="1:19" ht="13.7" hidden="1" customHeight="1">
      <c r="A98" s="1216"/>
      <c r="B98" s="84" t="s">
        <v>205</v>
      </c>
      <c r="C98" s="1282" t="e">
        <f>[1]印403!J93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[1]印403!O92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[1]印403!J94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[1]印403!O93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[1]印403!J95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[1]印403!O94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[1]印403!J96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[1]印403!O95</f>
        <v>#REF!</v>
      </c>
      <c r="N101" s="425"/>
      <c r="O101" s="669"/>
      <c r="P101" s="670"/>
      <c r="Q101" s="670"/>
      <c r="R101" s="671"/>
      <c r="S101" s="1471"/>
    </row>
    <row r="102" spans="1:19" ht="16.5" hidden="1" customHeight="1">
      <c r="A102" s="1216"/>
      <c r="B102" s="881" t="s">
        <v>43</v>
      </c>
      <c r="C102" s="1282" t="e">
        <f>[1]印403!J97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[1]印403!O96</f>
        <v>#REF!</v>
      </c>
      <c r="N102" s="672"/>
      <c r="O102" s="1476"/>
      <c r="P102" s="1477"/>
      <c r="Q102" s="1477"/>
      <c r="R102" s="1478"/>
      <c r="S102" s="1485"/>
    </row>
    <row r="103" spans="1:19" ht="15" hidden="1" customHeight="1">
      <c r="A103" s="1216"/>
      <c r="B103" s="881" t="s">
        <v>43</v>
      </c>
      <c r="C103" s="1282" t="e">
        <f>[1]印403!J98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[1]印403!O97</f>
        <v>#REF!</v>
      </c>
      <c r="N103" s="672"/>
      <c r="O103" s="1479"/>
      <c r="P103" s="1480"/>
      <c r="Q103" s="1480"/>
      <c r="R103" s="1481"/>
      <c r="S103" s="1485"/>
    </row>
    <row r="104" spans="1:19" ht="15" hidden="1" customHeight="1">
      <c r="A104" s="1216"/>
      <c r="B104" s="881" t="s">
        <v>43</v>
      </c>
      <c r="C104" s="1282" t="e">
        <f>[1]印403!J99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[1]印403!O98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165"/>
      <c r="B105" s="881" t="s">
        <v>43</v>
      </c>
      <c r="C105" s="1282" t="e">
        <f>[1]印403!J100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[1]印403!O99</f>
        <v>#REF!</v>
      </c>
      <c r="N105" s="672"/>
      <c r="O105" s="1482"/>
      <c r="P105" s="1483"/>
      <c r="Q105" s="1483"/>
      <c r="R105" s="1484"/>
      <c r="S105" s="1486"/>
    </row>
    <row r="106" spans="1:19" ht="6" customHeight="1">
      <c r="A106" s="248"/>
      <c r="C106" s="249"/>
    </row>
    <row r="107" spans="1:19" ht="6" customHeight="1" thickBot="1">
      <c r="A107" s="248"/>
      <c r="C107" s="249"/>
    </row>
    <row r="108" spans="1:19" ht="15" customHeight="1" thickTop="1">
      <c r="A108" s="1472" t="s">
        <v>30</v>
      </c>
      <c r="B108" s="1473"/>
      <c r="C108" s="1473"/>
      <c r="D108" s="1473"/>
      <c r="E108" s="376">
        <v>0</v>
      </c>
      <c r="F108" s="75" t="s">
        <v>64</v>
      </c>
      <c r="G108" s="1472" t="s">
        <v>31</v>
      </c>
      <c r="H108" s="1473"/>
      <c r="I108" s="1473"/>
      <c r="J108" s="1473"/>
      <c r="K108" s="1473"/>
      <c r="L108" s="377">
        <v>0</v>
      </c>
      <c r="M108" s="75" t="s">
        <v>64</v>
      </c>
      <c r="N108" s="1472" t="s">
        <v>32</v>
      </c>
      <c r="O108" s="1473"/>
      <c r="P108" s="1473"/>
      <c r="Q108" s="377">
        <v>0</v>
      </c>
      <c r="R108" s="75" t="s">
        <v>64</v>
      </c>
      <c r="S108" s="75"/>
    </row>
    <row r="109" spans="1:19" ht="15" customHeight="1" thickBot="1">
      <c r="A109" s="1474" t="s">
        <v>66</v>
      </c>
      <c r="B109" s="1475"/>
      <c r="C109" s="1475"/>
      <c r="D109" s="1475"/>
      <c r="E109" s="674">
        <f>(84+100)*600</f>
        <v>110400</v>
      </c>
      <c r="G109" s="1474" t="s">
        <v>66</v>
      </c>
      <c r="H109" s="1475"/>
      <c r="I109" s="1475"/>
      <c r="J109" s="1475"/>
      <c r="K109" s="1475"/>
      <c r="L109" s="674">
        <f>30*1000</f>
        <v>30000</v>
      </c>
      <c r="N109" s="1474" t="s">
        <v>33</v>
      </c>
      <c r="O109" s="1475"/>
      <c r="P109" s="1475"/>
      <c r="Q109" s="674">
        <v>0</v>
      </c>
      <c r="R109" s="75"/>
      <c r="S109" s="75"/>
    </row>
    <row r="110" spans="1:19" ht="15" customHeight="1" thickTop="1" thickBot="1">
      <c r="A110" s="1487" t="s">
        <v>34</v>
      </c>
      <c r="B110" s="1488"/>
      <c r="C110" s="1488"/>
      <c r="D110" s="1488"/>
      <c r="E110" s="378">
        <f>E108+E109</f>
        <v>110400</v>
      </c>
      <c r="F110" s="75" t="s">
        <v>64</v>
      </c>
      <c r="G110" s="1487" t="s">
        <v>35</v>
      </c>
      <c r="H110" s="1488"/>
      <c r="I110" s="1488"/>
      <c r="J110" s="1488"/>
      <c r="K110" s="1488"/>
      <c r="L110" s="379">
        <f>L108+L109</f>
        <v>30000</v>
      </c>
      <c r="M110" s="75" t="s">
        <v>64</v>
      </c>
      <c r="N110" s="1487" t="s">
        <v>36</v>
      </c>
      <c r="O110" s="1488"/>
      <c r="P110" s="1488"/>
      <c r="Q110" s="379">
        <f>Q108+Q109</f>
        <v>0</v>
      </c>
      <c r="R110" s="75" t="s">
        <v>64</v>
      </c>
      <c r="S110" s="75"/>
    </row>
    <row r="111" spans="1:19" ht="15" customHeight="1" thickTop="1" thickBot="1">
      <c r="E111" s="252">
        <f>印401!M64</f>
        <v>0</v>
      </c>
      <c r="L111" s="675" t="e">
        <f>#REF!</f>
        <v>#REF!</v>
      </c>
      <c r="O111" s="75"/>
      <c r="P111" s="75"/>
      <c r="Q111" s="675" t="e">
        <f>#REF!</f>
        <v>#REF!</v>
      </c>
      <c r="R111" s="75"/>
      <c r="S111" s="75"/>
    </row>
    <row r="112" spans="1:19" ht="15" customHeight="1" thickBot="1">
      <c r="A112" s="676" t="s">
        <v>37</v>
      </c>
      <c r="B112" s="677"/>
      <c r="C112" s="677"/>
      <c r="D112" s="678"/>
      <c r="E112" s="253">
        <f>印401!P64</f>
        <v>0</v>
      </c>
      <c r="F112" s="75" t="s">
        <v>64</v>
      </c>
      <c r="G112" s="676" t="s">
        <v>38</v>
      </c>
      <c r="H112" s="677"/>
      <c r="I112" s="677"/>
      <c r="J112" s="677"/>
      <c r="K112" s="677"/>
      <c r="L112" s="384" t="e">
        <f>#REF!</f>
        <v>#REF!</v>
      </c>
      <c r="M112" s="75" t="s">
        <v>64</v>
      </c>
      <c r="N112" s="676" t="s">
        <v>39</v>
      </c>
      <c r="O112" s="677"/>
      <c r="P112" s="677"/>
      <c r="Q112" s="384" t="e">
        <f>#REF!</f>
        <v>#REF!</v>
      </c>
      <c r="R112" s="75" t="s">
        <v>64</v>
      </c>
      <c r="S112" s="75"/>
    </row>
    <row r="113" spans="2:20" ht="3" customHeight="1" thickBot="1">
      <c r="J113" s="255"/>
      <c r="K113" s="256"/>
    </row>
    <row r="114" spans="2:20" ht="15" customHeight="1" thickTop="1">
      <c r="B114" s="1509" t="s">
        <v>69</v>
      </c>
      <c r="C114" s="1510"/>
      <c r="D114" s="1511" t="s">
        <v>305</v>
      </c>
      <c r="E114" s="1512"/>
      <c r="F114" s="1489" t="s">
        <v>306</v>
      </c>
      <c r="G114" s="1490"/>
      <c r="H114" s="1491" t="s">
        <v>307</v>
      </c>
      <c r="I114" s="1492"/>
      <c r="J114" s="1492"/>
      <c r="K114" s="1493"/>
      <c r="L114" s="1472" t="s">
        <v>657</v>
      </c>
      <c r="M114" s="1473"/>
      <c r="N114" s="1473"/>
      <c r="O114" s="377">
        <v>0</v>
      </c>
      <c r="P114" s="75" t="s">
        <v>64</v>
      </c>
      <c r="Q114" s="1496" t="s">
        <v>65</v>
      </c>
      <c r="R114" s="1497"/>
      <c r="S114" s="385">
        <v>0</v>
      </c>
    </row>
    <row r="115" spans="2:20" ht="15" customHeight="1" thickBot="1">
      <c r="B115" s="1498" t="s">
        <v>308</v>
      </c>
      <c r="C115" s="1499"/>
      <c r="D115" s="1500" t="e">
        <f>總表!D20</f>
        <v>#REF!</v>
      </c>
      <c r="E115" s="1501"/>
      <c r="F115" s="1502">
        <f>總表!E20</f>
        <v>1316871</v>
      </c>
      <c r="G115" s="1503"/>
      <c r="H115" s="1504" t="e">
        <f>(D115-F115)/D115</f>
        <v>#REF!</v>
      </c>
      <c r="I115" s="1505"/>
      <c r="J115" s="1505"/>
      <c r="K115" s="1506"/>
      <c r="L115" s="1474" t="s">
        <v>33</v>
      </c>
      <c r="M115" s="1475"/>
      <c r="N115" s="1475"/>
      <c r="O115" s="674">
        <f>(165+219+54)*1000</f>
        <v>438000</v>
      </c>
      <c r="P115" s="75"/>
      <c r="Q115" s="1507" t="s">
        <v>67</v>
      </c>
      <c r="R115" s="1508"/>
      <c r="S115" s="386" t="e">
        <f>SUM(L48:L82,L85:L94)</f>
        <v>#REF!</v>
      </c>
    </row>
    <row r="116" spans="2:20" ht="15" customHeight="1" thickTop="1" thickBot="1">
      <c r="B116" s="1513" t="s">
        <v>309</v>
      </c>
      <c r="C116" s="1514"/>
      <c r="D116" s="1515" t="e">
        <f>總表!C43</f>
        <v>#REF!</v>
      </c>
      <c r="E116" s="1516"/>
      <c r="F116" s="1502" t="e">
        <f>總表!F43</f>
        <v>#REF!</v>
      </c>
      <c r="G116" s="1503"/>
      <c r="H116" s="1504" t="e">
        <f>(D116-F116)/D116</f>
        <v>#REF!</v>
      </c>
      <c r="I116" s="1505"/>
      <c r="J116" s="1505"/>
      <c r="K116" s="1506"/>
      <c r="L116" s="1487" t="s">
        <v>658</v>
      </c>
      <c r="M116" s="1488"/>
      <c r="N116" s="1488"/>
      <c r="O116" s="379">
        <f>O114+O115</f>
        <v>438000</v>
      </c>
      <c r="P116" s="75" t="s">
        <v>64</v>
      </c>
      <c r="Q116" s="1494" t="s">
        <v>68</v>
      </c>
      <c r="R116" s="1495"/>
      <c r="S116" s="387" t="e">
        <f>S114+S115</f>
        <v>#REF!</v>
      </c>
    </row>
    <row r="117" spans="2:20" ht="14.1" customHeight="1" thickTop="1" thickBot="1">
      <c r="B117" s="250" t="s">
        <v>310</v>
      </c>
      <c r="C117" s="250"/>
      <c r="D117" s="250"/>
      <c r="E117" s="233"/>
      <c r="O117" s="675" t="e">
        <f>#REF!</f>
        <v>#REF!</v>
      </c>
      <c r="P117" s="75"/>
      <c r="Q117" s="75"/>
      <c r="R117" s="254" t="e">
        <f>總表!E43+總表!E52</f>
        <v>#REF!</v>
      </c>
      <c r="S117" s="254" t="e">
        <f>R117-S116</f>
        <v>#REF!</v>
      </c>
    </row>
    <row r="118" spans="2:20" ht="17.25" customHeight="1" thickBot="1">
      <c r="B118" s="250" t="s">
        <v>40</v>
      </c>
      <c r="C118" s="233"/>
      <c r="D118" s="233"/>
      <c r="E118" s="233"/>
      <c r="F118" s="233"/>
      <c r="L118" s="676" t="s">
        <v>659</v>
      </c>
      <c r="M118" s="677"/>
      <c r="N118" s="677"/>
      <c r="O118" s="384" t="e">
        <f>#REF!</f>
        <v>#REF!</v>
      </c>
      <c r="P118" s="75" t="s">
        <v>64</v>
      </c>
      <c r="T118" s="233"/>
    </row>
    <row r="119" spans="2:20" ht="15.75" customHeight="1">
      <c r="B119" s="75" t="s">
        <v>41</v>
      </c>
      <c r="N119" s="233"/>
      <c r="S119" s="75"/>
    </row>
  </sheetData>
  <mergeCells count="284">
    <mergeCell ref="A110:D110"/>
    <mergeCell ref="G110:K110"/>
    <mergeCell ref="N110:P110"/>
    <mergeCell ref="F114:G114"/>
    <mergeCell ref="H114:K114"/>
    <mergeCell ref="Q116:R116"/>
    <mergeCell ref="Q114:R114"/>
    <mergeCell ref="B115:C115"/>
    <mergeCell ref="D115:E115"/>
    <mergeCell ref="F115:G115"/>
    <mergeCell ref="H115:K115"/>
    <mergeCell ref="L115:N115"/>
    <mergeCell ref="Q115:R115"/>
    <mergeCell ref="B114:C114"/>
    <mergeCell ref="D114:E114"/>
    <mergeCell ref="L114:N114"/>
    <mergeCell ref="B116:C116"/>
    <mergeCell ref="D116:E116"/>
    <mergeCell ref="F116:G116"/>
    <mergeCell ref="H116:K116"/>
    <mergeCell ref="L116:N116"/>
    <mergeCell ref="A108:D108"/>
    <mergeCell ref="G108:K108"/>
    <mergeCell ref="N108:P108"/>
    <mergeCell ref="A109:D109"/>
    <mergeCell ref="G109:K109"/>
    <mergeCell ref="N109:P109"/>
    <mergeCell ref="C102:G102"/>
    <mergeCell ref="O102:R105"/>
    <mergeCell ref="S102:S105"/>
    <mergeCell ref="C103:G103"/>
    <mergeCell ref="C104:G104"/>
    <mergeCell ref="C105:G105"/>
    <mergeCell ref="C96:G96"/>
    <mergeCell ref="O96:R96"/>
    <mergeCell ref="A97:A105"/>
    <mergeCell ref="C97:G97"/>
    <mergeCell ref="O97:R97"/>
    <mergeCell ref="S97:S101"/>
    <mergeCell ref="C98:G98"/>
    <mergeCell ref="C99:G99"/>
    <mergeCell ref="C100:G100"/>
    <mergeCell ref="C101:G101"/>
    <mergeCell ref="A92:A94"/>
    <mergeCell ref="C92:G92"/>
    <mergeCell ref="O92:R92"/>
    <mergeCell ref="C95:G95"/>
    <mergeCell ref="C93:G93"/>
    <mergeCell ref="O93:R93"/>
    <mergeCell ref="C94:G94"/>
    <mergeCell ref="O94:R94"/>
    <mergeCell ref="A88:A89"/>
    <mergeCell ref="C88:G88"/>
    <mergeCell ref="O88:R88"/>
    <mergeCell ref="C89:G89"/>
    <mergeCell ref="O89:R89"/>
    <mergeCell ref="A90:A91"/>
    <mergeCell ref="C90:G90"/>
    <mergeCell ref="O90:R90"/>
    <mergeCell ref="C91:G91"/>
    <mergeCell ref="O91:R91"/>
    <mergeCell ref="O83:R83"/>
    <mergeCell ref="C84:G84"/>
    <mergeCell ref="O84:R84"/>
    <mergeCell ref="A85:A87"/>
    <mergeCell ref="C85:G85"/>
    <mergeCell ref="O85:R85"/>
    <mergeCell ref="C87:G87"/>
    <mergeCell ref="O87:R87"/>
    <mergeCell ref="C86:G86"/>
    <mergeCell ref="O86:R86"/>
    <mergeCell ref="A79:A80"/>
    <mergeCell ref="C79:E79"/>
    <mergeCell ref="O79:R79"/>
    <mergeCell ref="A81:A82"/>
    <mergeCell ref="C81:E81"/>
    <mergeCell ref="O81:R81"/>
    <mergeCell ref="C82:E82"/>
    <mergeCell ref="O82:R82"/>
    <mergeCell ref="C80:E80"/>
    <mergeCell ref="O80:R80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1:A72"/>
    <mergeCell ref="C71:E71"/>
    <mergeCell ref="O71:R71"/>
    <mergeCell ref="A73:A74"/>
    <mergeCell ref="C73:E73"/>
    <mergeCell ref="O73:R73"/>
    <mergeCell ref="C72:E72"/>
    <mergeCell ref="O72:R72"/>
    <mergeCell ref="C74:E74"/>
    <mergeCell ref="O74:R74"/>
    <mergeCell ref="A67:A68"/>
    <mergeCell ref="C67:E67"/>
    <mergeCell ref="O67:R67"/>
    <mergeCell ref="C68:E68"/>
    <mergeCell ref="O68:R68"/>
    <mergeCell ref="A69:A70"/>
    <mergeCell ref="C69:E69"/>
    <mergeCell ref="O69:R69"/>
    <mergeCell ref="C70:E70"/>
    <mergeCell ref="O70:R70"/>
    <mergeCell ref="A58:A59"/>
    <mergeCell ref="C58:E58"/>
    <mergeCell ref="O58:R58"/>
    <mergeCell ref="C59:E59"/>
    <mergeCell ref="O59:R59"/>
    <mergeCell ref="O64:R64"/>
    <mergeCell ref="C63:E63"/>
    <mergeCell ref="O63:R63"/>
    <mergeCell ref="A65:A66"/>
    <mergeCell ref="C65:E65"/>
    <mergeCell ref="O65:R65"/>
    <mergeCell ref="C66:E66"/>
    <mergeCell ref="O66:R66"/>
    <mergeCell ref="A60:A61"/>
    <mergeCell ref="C60:E60"/>
    <mergeCell ref="O60:R60"/>
    <mergeCell ref="A62:A63"/>
    <mergeCell ref="C62:E62"/>
    <mergeCell ref="O62:R62"/>
    <mergeCell ref="C61:E61"/>
    <mergeCell ref="O61:R61"/>
    <mergeCell ref="A54:A55"/>
    <mergeCell ref="C54:E54"/>
    <mergeCell ref="O54:R54"/>
    <mergeCell ref="C55:E55"/>
    <mergeCell ref="O55:R55"/>
    <mergeCell ref="A56:A57"/>
    <mergeCell ref="C56:E56"/>
    <mergeCell ref="O56:R56"/>
    <mergeCell ref="C57:E57"/>
    <mergeCell ref="O57:R57"/>
    <mergeCell ref="V48:X48"/>
    <mergeCell ref="V49:X49"/>
    <mergeCell ref="C51:E51"/>
    <mergeCell ref="O51:R51"/>
    <mergeCell ref="A50:A51"/>
    <mergeCell ref="C50:E50"/>
    <mergeCell ref="O50:R50"/>
    <mergeCell ref="A52:A53"/>
    <mergeCell ref="C52:E52"/>
    <mergeCell ref="O52:R52"/>
    <mergeCell ref="C53:E53"/>
    <mergeCell ref="O53:R53"/>
    <mergeCell ref="M45:M47"/>
    <mergeCell ref="O45:R47"/>
    <mergeCell ref="S45:S47"/>
    <mergeCell ref="C46:E46"/>
    <mergeCell ref="C47:E47"/>
    <mergeCell ref="S39:S41"/>
    <mergeCell ref="C40:E40"/>
    <mergeCell ref="C41:E41"/>
    <mergeCell ref="A48:A49"/>
    <mergeCell ref="C48:E48"/>
    <mergeCell ref="O48:R48"/>
    <mergeCell ref="M32:M35"/>
    <mergeCell ref="O32:R35"/>
    <mergeCell ref="S32:S35"/>
    <mergeCell ref="C33:E33"/>
    <mergeCell ref="C34:E34"/>
    <mergeCell ref="C35:E35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C45:E45"/>
    <mergeCell ref="K20:M20"/>
    <mergeCell ref="S25:S27"/>
    <mergeCell ref="G26:I26"/>
    <mergeCell ref="G27:I27"/>
    <mergeCell ref="C28:E28"/>
    <mergeCell ref="O28:R28"/>
    <mergeCell ref="A29:A35"/>
    <mergeCell ref="C29:E29"/>
    <mergeCell ref="M29:M31"/>
    <mergeCell ref="O29:R31"/>
    <mergeCell ref="S29:S31"/>
    <mergeCell ref="A22:A27"/>
    <mergeCell ref="G22:I22"/>
    <mergeCell ref="K22:M24"/>
    <mergeCell ref="O22:R24"/>
    <mergeCell ref="S22:S24"/>
    <mergeCell ref="G23:I23"/>
    <mergeCell ref="G24:I24"/>
    <mergeCell ref="G25:I25"/>
    <mergeCell ref="K25:M27"/>
    <mergeCell ref="O25:R27"/>
    <mergeCell ref="C30:E30"/>
    <mergeCell ref="C31:E31"/>
    <mergeCell ref="C32:E32"/>
    <mergeCell ref="G14:I14"/>
    <mergeCell ref="K14:M14"/>
    <mergeCell ref="O14:R14"/>
    <mergeCell ref="A15:A16"/>
    <mergeCell ref="G15:I15"/>
    <mergeCell ref="K15:M15"/>
    <mergeCell ref="O15:R15"/>
    <mergeCell ref="C49:E49"/>
    <mergeCell ref="O49:R49"/>
    <mergeCell ref="A19:A20"/>
    <mergeCell ref="G19:I19"/>
    <mergeCell ref="O19:R19"/>
    <mergeCell ref="G20:I20"/>
    <mergeCell ref="O20:R20"/>
    <mergeCell ref="A17:A18"/>
    <mergeCell ref="G17:I17"/>
    <mergeCell ref="O17:R17"/>
    <mergeCell ref="G18:I18"/>
    <mergeCell ref="O18:R18"/>
    <mergeCell ref="K21:M21"/>
    <mergeCell ref="O21:R21"/>
    <mergeCell ref="K17:M17"/>
    <mergeCell ref="K18:M18"/>
    <mergeCell ref="K19:M19"/>
    <mergeCell ref="G16:I16"/>
    <mergeCell ref="K16:M16"/>
    <mergeCell ref="O16:R16"/>
    <mergeCell ref="A11:A12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G10:I10"/>
    <mergeCell ref="K10:M10"/>
    <mergeCell ref="O10:R10"/>
    <mergeCell ref="G12:I12"/>
    <mergeCell ref="K12:M12"/>
    <mergeCell ref="O12:R12"/>
    <mergeCell ref="A13:A14"/>
    <mergeCell ref="G13:I13"/>
    <mergeCell ref="K13:M13"/>
    <mergeCell ref="O13:R13"/>
    <mergeCell ref="O11:R11"/>
    <mergeCell ref="G11:I11"/>
    <mergeCell ref="K11:M11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G9:I9"/>
    <mergeCell ref="K9:M9"/>
    <mergeCell ref="O9:R9"/>
    <mergeCell ref="A9:A10"/>
  </mergeCells>
  <phoneticPr fontId="26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A125"/>
  <sheetViews>
    <sheetView topLeftCell="A87" workbookViewId="0">
      <selection activeCell="C91" sqref="C91:G91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41.2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746</v>
      </c>
      <c r="O2" s="1319"/>
      <c r="P2" s="1320"/>
      <c r="Q2" s="1318" t="s">
        <v>753</v>
      </c>
      <c r="R2" s="1320"/>
      <c r="S2" s="642" t="s">
        <v>750</v>
      </c>
    </row>
    <row r="3" spans="1:23" ht="54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782</v>
      </c>
      <c r="O3" s="1319"/>
      <c r="P3" s="1320"/>
      <c r="Q3" s="1318" t="s">
        <v>754</v>
      </c>
      <c r="R3" s="1320"/>
      <c r="S3" s="85"/>
    </row>
    <row r="4" spans="1:23" ht="39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748</v>
      </c>
      <c r="O4" s="1319"/>
      <c r="P4" s="1320"/>
      <c r="Q4" s="1318" t="s">
        <v>749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45232</v>
      </c>
      <c r="D5" s="419" t="s">
        <v>752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341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'102'!O6</f>
        <v>750</v>
      </c>
      <c r="G9" s="1311">
        <f>'102'!K6</f>
        <v>8035</v>
      </c>
      <c r="H9" s="1312"/>
      <c r="I9" s="1313"/>
      <c r="J9" s="814">
        <f>'102'!L6</f>
        <v>0</v>
      </c>
      <c r="K9" s="1314">
        <f>'102'!P6</f>
        <v>0.89277777777777778</v>
      </c>
      <c r="L9" s="1315"/>
      <c r="M9" s="1316"/>
      <c r="N9" s="820">
        <f>J9/(G9+J9)</f>
        <v>0</v>
      </c>
      <c r="O9" s="1308" t="str">
        <f>'102'!U6</f>
        <v>20:05最後一支交接班</v>
      </c>
      <c r="P9" s="1309"/>
      <c r="Q9" s="1309"/>
      <c r="R9" s="1310"/>
      <c r="S9" s="878" t="str">
        <f>'102'!V6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'102'!O7</f>
        <v>750</v>
      </c>
      <c r="G10" s="1327">
        <f>'102'!K7</f>
        <v>2006</v>
      </c>
      <c r="H10" s="1328"/>
      <c r="I10" s="1329"/>
      <c r="J10" s="423">
        <f>'102'!L7</f>
        <v>0</v>
      </c>
      <c r="K10" s="1314">
        <f>'102'!P7</f>
        <v>0.22288888888888889</v>
      </c>
      <c r="L10" s="1315"/>
      <c r="M10" s="1316"/>
      <c r="N10" s="820">
        <f>J10/(G10+J10)</f>
        <v>0</v>
      </c>
      <c r="O10" s="1308" t="str">
        <f>'102'!U7</f>
        <v>23:10計量泵跳脫,人員安排站103機台,103人員支援106機台</v>
      </c>
      <c r="P10" s="1309"/>
      <c r="Q10" s="1309"/>
      <c r="R10" s="1310"/>
      <c r="S10" s="878" t="str">
        <f>'102'!V7</f>
        <v>阮宏山</v>
      </c>
      <c r="U10" s="420" t="s">
        <v>633</v>
      </c>
      <c r="V10" s="880"/>
      <c r="W10" s="880"/>
    </row>
    <row r="11" spans="1:23" ht="17.25" customHeight="1">
      <c r="A11" s="1336" t="s">
        <v>7</v>
      </c>
      <c r="B11" s="84" t="s">
        <v>205</v>
      </c>
      <c r="C11" s="850" t="s">
        <v>42</v>
      </c>
      <c r="D11" s="649">
        <v>0.36</v>
      </c>
      <c r="E11" s="815">
        <v>870</v>
      </c>
      <c r="F11" s="815">
        <f>'103'!O6</f>
        <v>350</v>
      </c>
      <c r="G11" s="1311">
        <f>'103'!K6</f>
        <v>1511</v>
      </c>
      <c r="H11" s="1312"/>
      <c r="I11" s="1313"/>
      <c r="J11" s="814">
        <f>'103'!L6</f>
        <v>0</v>
      </c>
      <c r="K11" s="1524">
        <f>'103'!P6+'103'!P7</f>
        <v>0.96333333333333337</v>
      </c>
      <c r="L11" s="1525"/>
      <c r="M11" s="1526"/>
      <c r="N11" s="820">
        <f>J11/(G11+J11)</f>
        <v>0</v>
      </c>
      <c r="O11" s="1521" t="str">
        <f>'103'!U6</f>
        <v>11:48-11:50改規格0.25*870,無損耗</v>
      </c>
      <c r="P11" s="1522"/>
      <c r="Q11" s="1522"/>
      <c r="R11" s="1523"/>
      <c r="S11" s="1517" t="str">
        <f>'103'!V6</f>
        <v>史豐銘</v>
      </c>
    </row>
    <row r="12" spans="1:23" ht="17.25" customHeight="1">
      <c r="A12" s="1336"/>
      <c r="B12" s="84" t="s">
        <v>205</v>
      </c>
      <c r="C12" s="850" t="s">
        <v>42</v>
      </c>
      <c r="D12" s="649">
        <v>0.25</v>
      </c>
      <c r="E12" s="815">
        <v>870</v>
      </c>
      <c r="F12" s="815">
        <f>'103'!O7</f>
        <v>350</v>
      </c>
      <c r="G12" s="1311">
        <f>'103'!K7</f>
        <v>2535</v>
      </c>
      <c r="H12" s="1312"/>
      <c r="I12" s="1313"/>
      <c r="J12" s="814">
        <f>'103'!L7</f>
        <v>0</v>
      </c>
      <c r="K12" s="1527"/>
      <c r="L12" s="1528"/>
      <c r="M12" s="1529"/>
      <c r="N12" s="820">
        <f>J12/(G12+J12)</f>
        <v>0</v>
      </c>
      <c r="O12" s="1530" t="str">
        <f>'103'!U7</f>
        <v>19:15最後一支交接班</v>
      </c>
      <c r="P12" s="1531"/>
      <c r="Q12" s="1531"/>
      <c r="R12" s="1532"/>
      <c r="S12" s="1518"/>
    </row>
    <row r="13" spans="1:23" ht="36.75" customHeight="1">
      <c r="A13" s="1326"/>
      <c r="B13" s="881" t="s">
        <v>207</v>
      </c>
      <c r="C13" s="422" t="s">
        <v>42</v>
      </c>
      <c r="D13" s="421">
        <v>0.25</v>
      </c>
      <c r="E13" s="880">
        <v>870</v>
      </c>
      <c r="F13" s="880">
        <f>'103'!O8</f>
        <v>350</v>
      </c>
      <c r="G13" s="1327">
        <f>'103'!K8</f>
        <v>4020</v>
      </c>
      <c r="H13" s="1328"/>
      <c r="I13" s="1329"/>
      <c r="J13" s="423">
        <f>'103'!L8</f>
        <v>0</v>
      </c>
      <c r="K13" s="1314">
        <f>'103'!P8</f>
        <v>0.95714285714285718</v>
      </c>
      <c r="L13" s="1315"/>
      <c r="M13" s="1316"/>
      <c r="N13" s="820">
        <f>J13/(G13+J13)</f>
        <v>0</v>
      </c>
      <c r="O13" s="1308" t="str">
        <f>'103'!U8</f>
        <v>07:16最後一支交接班</v>
      </c>
      <c r="P13" s="1309"/>
      <c r="Q13" s="1309"/>
      <c r="R13" s="1310"/>
      <c r="S13" s="822" t="str">
        <f>'103'!V8</f>
        <v>盧宇昇(20:00-23:10)
阮宏山(23:10-08:00)</v>
      </c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359" t="s">
        <v>9</v>
      </c>
      <c r="B16" s="84" t="s">
        <v>205</v>
      </c>
      <c r="C16" s="850" t="s">
        <v>44</v>
      </c>
      <c r="D16" s="649">
        <v>1.2</v>
      </c>
      <c r="E16" s="815">
        <v>715</v>
      </c>
      <c r="F16" s="815">
        <f>'105'!O6</f>
        <v>450</v>
      </c>
      <c r="G16" s="1311">
        <f>'105'!K6</f>
        <v>4984</v>
      </c>
      <c r="H16" s="1312"/>
      <c r="I16" s="1313"/>
      <c r="J16" s="814">
        <f>'105'!L6</f>
        <v>0</v>
      </c>
      <c r="K16" s="1330">
        <f>'105'!P6</f>
        <v>0.92296296296296299</v>
      </c>
      <c r="L16" s="1331"/>
      <c r="M16" s="1332"/>
      <c r="N16" s="871">
        <f t="shared" ref="N16:N23" si="0">J16/(G16+J16)</f>
        <v>0</v>
      </c>
      <c r="O16" s="1333" t="str">
        <f>'105'!U6</f>
        <v>18:56最後一支交接班</v>
      </c>
      <c r="P16" s="1334"/>
      <c r="Q16" s="1334"/>
      <c r="R16" s="1335"/>
      <c r="S16" s="860" t="str">
        <f>'105'!V6</f>
        <v>范文光</v>
      </c>
    </row>
    <row r="17" spans="1:19" ht="17.25" customHeight="1">
      <c r="A17" s="1359"/>
      <c r="B17" s="881" t="s">
        <v>43</v>
      </c>
      <c r="C17" s="422" t="s">
        <v>44</v>
      </c>
      <c r="D17" s="421">
        <v>1.2</v>
      </c>
      <c r="E17" s="880">
        <v>715</v>
      </c>
      <c r="F17" s="880">
        <f>'105'!O7</f>
        <v>450</v>
      </c>
      <c r="G17" s="1327">
        <f>'105'!K7</f>
        <v>2847</v>
      </c>
      <c r="H17" s="1328"/>
      <c r="I17" s="1329"/>
      <c r="J17" s="423">
        <f>'105'!L7</f>
        <v>92</v>
      </c>
      <c r="K17" s="1541">
        <f>'105'!P7+'105'!P8</f>
        <v>0.92222222222222228</v>
      </c>
      <c r="L17" s="1542"/>
      <c r="M17" s="1543"/>
      <c r="N17" s="871">
        <f t="shared" si="0"/>
        <v>3.1303164341612795E-2</v>
      </c>
      <c r="O17" s="1534" t="str">
        <f>'105'!U7</f>
        <v>01:35-02:10改規格1.8*715,NG  92KG</v>
      </c>
      <c r="P17" s="1535"/>
      <c r="Q17" s="1535"/>
      <c r="R17" s="1536"/>
      <c r="S17" s="1519" t="str">
        <f>'105'!V7</f>
        <v>阮庭平</v>
      </c>
    </row>
    <row r="18" spans="1:19" ht="17.25" customHeight="1">
      <c r="A18" s="1102"/>
      <c r="B18" s="881" t="s">
        <v>43</v>
      </c>
      <c r="C18" s="422" t="s">
        <v>44</v>
      </c>
      <c r="D18" s="421">
        <v>1.8</v>
      </c>
      <c r="E18" s="880">
        <v>715</v>
      </c>
      <c r="F18" s="880">
        <f>'105'!O8</f>
        <v>450</v>
      </c>
      <c r="G18" s="1327">
        <f>'105'!K8</f>
        <v>2133</v>
      </c>
      <c r="H18" s="1328"/>
      <c r="I18" s="1329"/>
      <c r="J18" s="423">
        <f>'105'!L8</f>
        <v>0</v>
      </c>
      <c r="K18" s="1544"/>
      <c r="L18" s="1545"/>
      <c r="M18" s="1546"/>
      <c r="N18" s="871">
        <f t="shared" si="0"/>
        <v>0</v>
      </c>
      <c r="O18" s="1537" t="str">
        <f>'105'!U8</f>
        <v>07:30最後一支交接班</v>
      </c>
      <c r="P18" s="1538"/>
      <c r="Q18" s="1538"/>
      <c r="R18" s="1539"/>
      <c r="S18" s="1520"/>
    </row>
    <row r="19" spans="1:19" ht="36" customHeight="1">
      <c r="A19" s="1370" t="s">
        <v>644</v>
      </c>
      <c r="B19" s="84" t="s">
        <v>205</v>
      </c>
      <c r="C19" s="850" t="s">
        <v>42</v>
      </c>
      <c r="D19" s="851">
        <v>1.38</v>
      </c>
      <c r="E19" s="815">
        <v>805</v>
      </c>
      <c r="F19" s="815">
        <f>'106'!O6</f>
        <v>1185</v>
      </c>
      <c r="G19" s="1311">
        <f>'106'!K6</f>
        <v>8740</v>
      </c>
      <c r="H19" s="1312"/>
      <c r="I19" s="1313"/>
      <c r="J19" s="814">
        <f>'106'!L6</f>
        <v>104</v>
      </c>
      <c r="K19" s="1330">
        <f>'106'!P6</f>
        <v>0.61462728551336143</v>
      </c>
      <c r="L19" s="1331"/>
      <c r="M19" s="1332"/>
      <c r="N19" s="871">
        <f t="shared" si="0"/>
        <v>1.1759384893713252E-2</v>
      </c>
      <c r="O19" s="1364" t="str">
        <f>'106'!U6</f>
        <v>20:04最後一支交接班
09:15-14:00網壓太高,停機維修及更換網座及電路異常維修,NG  104KG</v>
      </c>
      <c r="P19" s="1365"/>
      <c r="Q19" s="1365"/>
      <c r="R19" s="1366"/>
      <c r="S19" s="822" t="str">
        <f>'106'!V6</f>
        <v>黎文中.林子維</v>
      </c>
    </row>
    <row r="20" spans="1:19" ht="34.5" customHeight="1">
      <c r="A20" s="1371"/>
      <c r="B20" s="881" t="s">
        <v>43</v>
      </c>
      <c r="C20" s="422" t="s">
        <v>42</v>
      </c>
      <c r="D20" s="421">
        <v>1.38</v>
      </c>
      <c r="E20" s="880">
        <v>805</v>
      </c>
      <c r="F20" s="880">
        <f>'106'!O7</f>
        <v>1185</v>
      </c>
      <c r="G20" s="1327">
        <f>'106'!K7</f>
        <v>13125</v>
      </c>
      <c r="H20" s="1328"/>
      <c r="I20" s="1329"/>
      <c r="J20" s="423">
        <f>'106'!L7</f>
        <v>0</v>
      </c>
      <c r="K20" s="1330">
        <f>'106'!P7</f>
        <v>0.9229957805907173</v>
      </c>
      <c r="L20" s="1331"/>
      <c r="M20" s="1332"/>
      <c r="N20" s="871">
        <f t="shared" si="0"/>
        <v>0</v>
      </c>
      <c r="O20" s="1364" t="str">
        <f>'106'!U7</f>
        <v>07:50最後一支交接班</v>
      </c>
      <c r="P20" s="1365"/>
      <c r="Q20" s="1365"/>
      <c r="R20" s="1366"/>
      <c r="S20" s="822" t="str">
        <f>'106'!V7</f>
        <v>黃隨貴
盧宇昇(23:10-08:00)</v>
      </c>
    </row>
    <row r="21" spans="1:19" ht="17.25" customHeight="1">
      <c r="A21" s="1362" t="s">
        <v>418</v>
      </c>
      <c r="B21" s="84" t="s">
        <v>205</v>
      </c>
      <c r="C21" s="850" t="s">
        <v>44</v>
      </c>
      <c r="D21" s="851">
        <v>0.47</v>
      </c>
      <c r="E21" s="815">
        <v>820</v>
      </c>
      <c r="F21" s="815">
        <f>'107'!O6</f>
        <v>450</v>
      </c>
      <c r="G21" s="1311">
        <f>'107'!K6</f>
        <v>3519</v>
      </c>
      <c r="H21" s="1312"/>
      <c r="I21" s="1313"/>
      <c r="J21" s="814">
        <f>'107'!L6</f>
        <v>51</v>
      </c>
      <c r="K21" s="1524">
        <f>'107'!P6+'107'!P7</f>
        <v>0.93129629629629629</v>
      </c>
      <c r="L21" s="1525"/>
      <c r="M21" s="1526"/>
      <c r="N21" s="871">
        <f t="shared" si="0"/>
        <v>1.4285714285714285E-2</v>
      </c>
      <c r="O21" s="1348" t="str">
        <f>'107'!U6</f>
        <v>15:37-16:02更改顏色,洗料NG  51KG</v>
      </c>
      <c r="P21" s="1349"/>
      <c r="Q21" s="1349"/>
      <c r="R21" s="1350"/>
      <c r="S21" s="1517" t="str">
        <f>'107'!V6</f>
        <v>潘文銅</v>
      </c>
    </row>
    <row r="22" spans="1:19" ht="17.25" customHeight="1">
      <c r="A22" s="1540"/>
      <c r="B22" s="84" t="s">
        <v>205</v>
      </c>
      <c r="C22" s="850" t="s">
        <v>818</v>
      </c>
      <c r="D22" s="851">
        <v>0.6</v>
      </c>
      <c r="E22" s="815">
        <v>830</v>
      </c>
      <c r="F22" s="815">
        <f>'107'!O7</f>
        <v>450</v>
      </c>
      <c r="G22" s="1311">
        <f>'107'!K7</f>
        <v>1510</v>
      </c>
      <c r="H22" s="1312"/>
      <c r="I22" s="1313"/>
      <c r="J22" s="814">
        <f>'107'!L7</f>
        <v>0</v>
      </c>
      <c r="K22" s="1527"/>
      <c r="L22" s="1528"/>
      <c r="M22" s="1529"/>
      <c r="N22" s="871">
        <f t="shared" si="0"/>
        <v>0</v>
      </c>
      <c r="O22" s="1367" t="str">
        <f>'107'!U7</f>
        <v>19:28最後一支交接班</v>
      </c>
      <c r="P22" s="1368"/>
      <c r="Q22" s="1368"/>
      <c r="R22" s="1369"/>
      <c r="S22" s="1518"/>
    </row>
    <row r="23" spans="1:19" ht="17.25" customHeight="1">
      <c r="A23" s="1363"/>
      <c r="B23" s="881" t="s">
        <v>43</v>
      </c>
      <c r="C23" s="422" t="s">
        <v>818</v>
      </c>
      <c r="D23" s="421">
        <v>0.6</v>
      </c>
      <c r="E23" s="880">
        <v>830</v>
      </c>
      <c r="F23" s="880">
        <f>'107'!O8</f>
        <v>450</v>
      </c>
      <c r="G23" s="1327">
        <f>'107'!K8</f>
        <v>5037</v>
      </c>
      <c r="H23" s="1328"/>
      <c r="I23" s="1329"/>
      <c r="J23" s="423">
        <f>'107'!L8</f>
        <v>0</v>
      </c>
      <c r="K23" s="1314">
        <f>'107'!P8</f>
        <v>0.93277777777777782</v>
      </c>
      <c r="L23" s="1315"/>
      <c r="M23" s="1316"/>
      <c r="N23" s="871">
        <f t="shared" si="0"/>
        <v>0</v>
      </c>
      <c r="O23" s="1367" t="str">
        <f>'107'!U8</f>
        <v>07:05最後一支交接班</v>
      </c>
      <c r="P23" s="1368"/>
      <c r="Q23" s="1368"/>
      <c r="R23" s="1369"/>
      <c r="S23" s="822" t="str">
        <f>'107'!V8</f>
        <v>磨文林</v>
      </c>
    </row>
    <row r="24" spans="1:19" ht="17.25" customHeight="1">
      <c r="A24" s="843"/>
      <c r="B24" s="841"/>
      <c r="C24" s="850"/>
      <c r="D24" s="851"/>
      <c r="E24" s="815"/>
      <c r="F24" s="815"/>
      <c r="G24" s="832" t="s">
        <v>666</v>
      </c>
      <c r="H24" s="838"/>
      <c r="I24" s="833">
        <f>SUM(G7:I23)</f>
        <v>60002</v>
      </c>
      <c r="J24" s="833">
        <f>SUM(J7:J23)</f>
        <v>247</v>
      </c>
      <c r="K24" s="1314"/>
      <c r="L24" s="1315"/>
      <c r="M24" s="1316"/>
      <c r="N24" s="647"/>
      <c r="O24" s="1372"/>
      <c r="P24" s="1373"/>
      <c r="Q24" s="1373"/>
      <c r="R24" s="1374"/>
      <c r="S24" s="812"/>
    </row>
    <row r="25" spans="1:19" ht="20.100000000000001" hidden="1" customHeight="1">
      <c r="A25" s="1400" t="s">
        <v>10</v>
      </c>
      <c r="B25" s="84" t="s">
        <v>205</v>
      </c>
      <c r="C25" s="648" t="s">
        <v>44</v>
      </c>
      <c r="D25" s="649">
        <v>2.35</v>
      </c>
      <c r="E25" s="85">
        <v>800</v>
      </c>
      <c r="F25" s="85"/>
      <c r="G25" s="1401"/>
      <c r="H25" s="1401"/>
      <c r="I25" s="1401"/>
      <c r="J25" s="650"/>
      <c r="K25" s="1402"/>
      <c r="L25" s="1403"/>
      <c r="M25" s="1404"/>
      <c r="N25" s="647" t="e">
        <f t="shared" ref="N25:N30" si="1">J25/(G25+J25)</f>
        <v>#DIV/0!</v>
      </c>
      <c r="O25" s="1348"/>
      <c r="P25" s="1349"/>
      <c r="Q25" s="1349"/>
      <c r="R25" s="1350"/>
      <c r="S25" s="1414"/>
    </row>
    <row r="26" spans="1:19" ht="20.100000000000001" hidden="1" customHeight="1">
      <c r="A26" s="1400"/>
      <c r="B26" s="84" t="s">
        <v>0</v>
      </c>
      <c r="C26" s="648" t="s">
        <v>44</v>
      </c>
      <c r="D26" s="649">
        <v>1.85</v>
      </c>
      <c r="E26" s="85">
        <v>800</v>
      </c>
      <c r="F26" s="85"/>
      <c r="G26" s="1401"/>
      <c r="H26" s="1401"/>
      <c r="I26" s="1401"/>
      <c r="J26" s="650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415"/>
    </row>
    <row r="27" spans="1:19" ht="20.100000000000001" hidden="1" customHeight="1">
      <c r="A27" s="1400"/>
      <c r="B27" s="84" t="s">
        <v>205</v>
      </c>
      <c r="C27" s="648" t="s">
        <v>44</v>
      </c>
      <c r="D27" s="649"/>
      <c r="E27" s="85"/>
      <c r="F27" s="85"/>
      <c r="G27" s="1401"/>
      <c r="H27" s="1401"/>
      <c r="I27" s="1401"/>
      <c r="J27" s="650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41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2.35</v>
      </c>
      <c r="E28" s="880">
        <v>800</v>
      </c>
      <c r="F28" s="880"/>
      <c r="G28" s="1358"/>
      <c r="H28" s="1358"/>
      <c r="I28" s="1358"/>
      <c r="J28" s="423"/>
      <c r="K28" s="1402"/>
      <c r="L28" s="1403"/>
      <c r="M28" s="1404"/>
      <c r="N28" s="647" t="e">
        <f t="shared" si="1"/>
        <v>#DIV/0!</v>
      </c>
      <c r="O28" s="1348"/>
      <c r="P28" s="1349"/>
      <c r="Q28" s="1349"/>
      <c r="R28" s="1350"/>
      <c r="S28" s="1375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1.75</v>
      </c>
      <c r="E29" s="880">
        <v>715</v>
      </c>
      <c r="F29" s="880"/>
      <c r="G29" s="1358"/>
      <c r="H29" s="1358"/>
      <c r="I29" s="1358"/>
      <c r="J29" s="423"/>
      <c r="K29" s="1405"/>
      <c r="L29" s="1406"/>
      <c r="M29" s="1407"/>
      <c r="N29" s="647" t="e">
        <f t="shared" si="1"/>
        <v>#DIV/0!</v>
      </c>
      <c r="O29" s="1411"/>
      <c r="P29" s="1412"/>
      <c r="Q29" s="1412"/>
      <c r="R29" s="1413"/>
      <c r="S29" s="1376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1.6</v>
      </c>
      <c r="E30" s="880">
        <v>715</v>
      </c>
      <c r="F30" s="880"/>
      <c r="G30" s="1358"/>
      <c r="H30" s="1358"/>
      <c r="I30" s="1358"/>
      <c r="J30" s="423"/>
      <c r="K30" s="1408"/>
      <c r="L30" s="1409"/>
      <c r="M30" s="1410"/>
      <c r="N30" s="647" t="e">
        <f t="shared" si="1"/>
        <v>#DIV/0!</v>
      </c>
      <c r="O30" s="1367"/>
      <c r="P30" s="1368"/>
      <c r="Q30" s="1368"/>
      <c r="R30" s="1369"/>
      <c r="S30" s="1377"/>
    </row>
    <row r="31" spans="1:19" s="76" customFormat="1" ht="31.7" customHeight="1">
      <c r="A31" s="56" t="s">
        <v>212</v>
      </c>
      <c r="B31" s="388" t="s">
        <v>193</v>
      </c>
      <c r="C31" s="1378" t="s">
        <v>11</v>
      </c>
      <c r="D31" s="1379"/>
      <c r="E31" s="1380"/>
      <c r="F31" s="409" t="s">
        <v>12</v>
      </c>
      <c r="G31" s="409" t="s">
        <v>13</v>
      </c>
      <c r="H31" s="410" t="s">
        <v>215</v>
      </c>
      <c r="I31" s="411" t="s">
        <v>14</v>
      </c>
      <c r="J31" s="412" t="s">
        <v>15</v>
      </c>
      <c r="K31" s="651" t="s">
        <v>16</v>
      </c>
      <c r="L31" s="652" t="s">
        <v>60</v>
      </c>
      <c r="M31" s="653" t="s">
        <v>17</v>
      </c>
      <c r="N31" s="652" t="s">
        <v>18</v>
      </c>
      <c r="O31" s="1381" t="s">
        <v>29</v>
      </c>
      <c r="P31" s="1381"/>
      <c r="Q31" s="1381"/>
      <c r="R31" s="1381"/>
      <c r="S31" s="383" t="s">
        <v>4</v>
      </c>
    </row>
    <row r="32" spans="1:19" s="132" customFormat="1" ht="16.5" hidden="1" customHeight="1">
      <c r="A32" s="1126" t="s">
        <v>19</v>
      </c>
      <c r="B32" s="134" t="s">
        <v>0</v>
      </c>
      <c r="C32" s="1382"/>
      <c r="D32" s="1383"/>
      <c r="E32" s="1384"/>
      <c r="F32" s="380"/>
      <c r="G32" s="246">
        <f>SUM(G9:G30)</f>
        <v>60002</v>
      </c>
      <c r="H32" s="95"/>
      <c r="I32" s="844" t="e">
        <f>SUM(#REF!)</f>
        <v>#REF!</v>
      </c>
      <c r="J32" s="390"/>
      <c r="K32" s="390"/>
      <c r="L32" s="389"/>
      <c r="M32" s="1385"/>
      <c r="N32" s="654"/>
      <c r="O32" s="1388"/>
      <c r="P32" s="1389"/>
      <c r="Q32" s="1389"/>
      <c r="R32" s="1390"/>
      <c r="S32" s="1397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6"/>
      <c r="N33" s="654"/>
      <c r="O33" s="1391"/>
      <c r="P33" s="1392"/>
      <c r="Q33" s="1392"/>
      <c r="R33" s="1393"/>
      <c r="S33" s="1398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7"/>
      <c r="N34" s="654"/>
      <c r="O34" s="1394"/>
      <c r="P34" s="1395"/>
      <c r="Q34" s="1395"/>
      <c r="R34" s="1396"/>
      <c r="S34" s="1399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5"/>
      <c r="N35" s="654"/>
      <c r="O35" s="1388"/>
      <c r="P35" s="1389"/>
      <c r="Q35" s="1389"/>
      <c r="R35" s="1390"/>
      <c r="S35" s="1420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7"/>
      <c r="N38" s="654"/>
      <c r="O38" s="1394"/>
      <c r="P38" s="1395"/>
      <c r="Q38" s="1395"/>
      <c r="R38" s="1396"/>
      <c r="S38" s="1422"/>
    </row>
    <row r="39" spans="1:19" ht="18" hidden="1" customHeight="1">
      <c r="A39" s="1426" t="s">
        <v>61</v>
      </c>
      <c r="B39" s="84" t="s">
        <v>205</v>
      </c>
      <c r="C39" s="1382"/>
      <c r="D39" s="1383"/>
      <c r="E39" s="1384"/>
      <c r="F39" s="380"/>
      <c r="G39" s="245"/>
      <c r="H39" s="85"/>
      <c r="I39" s="85"/>
      <c r="J39" s="656"/>
      <c r="K39" s="392"/>
      <c r="L39" s="251"/>
      <c r="M39" s="1385"/>
      <c r="N39" s="428"/>
      <c r="O39" s="1388"/>
      <c r="P39" s="1389"/>
      <c r="Q39" s="1389"/>
      <c r="R39" s="1390"/>
      <c r="S39" s="1423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6"/>
      <c r="N40" s="654"/>
      <c r="O40" s="1391"/>
      <c r="P40" s="1392"/>
      <c r="Q40" s="1392"/>
      <c r="R40" s="1393"/>
      <c r="S40" s="1424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7"/>
      <c r="N41" s="654"/>
      <c r="O41" s="1394"/>
      <c r="P41" s="1395"/>
      <c r="Q41" s="1395"/>
      <c r="R41" s="1396"/>
      <c r="S41" s="1425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5"/>
      <c r="N42" s="654"/>
      <c r="O42" s="1388"/>
      <c r="P42" s="1389"/>
      <c r="Q42" s="1389"/>
      <c r="R42" s="1390"/>
      <c r="S42" s="1420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6"/>
      <c r="N43" s="654"/>
      <c r="O43" s="1391"/>
      <c r="P43" s="1392"/>
      <c r="Q43" s="1392"/>
      <c r="R43" s="1393"/>
      <c r="S43" s="1421"/>
    </row>
    <row r="44" spans="1:19" ht="18" hidden="1" customHeight="1">
      <c r="A44" s="1426"/>
      <c r="B44" s="381" t="s">
        <v>207</v>
      </c>
      <c r="C44" s="1417"/>
      <c r="D44" s="1418"/>
      <c r="E44" s="1419"/>
      <c r="F44" s="657"/>
      <c r="G44" s="243"/>
      <c r="H44" s="114"/>
      <c r="I44" s="114"/>
      <c r="J44" s="655"/>
      <c r="K44" s="391"/>
      <c r="L44" s="240"/>
      <c r="M44" s="1387"/>
      <c r="N44" s="428"/>
      <c r="O44" s="1394"/>
      <c r="P44" s="1395"/>
      <c r="Q44" s="1395"/>
      <c r="R44" s="1396"/>
      <c r="S44" s="1422"/>
    </row>
    <row r="45" spans="1:19" ht="18" hidden="1" customHeight="1">
      <c r="A45" s="1260" t="s">
        <v>20</v>
      </c>
      <c r="B45" s="84" t="s">
        <v>205</v>
      </c>
      <c r="C45" s="1382"/>
      <c r="D45" s="1383"/>
      <c r="E45" s="1384"/>
      <c r="F45" s="380"/>
      <c r="G45" s="245"/>
      <c r="H45" s="85"/>
      <c r="I45" s="85"/>
      <c r="J45" s="656"/>
      <c r="K45" s="393"/>
      <c r="L45" s="251"/>
      <c r="M45" s="1385"/>
      <c r="N45" s="428"/>
      <c r="O45" s="1388"/>
      <c r="P45" s="1389"/>
      <c r="Q45" s="1389"/>
      <c r="R45" s="1390"/>
      <c r="S45" s="1423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6"/>
      <c r="N46" s="654"/>
      <c r="O46" s="1391"/>
      <c r="P46" s="1392"/>
      <c r="Q46" s="1392"/>
      <c r="R46" s="1393"/>
      <c r="S46" s="1424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7"/>
      <c r="N47" s="654"/>
      <c r="O47" s="1394"/>
      <c r="P47" s="1395"/>
      <c r="Q47" s="1395"/>
      <c r="R47" s="1396"/>
      <c r="S47" s="1425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5"/>
      <c r="N48" s="654"/>
      <c r="O48" s="1388"/>
      <c r="P48" s="1389"/>
      <c r="Q48" s="1389"/>
      <c r="R48" s="1390"/>
      <c r="S48" s="1420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6"/>
      <c r="N49" s="654"/>
      <c r="O49" s="1391"/>
      <c r="P49" s="1392"/>
      <c r="Q49" s="1392"/>
      <c r="R49" s="1393"/>
      <c r="S49" s="1421"/>
    </row>
    <row r="50" spans="1:24" ht="15.75" hidden="1" customHeight="1">
      <c r="A50" s="1260"/>
      <c r="B50" s="381" t="s">
        <v>207</v>
      </c>
      <c r="C50" s="1417"/>
      <c r="D50" s="1418"/>
      <c r="E50" s="1419"/>
      <c r="F50" s="657"/>
      <c r="G50" s="243"/>
      <c r="H50" s="114"/>
      <c r="I50" s="114"/>
      <c r="J50" s="655"/>
      <c r="K50" s="391"/>
      <c r="L50" s="240"/>
      <c r="M50" s="1387"/>
      <c r="N50" s="428"/>
      <c r="O50" s="1394"/>
      <c r="P50" s="1395"/>
      <c r="Q50" s="1395"/>
      <c r="R50" s="1396"/>
      <c r="S50" s="1422"/>
    </row>
    <row r="51" spans="1:24" ht="69" customHeight="1">
      <c r="A51" s="1126" t="s">
        <v>21</v>
      </c>
      <c r="B51" s="84" t="s">
        <v>0</v>
      </c>
      <c r="C51" s="1427" t="e">
        <f>#REF!</f>
        <v>#REF!</v>
      </c>
      <c r="D51" s="1427"/>
      <c r="E51" s="1427"/>
      <c r="F51" s="827" t="s">
        <v>772</v>
      </c>
      <c r="G51" s="828" t="e">
        <f>#REF!</f>
        <v>#REF!</v>
      </c>
      <c r="H51" s="815"/>
      <c r="I51" s="827">
        <v>4</v>
      </c>
      <c r="J51" s="828" t="e">
        <f>#REF!</f>
        <v>#REF!</v>
      </c>
      <c r="K51" s="828" t="e">
        <f>#REF!</f>
        <v>#REF!</v>
      </c>
      <c r="L51" s="828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33.75" customHeight="1">
      <c r="A52" s="1189"/>
      <c r="B52" s="881" t="s">
        <v>43</v>
      </c>
      <c r="C52" s="1360" t="e">
        <f>#REF!</f>
        <v>#REF!</v>
      </c>
      <c r="D52" s="1360"/>
      <c r="E52" s="1360"/>
      <c r="F52" s="418" t="s">
        <v>772</v>
      </c>
      <c r="G52" s="660" t="e">
        <f>#REF!</f>
        <v>#REF!</v>
      </c>
      <c r="H52" s="880"/>
      <c r="I52" s="418">
        <v>4</v>
      </c>
      <c r="J52" s="660" t="e">
        <f>#REF!</f>
        <v>#REF!</v>
      </c>
      <c r="K52" s="660" t="e">
        <f>#REF!</f>
        <v>#REF!</v>
      </c>
      <c r="L52" s="660" t="e">
        <f>#REF!</f>
        <v>#REF!</v>
      </c>
      <c r="M52" s="661" t="e">
        <f>#REF!</f>
        <v>#REF!</v>
      </c>
      <c r="N52" s="662" t="e">
        <f>#REF!</f>
        <v>#REF!</v>
      </c>
      <c r="O52" s="1361" t="e">
        <f>#REF!</f>
        <v>#REF!</v>
      </c>
      <c r="P52" s="1361"/>
      <c r="Q52" s="1361"/>
      <c r="R52" s="1361"/>
      <c r="S52" s="822" t="e">
        <f>#REF!</f>
        <v>#REF!</v>
      </c>
      <c r="V52" s="1382" t="s">
        <v>633</v>
      </c>
      <c r="W52" s="1383"/>
      <c r="X52" s="1384"/>
    </row>
    <row r="53" spans="1:24" ht="33.75" customHeight="1">
      <c r="A53" s="1126" t="s">
        <v>22</v>
      </c>
      <c r="B53" s="84" t="s">
        <v>0</v>
      </c>
      <c r="C53" s="1427" t="e">
        <f>#REF!</f>
        <v>#REF!</v>
      </c>
      <c r="D53" s="1427"/>
      <c r="E53" s="1427"/>
      <c r="F53" s="827" t="s">
        <v>722</v>
      </c>
      <c r="G53" s="852" t="e">
        <f>#REF!</f>
        <v>#REF!</v>
      </c>
      <c r="H53" s="815"/>
      <c r="I53" s="827">
        <v>3</v>
      </c>
      <c r="J53" s="852" t="e">
        <f>#REF!</f>
        <v>#REF!</v>
      </c>
      <c r="K53" s="885" t="e">
        <f>#REF!</f>
        <v>#REF!</v>
      </c>
      <c r="L53" s="885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17.25" customHeight="1">
      <c r="A54" s="1189"/>
      <c r="B54" s="881" t="s">
        <v>43</v>
      </c>
      <c r="C54" s="1360" t="e">
        <f>#REF!</f>
        <v>#REF!</v>
      </c>
      <c r="D54" s="1360"/>
      <c r="E54" s="1360"/>
      <c r="F54" s="418" t="s">
        <v>773</v>
      </c>
      <c r="G54" s="840" t="e">
        <f>#REF!</f>
        <v>#REF!</v>
      </c>
      <c r="H54" s="880"/>
      <c r="I54" s="418">
        <v>2</v>
      </c>
      <c r="J54" s="840" t="e">
        <f>#REF!</f>
        <v>#REF!</v>
      </c>
      <c r="K54" s="890" t="e">
        <f>#REF!</f>
        <v>#REF!</v>
      </c>
      <c r="L54" s="890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52.5" customHeight="1">
      <c r="A55" s="1428" t="s">
        <v>23</v>
      </c>
      <c r="B55" s="84" t="s">
        <v>0</v>
      </c>
      <c r="C55" s="1427" t="e">
        <f>#REF!</f>
        <v>#REF!</v>
      </c>
      <c r="D55" s="1427"/>
      <c r="E55" s="1427"/>
      <c r="F55" s="827" t="s">
        <v>724</v>
      </c>
      <c r="G55" s="828" t="e">
        <f>#REF!</f>
        <v>#REF!</v>
      </c>
      <c r="H55" s="815"/>
      <c r="I55" s="827">
        <v>3</v>
      </c>
      <c r="J55" s="828" t="e">
        <f>#REF!</f>
        <v>#REF!</v>
      </c>
      <c r="K55" s="828" t="e">
        <f>#REF!</f>
        <v>#REF!</v>
      </c>
      <c r="L55" s="828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17.25" customHeight="1">
      <c r="A56" s="1429"/>
      <c r="B56" s="381" t="s">
        <v>43</v>
      </c>
      <c r="C56" s="1360" t="e">
        <f>#REF!</f>
        <v>#REF!</v>
      </c>
      <c r="D56" s="1360"/>
      <c r="E56" s="1360"/>
      <c r="F56" s="418" t="s">
        <v>724</v>
      </c>
      <c r="G56" s="660" t="e">
        <f>#REF!</f>
        <v>#REF!</v>
      </c>
      <c r="H56" s="880"/>
      <c r="I56" s="418">
        <v>3</v>
      </c>
      <c r="J56" s="660" t="e">
        <f>#REF!</f>
        <v>#REF!</v>
      </c>
      <c r="K56" s="660" t="e">
        <f>#REF!</f>
        <v>#REF!</v>
      </c>
      <c r="L56" s="660" t="e">
        <f>#REF!</f>
        <v>#REF!</v>
      </c>
      <c r="M56" s="865" t="e">
        <f>#REF!</f>
        <v>#REF!</v>
      </c>
      <c r="N56" s="662" t="e">
        <f>#REF!</f>
        <v>#REF!</v>
      </c>
      <c r="O56" s="1364" t="e">
        <f>#REF!</f>
        <v>#REF!</v>
      </c>
      <c r="P56" s="1365"/>
      <c r="Q56" s="1365"/>
      <c r="R56" s="1366"/>
      <c r="S56" s="822" t="e">
        <f>#REF!</f>
        <v>#REF!</v>
      </c>
    </row>
    <row r="57" spans="1:24" ht="17.25" customHeight="1">
      <c r="A57" s="1126" t="s">
        <v>24</v>
      </c>
      <c r="B57" s="84" t="s">
        <v>0</v>
      </c>
      <c r="C57" s="1427" t="s">
        <v>633</v>
      </c>
      <c r="D57" s="1427"/>
      <c r="E57" s="1427"/>
      <c r="F57" s="827"/>
      <c r="G57" s="828"/>
      <c r="H57" s="815"/>
      <c r="I57" s="827"/>
      <c r="J57" s="828"/>
      <c r="K57" s="828"/>
      <c r="L57" s="828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127"/>
      <c r="B58" s="381" t="s">
        <v>43</v>
      </c>
      <c r="C58" s="1360" t="s">
        <v>633</v>
      </c>
      <c r="D58" s="1360"/>
      <c r="E58" s="1360"/>
      <c r="F58" s="418"/>
      <c r="G58" s="660"/>
      <c r="H58" s="880"/>
      <c r="I58" s="418"/>
      <c r="J58" s="660"/>
      <c r="K58" s="660"/>
      <c r="L58" s="660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260" t="s">
        <v>634</v>
      </c>
      <c r="B59" s="84" t="s">
        <v>0</v>
      </c>
      <c r="C59" s="1427" t="s">
        <v>633</v>
      </c>
      <c r="D59" s="1427"/>
      <c r="E59" s="1427"/>
      <c r="F59" s="827"/>
      <c r="G59" s="828"/>
      <c r="H59" s="815"/>
      <c r="I59" s="827"/>
      <c r="J59" s="828"/>
      <c r="K59" s="828"/>
      <c r="L59" s="828"/>
      <c r="M59" s="816"/>
      <c r="N59" s="817"/>
      <c r="O59" s="1430"/>
      <c r="P59" s="1431"/>
      <c r="Q59" s="1431"/>
      <c r="R59" s="1432"/>
      <c r="S59" s="822"/>
    </row>
    <row r="60" spans="1:24" ht="35.25" customHeight="1">
      <c r="A60" s="1260"/>
      <c r="B60" s="381" t="s">
        <v>43</v>
      </c>
      <c r="C60" s="1360" t="e">
        <f>#REF!</f>
        <v>#REF!</v>
      </c>
      <c r="D60" s="1360"/>
      <c r="E60" s="1360"/>
      <c r="F60" s="418" t="s">
        <v>775</v>
      </c>
      <c r="G60" s="660" t="e">
        <f>#REF!</f>
        <v>#REF!</v>
      </c>
      <c r="H60" s="880"/>
      <c r="I60" s="418">
        <v>4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17.25" customHeight="1">
      <c r="A61" s="1126" t="s">
        <v>416</v>
      </c>
      <c r="B61" s="84" t="s">
        <v>0</v>
      </c>
      <c r="C61" s="1427" t="e">
        <f>#REF!</f>
        <v>#REF!</v>
      </c>
      <c r="D61" s="1427"/>
      <c r="E61" s="1427"/>
      <c r="F61" s="827" t="s">
        <v>776</v>
      </c>
      <c r="G61" s="828" t="e">
        <f>#REF!</f>
        <v>#REF!</v>
      </c>
      <c r="H61" s="815"/>
      <c r="I61" s="827">
        <v>3</v>
      </c>
      <c r="J61" s="828" t="e">
        <f>#REF!</f>
        <v>#REF!</v>
      </c>
      <c r="K61" s="828" t="e">
        <f>#REF!</f>
        <v>#REF!</v>
      </c>
      <c r="L61" s="828" t="e">
        <f>#REF!</f>
        <v>#REF!</v>
      </c>
      <c r="M61" s="816" t="e">
        <f>#REF!</f>
        <v>#REF!</v>
      </c>
      <c r="N61" s="818" t="e">
        <f>#REF!</f>
        <v>#REF!</v>
      </c>
      <c r="O61" s="1333" t="e">
        <f>#REF!</f>
        <v>#REF!</v>
      </c>
      <c r="P61" s="1334"/>
      <c r="Q61" s="1334"/>
      <c r="R61" s="1335"/>
      <c r="S61" s="855" t="e">
        <f>#REF!</f>
        <v>#REF!</v>
      </c>
    </row>
    <row r="62" spans="1:24" ht="17.25" customHeight="1">
      <c r="A62" s="1127"/>
      <c r="B62" s="381" t="s">
        <v>43</v>
      </c>
      <c r="C62" s="1360" t="e">
        <f>#REF!</f>
        <v>#REF!</v>
      </c>
      <c r="D62" s="1360"/>
      <c r="E62" s="1360"/>
      <c r="F62" s="418" t="s">
        <v>700</v>
      </c>
      <c r="G62" s="660" t="e">
        <f>#REF!</f>
        <v>#REF!</v>
      </c>
      <c r="H62" s="880"/>
      <c r="I62" s="418">
        <v>3</v>
      </c>
      <c r="J62" s="660" t="e">
        <f>#REF!</f>
        <v>#REF!</v>
      </c>
      <c r="K62" s="660" t="e">
        <f>#REF!</f>
        <v>#REF!</v>
      </c>
      <c r="L62" s="660" t="e">
        <f>#REF!</f>
        <v>#REF!</v>
      </c>
      <c r="M62" s="816" t="e">
        <f>#REF!</f>
        <v>#REF!</v>
      </c>
      <c r="N62" s="818" t="e">
        <f>#REF!</f>
        <v>#REF!</v>
      </c>
      <c r="O62" s="1333" t="e">
        <f>#REF!</f>
        <v>#REF!</v>
      </c>
      <c r="P62" s="1334"/>
      <c r="Q62" s="1334"/>
      <c r="R62" s="1335"/>
      <c r="S62" s="855" t="e">
        <f>#REF!</f>
        <v>#REF!</v>
      </c>
    </row>
    <row r="63" spans="1:24" ht="53.25" customHeight="1">
      <c r="A63" s="1126" t="s">
        <v>635</v>
      </c>
      <c r="B63" s="84" t="s">
        <v>0</v>
      </c>
      <c r="C63" s="1427" t="e">
        <f>#REF!</f>
        <v>#REF!</v>
      </c>
      <c r="D63" s="1427"/>
      <c r="E63" s="1427"/>
      <c r="F63" s="827" t="s">
        <v>703</v>
      </c>
      <c r="G63" s="828" t="e">
        <f>#REF!</f>
        <v>#REF!</v>
      </c>
      <c r="H63" s="815"/>
      <c r="I63" s="827">
        <v>1</v>
      </c>
      <c r="J63" s="828" t="e">
        <f>#REF!</f>
        <v>#REF!</v>
      </c>
      <c r="K63" s="828" t="e">
        <f>#REF!</f>
        <v>#REF!</v>
      </c>
      <c r="L63" s="828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48" t="e">
        <f>#REF!</f>
        <v>#REF!</v>
      </c>
    </row>
    <row r="64" spans="1:24" ht="17.25" customHeight="1">
      <c r="A64" s="1127"/>
      <c r="B64" s="381" t="s">
        <v>43</v>
      </c>
      <c r="C64" s="1360" t="s">
        <v>777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6" t="s">
        <v>636</v>
      </c>
      <c r="B65" s="84" t="s">
        <v>0</v>
      </c>
      <c r="C65" s="1427" t="e">
        <f>#REF!</f>
        <v>#REF!</v>
      </c>
      <c r="D65" s="1427"/>
      <c r="E65" s="1427"/>
      <c r="F65" s="827" t="s">
        <v>694</v>
      </c>
      <c r="G65" s="828" t="e">
        <f>#REF!</f>
        <v>#REF!</v>
      </c>
      <c r="H65" s="815"/>
      <c r="I65" s="827">
        <v>1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816" t="e">
        <f>#REF!</f>
        <v>#REF!</v>
      </c>
      <c r="N65" s="817" t="e">
        <f>#REF!</f>
        <v>#REF!</v>
      </c>
      <c r="O65" s="1436" t="e">
        <f>#REF!</f>
        <v>#REF!</v>
      </c>
      <c r="P65" s="1436"/>
      <c r="Q65" s="1436"/>
      <c r="R65" s="1436"/>
      <c r="S65" s="821" t="e">
        <f>#REF!</f>
        <v>#REF!</v>
      </c>
    </row>
    <row r="66" spans="1:79" ht="17.25" customHeight="1">
      <c r="A66" s="1127"/>
      <c r="B66" s="381" t="s">
        <v>43</v>
      </c>
      <c r="C66" s="1360" t="e">
        <f>#REF!</f>
        <v>#REF!</v>
      </c>
      <c r="D66" s="1360"/>
      <c r="E66" s="1360"/>
      <c r="F66" s="418" t="s">
        <v>694</v>
      </c>
      <c r="G66" s="660" t="e">
        <f>#REF!</f>
        <v>#REF!</v>
      </c>
      <c r="H66" s="880"/>
      <c r="I66" s="418">
        <v>3</v>
      </c>
      <c r="J66" s="660" t="e">
        <f>#REF!</f>
        <v>#REF!</v>
      </c>
      <c r="K66" s="660" t="e">
        <f>#REF!</f>
        <v>#REF!</v>
      </c>
      <c r="L66" s="660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21" t="e">
        <f>#REF!</f>
        <v>#REF!</v>
      </c>
    </row>
    <row r="67" spans="1:79" ht="17.25" customHeight="1">
      <c r="A67" s="831"/>
      <c r="B67" s="841"/>
      <c r="C67" s="882"/>
      <c r="D67" s="883"/>
      <c r="E67" s="884"/>
      <c r="F67" s="827"/>
      <c r="G67" s="828"/>
      <c r="H67" s="815"/>
      <c r="I67" s="827"/>
      <c r="J67" s="832" t="s">
        <v>666</v>
      </c>
      <c r="K67" s="836" t="e">
        <f>SUM(K51:K66)</f>
        <v>#REF!</v>
      </c>
      <c r="L67" s="839"/>
      <c r="M67" s="816"/>
      <c r="N67" s="817"/>
      <c r="O67" s="1433"/>
      <c r="P67" s="1434"/>
      <c r="Q67" s="1434"/>
      <c r="R67" s="1435"/>
      <c r="S67" s="811"/>
    </row>
    <row r="68" spans="1:79" ht="33.75" customHeight="1">
      <c r="A68" s="1400" t="s">
        <v>25</v>
      </c>
      <c r="B68" s="84" t="s">
        <v>0</v>
      </c>
      <c r="C68" s="1427" t="e">
        <f>#REF!</f>
        <v>#REF!</v>
      </c>
      <c r="D68" s="1427"/>
      <c r="E68" s="1427"/>
      <c r="F68" s="827" t="s">
        <v>729</v>
      </c>
      <c r="G68" s="828" t="e">
        <f>#REF!</f>
        <v>#REF!</v>
      </c>
      <c r="H68" s="815"/>
      <c r="I68" s="827">
        <v>5</v>
      </c>
      <c r="J68" s="828" t="e">
        <f>#REF!</f>
        <v>#REF!</v>
      </c>
      <c r="K68" s="828" t="e">
        <f>#REF!</f>
        <v>#REF!</v>
      </c>
      <c r="L68" s="828" t="e">
        <f>#REF!</f>
        <v>#REF!</v>
      </c>
      <c r="M68" s="659" t="e">
        <f>#REF!</f>
        <v>#REF!</v>
      </c>
      <c r="N68" s="415" t="e">
        <f>#REF!</f>
        <v>#REF!</v>
      </c>
      <c r="O68" s="1437" t="e">
        <f>#REF!</f>
        <v>#REF!</v>
      </c>
      <c r="P68" s="1438"/>
      <c r="Q68" s="1438"/>
      <c r="R68" s="1439"/>
      <c r="S68" s="876" t="e">
        <f>#REF!</f>
        <v>#REF!</v>
      </c>
    </row>
    <row r="69" spans="1:79" ht="51" customHeight="1">
      <c r="A69" s="1400"/>
      <c r="B69" s="381" t="s">
        <v>43</v>
      </c>
      <c r="C69" s="1360" t="e">
        <f>#REF!</f>
        <v>#REF!</v>
      </c>
      <c r="D69" s="1360"/>
      <c r="E69" s="1360"/>
      <c r="F69" s="418" t="s">
        <v>729</v>
      </c>
      <c r="G69" s="660" t="e">
        <f>#REF!</f>
        <v>#REF!</v>
      </c>
      <c r="H69" s="880"/>
      <c r="I69" s="418">
        <v>5</v>
      </c>
      <c r="J69" s="660" t="e">
        <f>#REF!</f>
        <v>#REF!</v>
      </c>
      <c r="K69" s="660" t="e">
        <f>#REF!</f>
        <v>#REF!</v>
      </c>
      <c r="L69" s="660" t="e">
        <f>#REF!</f>
        <v>#REF!</v>
      </c>
      <c r="M69" s="659" t="e">
        <f>#REF!</f>
        <v>#REF!</v>
      </c>
      <c r="N69" s="415" t="e">
        <f>#REF!</f>
        <v>#REF!</v>
      </c>
      <c r="O69" s="1437" t="e">
        <f>#REF!</f>
        <v>#REF!</v>
      </c>
      <c r="P69" s="1438"/>
      <c r="Q69" s="1438"/>
      <c r="R69" s="1439"/>
      <c r="S69" s="876" t="e">
        <f>#REF!</f>
        <v>#REF!</v>
      </c>
    </row>
    <row r="70" spans="1:79" ht="17.25" customHeight="1">
      <c r="A70" s="1260" t="s">
        <v>62</v>
      </c>
      <c r="B70" s="84" t="s">
        <v>0</v>
      </c>
      <c r="C70" s="1427" t="e">
        <f>#REF!</f>
        <v>#REF!</v>
      </c>
      <c r="D70" s="1427"/>
      <c r="E70" s="1427"/>
      <c r="F70" s="827" t="s">
        <v>731</v>
      </c>
      <c r="G70" s="828" t="e">
        <f>#REF!</f>
        <v>#REF!</v>
      </c>
      <c r="H70" s="815"/>
      <c r="I70" s="827">
        <v>3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415" t="e">
        <f>#REF!</f>
        <v>#REF!</v>
      </c>
      <c r="O70" s="1437" t="e">
        <f>#REF!</f>
        <v>#REF!</v>
      </c>
      <c r="P70" s="1438"/>
      <c r="Q70" s="1438"/>
      <c r="R70" s="1439"/>
      <c r="S70" s="861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260"/>
      <c r="B71" s="381" t="s">
        <v>43</v>
      </c>
      <c r="C71" s="1360" t="e">
        <f>#REF!</f>
        <v>#REF!</v>
      </c>
      <c r="D71" s="1360"/>
      <c r="E71" s="1360"/>
      <c r="F71" s="418" t="s">
        <v>731</v>
      </c>
      <c r="G71" s="660" t="e">
        <f>#REF!</f>
        <v>#REF!</v>
      </c>
      <c r="H71" s="880"/>
      <c r="I71" s="418">
        <v>4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415" t="e">
        <f>#REF!</f>
        <v>#REF!</v>
      </c>
      <c r="O71" s="1437" t="e">
        <f>#REF!</f>
        <v>#REF!</v>
      </c>
      <c r="P71" s="1438"/>
      <c r="Q71" s="1438"/>
      <c r="R71" s="1439"/>
      <c r="S71" s="861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260" t="s">
        <v>640</v>
      </c>
      <c r="B72" s="84" t="s">
        <v>0</v>
      </c>
      <c r="C72" s="1427" t="s">
        <v>633</v>
      </c>
      <c r="D72" s="1427"/>
      <c r="E72" s="1427"/>
      <c r="F72" s="827"/>
      <c r="G72" s="828"/>
      <c r="H72" s="815"/>
      <c r="I72" s="827"/>
      <c r="J72" s="828"/>
      <c r="K72" s="828"/>
      <c r="L72" s="828"/>
      <c r="M72" s="659"/>
      <c r="N72" s="658"/>
      <c r="O72" s="1437"/>
      <c r="P72" s="1438"/>
      <c r="Q72" s="1438"/>
      <c r="R72" s="1439"/>
      <c r="S72" s="823"/>
    </row>
    <row r="73" spans="1:79" ht="17.25" customHeight="1">
      <c r="A73" s="1260"/>
      <c r="B73" s="881" t="s">
        <v>43</v>
      </c>
      <c r="C73" s="1360" t="e">
        <f>#REF!</f>
        <v>#REF!</v>
      </c>
      <c r="D73" s="1360"/>
      <c r="E73" s="1360"/>
      <c r="F73" s="418" t="s">
        <v>778</v>
      </c>
      <c r="G73" s="660" t="e">
        <f>#REF!</f>
        <v>#REF!</v>
      </c>
      <c r="H73" s="880"/>
      <c r="I73" s="418">
        <v>3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17.25" customHeight="1">
      <c r="A74" s="1440" t="s">
        <v>26</v>
      </c>
      <c r="B74" s="84" t="s">
        <v>0</v>
      </c>
      <c r="C74" s="1382" t="e">
        <f>#REF!</f>
        <v>#REF!</v>
      </c>
      <c r="D74" s="1383"/>
      <c r="E74" s="1384"/>
      <c r="F74" s="827" t="s">
        <v>732</v>
      </c>
      <c r="G74" s="828" t="e">
        <f>#REF!</f>
        <v>#REF!</v>
      </c>
      <c r="H74" s="815"/>
      <c r="I74" s="827">
        <v>3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36" customHeight="1">
      <c r="A75" s="1547"/>
      <c r="B75" s="881" t="s">
        <v>43</v>
      </c>
      <c r="C75" s="1417" t="e">
        <f>#REF!</f>
        <v>#REF!</v>
      </c>
      <c r="D75" s="1418"/>
      <c r="E75" s="1419"/>
      <c r="F75" s="418" t="s">
        <v>732</v>
      </c>
      <c r="G75" s="660" t="e">
        <f>#REF!</f>
        <v>#REF!</v>
      </c>
      <c r="H75" s="880"/>
      <c r="I75" s="418">
        <v>3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34.5" customHeight="1">
      <c r="A76" s="1440" t="s">
        <v>27</v>
      </c>
      <c r="B76" s="841" t="s">
        <v>0</v>
      </c>
      <c r="C76" s="1427" t="e">
        <f>#REF!</f>
        <v>#REF!</v>
      </c>
      <c r="D76" s="1427"/>
      <c r="E76" s="1427"/>
      <c r="F76" s="827" t="s">
        <v>734</v>
      </c>
      <c r="G76" s="828" t="e">
        <f>#REF!</f>
        <v>#REF!</v>
      </c>
      <c r="H76" s="815"/>
      <c r="I76" s="827">
        <v>3</v>
      </c>
      <c r="J76" s="828" t="e">
        <f>#REF!</f>
        <v>#REF!</v>
      </c>
      <c r="K76" s="828" t="e">
        <f>#REF!</f>
        <v>#REF!</v>
      </c>
      <c r="L76" s="828" t="e">
        <f>#REF!</f>
        <v>#REF!</v>
      </c>
      <c r="M76" s="842" t="e">
        <f>#REF!</f>
        <v>#REF!</v>
      </c>
      <c r="N76" s="415" t="e">
        <f>#REF!</f>
        <v>#REF!</v>
      </c>
      <c r="O76" s="1442" t="e">
        <f>#REF!</f>
        <v>#REF!</v>
      </c>
      <c r="P76" s="1443"/>
      <c r="Q76" s="1443"/>
      <c r="R76" s="1444"/>
      <c r="S76" s="822" t="e">
        <f>#REF!</f>
        <v>#REF!</v>
      </c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1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842"/>
      <c r="N77" s="415"/>
      <c r="O77" s="1442"/>
      <c r="P77" s="1443"/>
      <c r="Q77" s="1443"/>
      <c r="R77" s="1444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0" t="s">
        <v>641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441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642</v>
      </c>
      <c r="B80" s="84" t="s">
        <v>0</v>
      </c>
      <c r="C80" s="1427" t="e">
        <f>#REF!</f>
        <v>#REF!</v>
      </c>
      <c r="D80" s="1427"/>
      <c r="E80" s="1427"/>
      <c r="F80" s="827" t="s">
        <v>779</v>
      </c>
      <c r="G80" s="828" t="e">
        <f>#REF!</f>
        <v>#REF!</v>
      </c>
      <c r="H80" s="815"/>
      <c r="I80" s="827"/>
      <c r="J80" s="828" t="e">
        <f>#REF!</f>
        <v>#REF!</v>
      </c>
      <c r="K80" s="828" t="e">
        <f>#REF!</f>
        <v>#REF!</v>
      </c>
      <c r="L80" s="828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89"/>
      <c r="B81" s="881" t="s">
        <v>43</v>
      </c>
      <c r="C81" s="1360" t="e">
        <f>#REF!</f>
        <v>#REF!</v>
      </c>
      <c r="D81" s="1360"/>
      <c r="E81" s="1360"/>
      <c r="F81" s="418" t="s">
        <v>779</v>
      </c>
      <c r="G81" s="660" t="e">
        <f>#REF!</f>
        <v>#REF!</v>
      </c>
      <c r="H81" s="880"/>
      <c r="I81" s="418"/>
      <c r="J81" s="660" t="e">
        <f>#REF!</f>
        <v>#REF!</v>
      </c>
      <c r="K81" s="660" t="e">
        <f>#REF!</f>
        <v>#REF!</v>
      </c>
      <c r="L81" s="660" t="e">
        <f>#REF!</f>
        <v>#REF!</v>
      </c>
      <c r="M81" s="816" t="e">
        <f>#REF!</f>
        <v>#REF!</v>
      </c>
      <c r="N81" s="415" t="e">
        <f>#REF!</f>
        <v>#REF!</v>
      </c>
      <c r="O81" s="1437"/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735</v>
      </c>
      <c r="G82" s="828" t="e">
        <f>#REF!</f>
        <v>#REF!</v>
      </c>
      <c r="H82" s="815"/>
      <c r="I82" s="827">
        <v>10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437"/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11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 t="s">
        <v>651</v>
      </c>
      <c r="B84" s="84" t="s">
        <v>0</v>
      </c>
      <c r="C84" s="1427" t="s">
        <v>633</v>
      </c>
      <c r="D84" s="1427"/>
      <c r="E84" s="1427"/>
      <c r="F84" s="827"/>
      <c r="G84" s="828"/>
      <c r="H84" s="815"/>
      <c r="I84" s="827"/>
      <c r="J84" s="828"/>
      <c r="K84" s="828"/>
      <c r="L84" s="828"/>
      <c r="M84" s="659"/>
      <c r="N84" s="415"/>
      <c r="O84" s="1437"/>
      <c r="P84" s="1438"/>
      <c r="Q84" s="1438"/>
      <c r="R84" s="1439"/>
      <c r="S84" s="82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260"/>
      <c r="B85" s="881" t="s">
        <v>43</v>
      </c>
      <c r="C85" s="1360" t="s">
        <v>633</v>
      </c>
      <c r="D85" s="1360"/>
      <c r="E85" s="1360"/>
      <c r="F85" s="418"/>
      <c r="G85" s="660"/>
      <c r="H85" s="880"/>
      <c r="I85" s="418"/>
      <c r="J85" s="660"/>
      <c r="K85" s="660"/>
      <c r="L85" s="660"/>
      <c r="M85" s="659"/>
      <c r="N85" s="415"/>
      <c r="O85" s="1437"/>
      <c r="P85" s="1438"/>
      <c r="Q85" s="1438"/>
      <c r="R85" s="1439"/>
      <c r="S85" s="82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SUM(K68:K85)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印401!I19</f>
        <v>0</v>
      </c>
      <c r="D88" s="1290"/>
      <c r="E88" s="1290"/>
      <c r="F88" s="1290"/>
      <c r="G88" s="1290"/>
      <c r="H88" s="849"/>
      <c r="I88" s="849">
        <f>印401!R19</f>
        <v>0</v>
      </c>
      <c r="J88" s="852">
        <f>印401!S19</f>
        <v>0</v>
      </c>
      <c r="K88" s="872">
        <f>印401!L19</f>
        <v>0</v>
      </c>
      <c r="L88" s="873">
        <f>印401!N19</f>
        <v>0</v>
      </c>
      <c r="M88" s="852">
        <f>印401!P19</f>
        <v>0</v>
      </c>
      <c r="N88" s="853">
        <f>印401!Q19</f>
        <v>0</v>
      </c>
      <c r="O88" s="1451"/>
      <c r="P88" s="1452"/>
      <c r="Q88" s="1452"/>
      <c r="R88" s="1453"/>
      <c r="S88" s="874">
        <f>印401!AB19</f>
        <v>0</v>
      </c>
    </row>
    <row r="89" spans="1:79" ht="18" customHeight="1">
      <c r="A89" s="1165"/>
      <c r="B89" s="881" t="s">
        <v>43</v>
      </c>
      <c r="C89" s="1454" t="e">
        <f>印401!#REF!</f>
        <v>#REF!</v>
      </c>
      <c r="D89" s="1454"/>
      <c r="E89" s="1454"/>
      <c r="F89" s="1454"/>
      <c r="G89" s="1454"/>
      <c r="H89" s="664"/>
      <c r="I89" s="664" t="e">
        <f>印401!#REF!</f>
        <v>#REF!</v>
      </c>
      <c r="J89" s="840" t="e">
        <f>印401!#REF!</f>
        <v>#REF!</v>
      </c>
      <c r="K89" s="424" t="e">
        <f>印401!#REF!</f>
        <v>#REF!</v>
      </c>
      <c r="L89" s="830" t="e">
        <f>印401!#REF!</f>
        <v>#REF!</v>
      </c>
      <c r="M89" s="840" t="e">
        <f>印401!#REF!</f>
        <v>#REF!</v>
      </c>
      <c r="N89" s="672" t="e">
        <f>印401!#REF!</f>
        <v>#REF!</v>
      </c>
      <c r="O89" s="1455"/>
      <c r="P89" s="1456"/>
      <c r="Q89" s="1456"/>
      <c r="R89" s="1457"/>
      <c r="S89" s="810" t="e">
        <f>印401!#REF!</f>
        <v>#REF!</v>
      </c>
    </row>
    <row r="90" spans="1:79" ht="18" customHeight="1">
      <c r="A90" s="1461">
        <v>402</v>
      </c>
      <c r="B90" s="84" t="s">
        <v>205</v>
      </c>
      <c r="C90" s="1282" t="s">
        <v>633</v>
      </c>
      <c r="D90" s="1283"/>
      <c r="E90" s="1283"/>
      <c r="F90" s="1283"/>
      <c r="G90" s="1468"/>
      <c r="H90" s="663"/>
      <c r="I90" s="663"/>
      <c r="J90" s="399"/>
      <c r="K90" s="665"/>
      <c r="L90" s="813"/>
      <c r="M90" s="399"/>
      <c r="N90" s="425"/>
      <c r="O90" s="1463"/>
      <c r="P90" s="1464"/>
      <c r="Q90" s="1464"/>
      <c r="R90" s="1465"/>
      <c r="S90" s="809"/>
    </row>
    <row r="91" spans="1:79" ht="18" customHeight="1">
      <c r="A91" s="1462"/>
      <c r="B91" s="881" t="s">
        <v>43</v>
      </c>
      <c r="C91" s="1454" t="e">
        <f>#REF!</f>
        <v>#REF!</v>
      </c>
      <c r="D91" s="1454"/>
      <c r="E91" s="1454"/>
      <c r="F91" s="1454"/>
      <c r="G91" s="1454"/>
      <c r="H91" s="664"/>
      <c r="I91" s="664" t="e">
        <f>#REF!</f>
        <v>#REF!</v>
      </c>
      <c r="J91" s="840" t="e">
        <f>#REF!</f>
        <v>#REF!</v>
      </c>
      <c r="K91" s="424" t="e">
        <f>#REF!</f>
        <v>#REF!</v>
      </c>
      <c r="L91" s="830" t="e">
        <f>#REF!</f>
        <v>#REF!</v>
      </c>
      <c r="M91" s="840" t="e">
        <f>#REF!</f>
        <v>#REF!</v>
      </c>
      <c r="N91" s="672" t="e">
        <f>#REF!</f>
        <v>#REF!</v>
      </c>
      <c r="O91" s="1455"/>
      <c r="P91" s="1456"/>
      <c r="Q91" s="1456"/>
      <c r="R91" s="1457"/>
      <c r="S91" s="810" t="e">
        <f>#REF!</f>
        <v>#REF!</v>
      </c>
    </row>
    <row r="92" spans="1:79" ht="17.25" customHeight="1">
      <c r="A92" s="1466">
        <v>403</v>
      </c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533"/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467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1199">
        <v>405</v>
      </c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216"/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216"/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216"/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216"/>
      <c r="B99" s="84" t="s">
        <v>0</v>
      </c>
      <c r="C99" s="1290" t="e">
        <f>#REF!</f>
        <v>#REF!</v>
      </c>
      <c r="D99" s="1290"/>
      <c r="E99" s="1290"/>
      <c r="F99" s="1290"/>
      <c r="G99" s="1290"/>
      <c r="H99" s="849"/>
      <c r="I99" s="849" t="e">
        <f>#REF!</f>
        <v>#REF!</v>
      </c>
      <c r="J99" s="852" t="e">
        <f>#REF!</f>
        <v>#REF!</v>
      </c>
      <c r="K99" s="872" t="e">
        <f>#REF!</f>
        <v>#REF!</v>
      </c>
      <c r="L99" s="852" t="e">
        <f>#REF!</f>
        <v>#REF!</v>
      </c>
      <c r="M99" s="852" t="e">
        <f>#REF!</f>
        <v>#REF!</v>
      </c>
      <c r="N99" s="853" t="e">
        <f>#REF!</f>
        <v>#REF!</v>
      </c>
      <c r="O99" s="1451"/>
      <c r="P99" s="1452"/>
      <c r="Q99" s="1452"/>
      <c r="R99" s="1453"/>
      <c r="S99" s="874" t="e">
        <f>#REF!</f>
        <v>#REF!</v>
      </c>
    </row>
    <row r="100" spans="1:19" ht="18" customHeight="1">
      <c r="A100" s="1165"/>
      <c r="B100" s="881" t="s">
        <v>43</v>
      </c>
      <c r="C100" s="1454" t="e">
        <f>#REF!</f>
        <v>#REF!</v>
      </c>
      <c r="D100" s="1454"/>
      <c r="E100" s="1454"/>
      <c r="F100" s="1454"/>
      <c r="G100" s="1454"/>
      <c r="H100" s="664"/>
      <c r="I100" s="664" t="e">
        <f>#REF!</f>
        <v>#REF!</v>
      </c>
      <c r="J100" s="840" t="e">
        <f>#REF!</f>
        <v>#REF!</v>
      </c>
      <c r="K100" s="424" t="e">
        <f>#REF!</f>
        <v>#REF!</v>
      </c>
      <c r="L100" s="840" t="e">
        <f>#REF!</f>
        <v>#REF!</v>
      </c>
      <c r="M100" s="840" t="e">
        <f>#REF!</f>
        <v>#REF!</v>
      </c>
      <c r="N100" s="672" t="e">
        <f>#REF!</f>
        <v>#REF!</v>
      </c>
      <c r="O100" s="1455"/>
      <c r="P100" s="1456"/>
      <c r="Q100" s="1456"/>
      <c r="R100" s="1457"/>
      <c r="S100" s="810" t="e">
        <f>#REF!</f>
        <v>#REF!</v>
      </c>
    </row>
    <row r="101" spans="1:19" ht="18" customHeight="1">
      <c r="A101" s="314"/>
      <c r="B101" s="841"/>
      <c r="C101" s="1458"/>
      <c r="D101" s="1459"/>
      <c r="E101" s="1459"/>
      <c r="F101" s="1459"/>
      <c r="G101" s="1460"/>
      <c r="H101" s="849"/>
      <c r="I101" s="849"/>
      <c r="J101" s="834" t="s">
        <v>666</v>
      </c>
      <c r="K101" s="835" t="e">
        <f>SUM(K88:K100)</f>
        <v>#REF!</v>
      </c>
      <c r="L101" s="852"/>
      <c r="M101" s="852"/>
      <c r="N101" s="853"/>
      <c r="O101" s="886"/>
      <c r="P101" s="887"/>
      <c r="Q101" s="887"/>
      <c r="R101" s="888"/>
      <c r="S101" s="854"/>
    </row>
    <row r="102" spans="1:19" s="76" customFormat="1" ht="31.7" hidden="1" customHeight="1">
      <c r="A102" s="400" t="s">
        <v>425</v>
      </c>
      <c r="B102" s="400" t="s">
        <v>193</v>
      </c>
      <c r="C102" s="1282" t="e">
        <f>[1]印403!J91</f>
        <v>#REF!</v>
      </c>
      <c r="D102" s="1283"/>
      <c r="E102" s="1283"/>
      <c r="F102" s="1283"/>
      <c r="G102" s="1468"/>
      <c r="H102" s="242" t="s">
        <v>216</v>
      </c>
      <c r="I102" s="242" t="s">
        <v>12</v>
      </c>
      <c r="J102" s="242" t="s">
        <v>13</v>
      </c>
      <c r="K102" s="405" t="s">
        <v>218</v>
      </c>
      <c r="L102" s="427" t="s">
        <v>60</v>
      </c>
      <c r="M102" s="399" t="e">
        <f>[1]印403!O90</f>
        <v>#REF!</v>
      </c>
      <c r="N102" s="257" t="s">
        <v>45</v>
      </c>
      <c r="O102" s="1448" t="s">
        <v>29</v>
      </c>
      <c r="P102" s="1449"/>
      <c r="Q102" s="1449"/>
      <c r="R102" s="1450"/>
      <c r="S102" s="417" t="s">
        <v>57</v>
      </c>
    </row>
    <row r="103" spans="1:19" ht="15" hidden="1" customHeight="1">
      <c r="A103" s="1199" t="s">
        <v>426</v>
      </c>
      <c r="B103" s="84" t="s">
        <v>205</v>
      </c>
      <c r="C103" s="1282" t="e">
        <f>[1]印403!J92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[1]印403!O91</f>
        <v>#REF!</v>
      </c>
      <c r="N103" s="399"/>
      <c r="O103" s="1469"/>
      <c r="P103" s="1245"/>
      <c r="Q103" s="1245"/>
      <c r="R103" s="1246"/>
      <c r="S103" s="1470"/>
    </row>
    <row r="104" spans="1:19" ht="13.7" hidden="1" customHeight="1">
      <c r="A104" s="1216"/>
      <c r="B104" s="84" t="s">
        <v>205</v>
      </c>
      <c r="C104" s="1282" t="e">
        <f>[1]印403!J93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[1]印403!O92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[1]印403!J94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[1]印403!O93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[1]印403!J95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[1]印403!O94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[1]印403!J96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[1]印403!O95</f>
        <v>#REF!</v>
      </c>
      <c r="N107" s="425"/>
      <c r="O107" s="669"/>
      <c r="P107" s="670"/>
      <c r="Q107" s="670"/>
      <c r="R107" s="671"/>
      <c r="S107" s="1471"/>
    </row>
    <row r="108" spans="1:19" ht="16.5" hidden="1" customHeight="1">
      <c r="A108" s="1216"/>
      <c r="B108" s="881" t="s">
        <v>43</v>
      </c>
      <c r="C108" s="1282" t="e">
        <f>[1]印403!J97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[1]印403!O96</f>
        <v>#REF!</v>
      </c>
      <c r="N108" s="672"/>
      <c r="O108" s="1476"/>
      <c r="P108" s="1477"/>
      <c r="Q108" s="1477"/>
      <c r="R108" s="1478"/>
      <c r="S108" s="1485"/>
    </row>
    <row r="109" spans="1:19" ht="15" hidden="1" customHeight="1">
      <c r="A109" s="1216"/>
      <c r="B109" s="881" t="s">
        <v>43</v>
      </c>
      <c r="C109" s="1282" t="e">
        <f>[1]印403!J98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[1]印403!O97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216"/>
      <c r="B110" s="881" t="s">
        <v>43</v>
      </c>
      <c r="C110" s="1282" t="e">
        <f>[1]印403!J99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[1]印403!O98</f>
        <v>#REF!</v>
      </c>
      <c r="N110" s="672"/>
      <c r="O110" s="1479"/>
      <c r="P110" s="1480"/>
      <c r="Q110" s="1480"/>
      <c r="R110" s="1481"/>
      <c r="S110" s="1485"/>
    </row>
    <row r="111" spans="1:19" ht="15" hidden="1" customHeight="1">
      <c r="A111" s="1165"/>
      <c r="B111" s="881" t="s">
        <v>43</v>
      </c>
      <c r="C111" s="1282" t="e">
        <f>[1]印403!J100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[1]印403!O99</f>
        <v>#REF!</v>
      </c>
      <c r="N111" s="672"/>
      <c r="O111" s="1482"/>
      <c r="P111" s="1483"/>
      <c r="Q111" s="1483"/>
      <c r="R111" s="1484"/>
      <c r="S111" s="1486"/>
    </row>
    <row r="112" spans="1:19" ht="6" customHeight="1">
      <c r="A112" s="248"/>
      <c r="C112" s="249"/>
    </row>
    <row r="113" spans="1:20" ht="6" customHeight="1" thickBot="1">
      <c r="A113" s="248"/>
      <c r="C113" s="249"/>
    </row>
    <row r="114" spans="1:20" ht="15" customHeight="1" thickTop="1">
      <c r="A114" s="1472" t="s">
        <v>30</v>
      </c>
      <c r="B114" s="1473"/>
      <c r="C114" s="1473"/>
      <c r="D114" s="1473"/>
      <c r="E114" s="376">
        <v>110400</v>
      </c>
      <c r="F114" s="75" t="s">
        <v>64</v>
      </c>
      <c r="G114" s="1472" t="s">
        <v>31</v>
      </c>
      <c r="H114" s="1473"/>
      <c r="I114" s="1473"/>
      <c r="J114" s="1473"/>
      <c r="K114" s="1473"/>
      <c r="L114" s="377">
        <v>30000</v>
      </c>
      <c r="M114" s="75" t="s">
        <v>64</v>
      </c>
      <c r="N114" s="1472" t="s">
        <v>32</v>
      </c>
      <c r="O114" s="1473"/>
      <c r="P114" s="1473"/>
      <c r="Q114" s="377">
        <v>0</v>
      </c>
      <c r="R114" s="75" t="s">
        <v>64</v>
      </c>
      <c r="S114" s="75"/>
    </row>
    <row r="115" spans="1:20" ht="15" customHeight="1" thickBot="1">
      <c r="A115" s="1474" t="s">
        <v>66</v>
      </c>
      <c r="B115" s="1475"/>
      <c r="C115" s="1475"/>
      <c r="D115" s="1475"/>
      <c r="E115" s="674">
        <f>(76+14)*1000</f>
        <v>90000</v>
      </c>
      <c r="G115" s="1474" t="s">
        <v>66</v>
      </c>
      <c r="H115" s="1475"/>
      <c r="I115" s="1475"/>
      <c r="J115" s="1475"/>
      <c r="K115" s="1475"/>
      <c r="L115" s="674">
        <f>30*1000</f>
        <v>30000</v>
      </c>
      <c r="N115" s="1474" t="s">
        <v>33</v>
      </c>
      <c r="O115" s="1475"/>
      <c r="P115" s="1475"/>
      <c r="Q115" s="674">
        <f>(50*600)+(50*1000)</f>
        <v>80000</v>
      </c>
      <c r="R115" s="75"/>
      <c r="S115" s="75"/>
    </row>
    <row r="116" spans="1:20" ht="15" customHeight="1" thickTop="1" thickBot="1">
      <c r="A116" s="1487" t="s">
        <v>34</v>
      </c>
      <c r="B116" s="1488"/>
      <c r="C116" s="1488"/>
      <c r="D116" s="1488"/>
      <c r="E116" s="378">
        <f>E114+E115</f>
        <v>200400</v>
      </c>
      <c r="F116" s="75" t="s">
        <v>64</v>
      </c>
      <c r="G116" s="1487" t="s">
        <v>35</v>
      </c>
      <c r="H116" s="1488"/>
      <c r="I116" s="1488"/>
      <c r="J116" s="1488"/>
      <c r="K116" s="1488"/>
      <c r="L116" s="379">
        <f>L114+L115</f>
        <v>60000</v>
      </c>
      <c r="M116" s="75" t="s">
        <v>64</v>
      </c>
      <c r="N116" s="1487" t="s">
        <v>36</v>
      </c>
      <c r="O116" s="1488"/>
      <c r="P116" s="1488"/>
      <c r="Q116" s="379">
        <f>Q114+Q115</f>
        <v>80000</v>
      </c>
      <c r="R116" s="75" t="s">
        <v>64</v>
      </c>
      <c r="S116" s="75"/>
    </row>
    <row r="117" spans="1:20" ht="15" customHeight="1" thickTop="1" thickBot="1">
      <c r="E117" s="252">
        <f>印401!M64</f>
        <v>0</v>
      </c>
      <c r="L117" s="675" t="e">
        <f>#REF!</f>
        <v>#REF!</v>
      </c>
      <c r="O117" s="75"/>
      <c r="P117" s="75"/>
      <c r="Q117" s="675" t="e">
        <f>#REF!</f>
        <v>#REF!</v>
      </c>
      <c r="R117" s="75"/>
      <c r="S117" s="75"/>
    </row>
    <row r="118" spans="1:20" ht="15" customHeight="1" thickBot="1">
      <c r="A118" s="676" t="s">
        <v>37</v>
      </c>
      <c r="B118" s="677"/>
      <c r="C118" s="677"/>
      <c r="D118" s="678"/>
      <c r="E118" s="253">
        <f>印401!P64</f>
        <v>0</v>
      </c>
      <c r="F118" s="75" t="s">
        <v>64</v>
      </c>
      <c r="G118" s="676" t="s">
        <v>38</v>
      </c>
      <c r="H118" s="677"/>
      <c r="I118" s="677"/>
      <c r="J118" s="677"/>
      <c r="K118" s="677"/>
      <c r="L118" s="384" t="e">
        <f>#REF!</f>
        <v>#REF!</v>
      </c>
      <c r="M118" s="75" t="s">
        <v>64</v>
      </c>
      <c r="N118" s="676" t="s">
        <v>39</v>
      </c>
      <c r="O118" s="677"/>
      <c r="P118" s="677"/>
      <c r="Q118" s="384" t="e">
        <f>#REF!</f>
        <v>#REF!</v>
      </c>
      <c r="R118" s="75" t="s">
        <v>64</v>
      </c>
      <c r="S118" s="75"/>
    </row>
    <row r="119" spans="1:20" ht="3" customHeight="1" thickBot="1">
      <c r="J119" s="255"/>
      <c r="K119" s="256"/>
    </row>
    <row r="120" spans="1:20" ht="15" customHeight="1" thickTop="1">
      <c r="B120" s="1509" t="s">
        <v>69</v>
      </c>
      <c r="C120" s="1510"/>
      <c r="D120" s="1511" t="s">
        <v>305</v>
      </c>
      <c r="E120" s="1512"/>
      <c r="F120" s="1489" t="s">
        <v>306</v>
      </c>
      <c r="G120" s="1490"/>
      <c r="H120" s="1491" t="s">
        <v>307</v>
      </c>
      <c r="I120" s="1492"/>
      <c r="J120" s="1492"/>
      <c r="K120" s="1493"/>
      <c r="L120" s="1472" t="s">
        <v>657</v>
      </c>
      <c r="M120" s="1473"/>
      <c r="N120" s="1473"/>
      <c r="O120" s="377">
        <v>438000</v>
      </c>
      <c r="P120" s="75" t="s">
        <v>64</v>
      </c>
      <c r="Q120" s="1496" t="s">
        <v>65</v>
      </c>
      <c r="R120" s="1497"/>
      <c r="S120" s="385">
        <v>2172242</v>
      </c>
    </row>
    <row r="121" spans="1:20" ht="15" customHeight="1" thickBot="1">
      <c r="B121" s="1498" t="s">
        <v>308</v>
      </c>
      <c r="C121" s="1499"/>
      <c r="D121" s="1500" t="e">
        <f>總表!D20</f>
        <v>#REF!</v>
      </c>
      <c r="E121" s="1501"/>
      <c r="F121" s="1502">
        <f>總表!E20</f>
        <v>1316871</v>
      </c>
      <c r="G121" s="1503"/>
      <c r="H121" s="1504" t="e">
        <f>(D121-F121)/D121</f>
        <v>#REF!</v>
      </c>
      <c r="I121" s="1505"/>
      <c r="J121" s="1505"/>
      <c r="K121" s="1506"/>
      <c r="L121" s="1474" t="s">
        <v>33</v>
      </c>
      <c r="M121" s="1475"/>
      <c r="N121" s="1475"/>
      <c r="O121" s="674">
        <f>(16+50+50+50+66+84)*1000</f>
        <v>316000</v>
      </c>
      <c r="P121" s="75"/>
      <c r="Q121" s="1507" t="s">
        <v>67</v>
      </c>
      <c r="R121" s="1508"/>
      <c r="S121" s="386" t="e">
        <f>SUM(L51:L85,L88:L100)</f>
        <v>#REF!</v>
      </c>
    </row>
    <row r="122" spans="1:20" ht="15" customHeight="1" thickTop="1" thickBot="1">
      <c r="B122" s="1513" t="s">
        <v>309</v>
      </c>
      <c r="C122" s="1514"/>
      <c r="D122" s="1515" t="e">
        <f>總表!C43</f>
        <v>#REF!</v>
      </c>
      <c r="E122" s="1516"/>
      <c r="F122" s="1502" t="e">
        <f>總表!F43</f>
        <v>#REF!</v>
      </c>
      <c r="G122" s="1503"/>
      <c r="H122" s="1504" t="e">
        <f>(D122-F122)/D122</f>
        <v>#REF!</v>
      </c>
      <c r="I122" s="1505"/>
      <c r="J122" s="1505"/>
      <c r="K122" s="1506"/>
      <c r="L122" s="1487" t="s">
        <v>658</v>
      </c>
      <c r="M122" s="1488"/>
      <c r="N122" s="1488"/>
      <c r="O122" s="379">
        <f>O120+O121</f>
        <v>754000</v>
      </c>
      <c r="P122" s="75" t="s">
        <v>64</v>
      </c>
      <c r="Q122" s="1494" t="s">
        <v>68</v>
      </c>
      <c r="R122" s="1495"/>
      <c r="S122" s="387" t="e">
        <f>S120+S121</f>
        <v>#REF!</v>
      </c>
    </row>
    <row r="123" spans="1:20" ht="14.1" customHeight="1" thickTop="1" thickBot="1">
      <c r="B123" s="250" t="s">
        <v>310</v>
      </c>
      <c r="C123" s="250"/>
      <c r="D123" s="250"/>
      <c r="E123" s="233"/>
      <c r="O123" s="675" t="e">
        <f>#REF!</f>
        <v>#REF!</v>
      </c>
      <c r="P123" s="75"/>
      <c r="Q123" s="75"/>
      <c r="R123" s="254" t="e">
        <f>總表!E43+總表!E52</f>
        <v>#REF!</v>
      </c>
      <c r="S123" s="254" t="e">
        <f>R123-S122</f>
        <v>#REF!</v>
      </c>
    </row>
    <row r="124" spans="1:20" ht="17.25" customHeight="1" thickBot="1">
      <c r="B124" s="250" t="s">
        <v>40</v>
      </c>
      <c r="C124" s="233"/>
      <c r="D124" s="233"/>
      <c r="E124" s="233"/>
      <c r="F124" s="233"/>
      <c r="L124" s="676" t="s">
        <v>659</v>
      </c>
      <c r="M124" s="677"/>
      <c r="N124" s="677"/>
      <c r="O124" s="384" t="e">
        <f>#REF!</f>
        <v>#REF!</v>
      </c>
      <c r="P124" s="75" t="s">
        <v>64</v>
      </c>
      <c r="T124" s="233"/>
    </row>
    <row r="125" spans="1:20" ht="15.75" customHeight="1">
      <c r="B125" s="75" t="s">
        <v>41</v>
      </c>
      <c r="N125" s="233"/>
      <c r="S125" s="75"/>
    </row>
  </sheetData>
  <mergeCells count="299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82:A83"/>
    <mergeCell ref="C82:E82"/>
    <mergeCell ref="O82:R82"/>
    <mergeCell ref="C83:E83"/>
    <mergeCell ref="O83:R83"/>
    <mergeCell ref="C75:E75"/>
    <mergeCell ref="O75:R75"/>
    <mergeCell ref="C77:E77"/>
    <mergeCell ref="A78:A79"/>
    <mergeCell ref="C78:E78"/>
    <mergeCell ref="A74:A75"/>
    <mergeCell ref="C74:E74"/>
    <mergeCell ref="O74:R74"/>
    <mergeCell ref="O80:R80"/>
    <mergeCell ref="O79:R79"/>
    <mergeCell ref="A80:A81"/>
    <mergeCell ref="C80:E80"/>
    <mergeCell ref="C32:E32"/>
    <mergeCell ref="M32:M34"/>
    <mergeCell ref="O32:R34"/>
    <mergeCell ref="S32:S34"/>
    <mergeCell ref="C33:E33"/>
    <mergeCell ref="C34:E34"/>
    <mergeCell ref="C35:E35"/>
    <mergeCell ref="M35:M38"/>
    <mergeCell ref="A39:A44"/>
    <mergeCell ref="O42:R44"/>
    <mergeCell ref="S42:S44"/>
    <mergeCell ref="C43:E43"/>
    <mergeCell ref="C44:E44"/>
    <mergeCell ref="S21:S22"/>
    <mergeCell ref="C70:E70"/>
    <mergeCell ref="O70:R70"/>
    <mergeCell ref="K20:M20"/>
    <mergeCell ref="O20:R20"/>
    <mergeCell ref="G17:I17"/>
    <mergeCell ref="G23:I23"/>
    <mergeCell ref="K23:M23"/>
    <mergeCell ref="O23:R23"/>
    <mergeCell ref="G22:I22"/>
    <mergeCell ref="O22:R22"/>
    <mergeCell ref="O35:R38"/>
    <mergeCell ref="S35:S38"/>
    <mergeCell ref="C36:E36"/>
    <mergeCell ref="C37:E37"/>
    <mergeCell ref="C38:E38"/>
    <mergeCell ref="C39:E39"/>
    <mergeCell ref="M39:M41"/>
    <mergeCell ref="O39:R41"/>
    <mergeCell ref="S39:S41"/>
    <mergeCell ref="C40:E40"/>
    <mergeCell ref="C41:E41"/>
    <mergeCell ref="C42:E42"/>
    <mergeCell ref="M42:M44"/>
    <mergeCell ref="A19:A20"/>
    <mergeCell ref="G19:I19"/>
    <mergeCell ref="K19:M19"/>
    <mergeCell ref="O19:R19"/>
    <mergeCell ref="G20:I20"/>
    <mergeCell ref="K21:M22"/>
    <mergeCell ref="O17:R17"/>
    <mergeCell ref="G18:I18"/>
    <mergeCell ref="O18:R18"/>
    <mergeCell ref="A21:A23"/>
    <mergeCell ref="A16:A18"/>
    <mergeCell ref="K17:M18"/>
    <mergeCell ref="V51:X51"/>
    <mergeCell ref="C52:E52"/>
    <mergeCell ref="O52:R52"/>
    <mergeCell ref="V52:X52"/>
    <mergeCell ref="G21:I21"/>
    <mergeCell ref="O21:R21"/>
    <mergeCell ref="K24:M24"/>
    <mergeCell ref="O24:R24"/>
    <mergeCell ref="A25:A30"/>
    <mergeCell ref="G25:I25"/>
    <mergeCell ref="K25:M27"/>
    <mergeCell ref="O25:R27"/>
    <mergeCell ref="S25:S27"/>
    <mergeCell ref="G26:I26"/>
    <mergeCell ref="G27:I27"/>
    <mergeCell ref="G28:I28"/>
    <mergeCell ref="K28:M30"/>
    <mergeCell ref="O28:R30"/>
    <mergeCell ref="S28:S30"/>
    <mergeCell ref="G29:I29"/>
    <mergeCell ref="G30:I30"/>
    <mergeCell ref="C31:E31"/>
    <mergeCell ref="O31:R31"/>
    <mergeCell ref="A32:A38"/>
    <mergeCell ref="M48:M50"/>
    <mergeCell ref="O48:R50"/>
    <mergeCell ref="S48:S50"/>
    <mergeCell ref="C49:E49"/>
    <mergeCell ref="C50:E50"/>
    <mergeCell ref="A53:A54"/>
    <mergeCell ref="C53:E53"/>
    <mergeCell ref="O53:R53"/>
    <mergeCell ref="C54:E54"/>
    <mergeCell ref="O54:R54"/>
    <mergeCell ref="A51:A52"/>
    <mergeCell ref="C51:E51"/>
    <mergeCell ref="O51:R51"/>
    <mergeCell ref="A45:A50"/>
    <mergeCell ref="C45:E45"/>
    <mergeCell ref="M45:M47"/>
    <mergeCell ref="O45:R47"/>
    <mergeCell ref="S45:S47"/>
    <mergeCell ref="C46:E46"/>
    <mergeCell ref="C47:E47"/>
    <mergeCell ref="C48:E48"/>
    <mergeCell ref="C62:E62"/>
    <mergeCell ref="O62:R62"/>
    <mergeCell ref="A55:A56"/>
    <mergeCell ref="C55:E55"/>
    <mergeCell ref="O55:R55"/>
    <mergeCell ref="C56:E56"/>
    <mergeCell ref="O56:R56"/>
    <mergeCell ref="C61:E61"/>
    <mergeCell ref="O61:R61"/>
    <mergeCell ref="A61:A62"/>
    <mergeCell ref="A57:A58"/>
    <mergeCell ref="C57:E57"/>
    <mergeCell ref="O57:R57"/>
    <mergeCell ref="C58:E58"/>
    <mergeCell ref="O58:R58"/>
    <mergeCell ref="A59:A60"/>
    <mergeCell ref="C59:E59"/>
    <mergeCell ref="O59:R59"/>
    <mergeCell ref="C60:E60"/>
    <mergeCell ref="O60:R60"/>
    <mergeCell ref="A63:A64"/>
    <mergeCell ref="C63:E63"/>
    <mergeCell ref="O63:R63"/>
    <mergeCell ref="C64:E64"/>
    <mergeCell ref="O64:R64"/>
    <mergeCell ref="A70:A71"/>
    <mergeCell ref="O66:R66"/>
    <mergeCell ref="O67:R67"/>
    <mergeCell ref="A65:A66"/>
    <mergeCell ref="C65:E65"/>
    <mergeCell ref="O65:R65"/>
    <mergeCell ref="C66:E66"/>
    <mergeCell ref="A68:A69"/>
    <mergeCell ref="C68:E68"/>
    <mergeCell ref="O68:R68"/>
    <mergeCell ref="C69:E69"/>
    <mergeCell ref="O69:R69"/>
    <mergeCell ref="C71:E71"/>
    <mergeCell ref="O71:R71"/>
    <mergeCell ref="A72:A73"/>
    <mergeCell ref="C72:E72"/>
    <mergeCell ref="O72:R72"/>
    <mergeCell ref="C73:E73"/>
    <mergeCell ref="O73:R73"/>
    <mergeCell ref="A76:A77"/>
    <mergeCell ref="C76:E76"/>
    <mergeCell ref="O76:R76"/>
    <mergeCell ref="O77:R77"/>
    <mergeCell ref="A84:A85"/>
    <mergeCell ref="C84:E84"/>
    <mergeCell ref="O84:R84"/>
    <mergeCell ref="C85:E85"/>
    <mergeCell ref="O85:R85"/>
    <mergeCell ref="O86:R86"/>
    <mergeCell ref="A90:A91"/>
    <mergeCell ref="C88:G88"/>
    <mergeCell ref="O88:R88"/>
    <mergeCell ref="C89:G89"/>
    <mergeCell ref="O89:R89"/>
    <mergeCell ref="A88:A89"/>
    <mergeCell ref="C101:G101"/>
    <mergeCell ref="C102:G102"/>
    <mergeCell ref="O102:R102"/>
    <mergeCell ref="A103:A111"/>
    <mergeCell ref="C103:G103"/>
    <mergeCell ref="O103:R103"/>
    <mergeCell ref="C111:G111"/>
    <mergeCell ref="S103:S107"/>
    <mergeCell ref="C104:G104"/>
    <mergeCell ref="C105:G105"/>
    <mergeCell ref="C106:G106"/>
    <mergeCell ref="C107:G107"/>
    <mergeCell ref="C108:G108"/>
    <mergeCell ref="O108:R111"/>
    <mergeCell ref="S108:S111"/>
    <mergeCell ref="C109:G109"/>
    <mergeCell ref="C110:G110"/>
    <mergeCell ref="A114:D114"/>
    <mergeCell ref="G114:K114"/>
    <mergeCell ref="N114:P114"/>
    <mergeCell ref="A115:D115"/>
    <mergeCell ref="G115:K115"/>
    <mergeCell ref="N115:P115"/>
    <mergeCell ref="A116:D116"/>
    <mergeCell ref="G116:K116"/>
    <mergeCell ref="N116:P116"/>
    <mergeCell ref="B120:C120"/>
    <mergeCell ref="D120:E120"/>
    <mergeCell ref="F120:G120"/>
    <mergeCell ref="H120:K120"/>
    <mergeCell ref="L120:N120"/>
    <mergeCell ref="Q120:R120"/>
    <mergeCell ref="B121:C121"/>
    <mergeCell ref="D121:E121"/>
    <mergeCell ref="F121:G121"/>
    <mergeCell ref="H121:K121"/>
    <mergeCell ref="L121:N121"/>
    <mergeCell ref="Q121:R121"/>
    <mergeCell ref="B122:C122"/>
    <mergeCell ref="D122:E122"/>
    <mergeCell ref="F122:G122"/>
    <mergeCell ref="H122:K122"/>
    <mergeCell ref="L122:N122"/>
    <mergeCell ref="Q122:R122"/>
    <mergeCell ref="O13:R13"/>
    <mergeCell ref="A9:A10"/>
    <mergeCell ref="G9:I9"/>
    <mergeCell ref="K9:M9"/>
    <mergeCell ref="O9:R9"/>
    <mergeCell ref="G10:I10"/>
    <mergeCell ref="K10:M10"/>
    <mergeCell ref="O10:R10"/>
    <mergeCell ref="O93:R93"/>
    <mergeCell ref="C95:G95"/>
    <mergeCell ref="O95:R95"/>
    <mergeCell ref="C96:G96"/>
    <mergeCell ref="O96:R96"/>
    <mergeCell ref="A95:A100"/>
    <mergeCell ref="A92:A94"/>
    <mergeCell ref="C92:G92"/>
    <mergeCell ref="C98:G98"/>
    <mergeCell ref="O98:R98"/>
    <mergeCell ref="S17:S18"/>
    <mergeCell ref="G11:I11"/>
    <mergeCell ref="O11:R11"/>
    <mergeCell ref="G12:I12"/>
    <mergeCell ref="A11:A13"/>
    <mergeCell ref="K11:M12"/>
    <mergeCell ref="O12:R12"/>
    <mergeCell ref="G13:I13"/>
    <mergeCell ref="K13:M13"/>
    <mergeCell ref="A14:A15"/>
    <mergeCell ref="G14:I14"/>
    <mergeCell ref="K14:M14"/>
    <mergeCell ref="O14:R14"/>
    <mergeCell ref="G15:I15"/>
    <mergeCell ref="K15:M15"/>
    <mergeCell ref="O15:R15"/>
    <mergeCell ref="C99:G99"/>
    <mergeCell ref="O99:R99"/>
    <mergeCell ref="C100:G100"/>
    <mergeCell ref="O100:R100"/>
    <mergeCell ref="C93:G93"/>
    <mergeCell ref="S11:S12"/>
    <mergeCell ref="G16:I16"/>
    <mergeCell ref="K16:M16"/>
    <mergeCell ref="O16:R16"/>
    <mergeCell ref="O92:R92"/>
    <mergeCell ref="C94:G94"/>
    <mergeCell ref="O94:R94"/>
    <mergeCell ref="C97:G97"/>
    <mergeCell ref="O97:R97"/>
    <mergeCell ref="C87:G87"/>
    <mergeCell ref="O87:R87"/>
    <mergeCell ref="C90:G90"/>
    <mergeCell ref="O90:R90"/>
    <mergeCell ref="C91:G91"/>
    <mergeCell ref="O91:R91"/>
    <mergeCell ref="C81:E81"/>
    <mergeCell ref="O81:R81"/>
    <mergeCell ref="O78:R78"/>
    <mergeCell ref="C79:E79"/>
  </mergeCells>
  <phoneticPr fontId="26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A122"/>
  <sheetViews>
    <sheetView topLeftCell="A84" workbookViewId="0">
      <selection activeCell="C94" sqref="C94:G94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41.2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746</v>
      </c>
      <c r="O2" s="1319"/>
      <c r="P2" s="1320"/>
      <c r="Q2" s="1318" t="s">
        <v>753</v>
      </c>
      <c r="R2" s="1320"/>
      <c r="S2" s="642" t="s">
        <v>781</v>
      </c>
    </row>
    <row r="3" spans="1:23" ht="68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856</v>
      </c>
      <c r="O3" s="1319"/>
      <c r="P3" s="1320"/>
      <c r="Q3" s="1318" t="s">
        <v>783</v>
      </c>
      <c r="R3" s="1320"/>
      <c r="S3" s="85"/>
    </row>
    <row r="4" spans="1:23" ht="39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748</v>
      </c>
      <c r="O4" s="1319"/>
      <c r="P4" s="1320"/>
      <c r="Q4" s="1318" t="s">
        <v>749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45233</v>
      </c>
      <c r="D5" s="419" t="s">
        <v>780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36" customHeight="1">
      <c r="A7" s="1340" t="s">
        <v>5</v>
      </c>
      <c r="B7" s="645" t="s">
        <v>0</v>
      </c>
      <c r="C7" s="857" t="s">
        <v>42</v>
      </c>
      <c r="D7" s="851">
        <v>1.2</v>
      </c>
      <c r="E7" s="856">
        <v>715</v>
      </c>
      <c r="F7" s="858">
        <f>'101'!O8</f>
        <v>500</v>
      </c>
      <c r="G7" s="1342">
        <f>'101'!K8</f>
        <v>4584</v>
      </c>
      <c r="H7" s="1343"/>
      <c r="I7" s="1344"/>
      <c r="J7" s="859">
        <f>'101'!L8</f>
        <v>59</v>
      </c>
      <c r="K7" s="1345">
        <f>'101'!P8</f>
        <v>0.76400000000000001</v>
      </c>
      <c r="L7" s="1346"/>
      <c r="M7" s="1347"/>
      <c r="N7" s="820">
        <f>J7/(G7+J7)</f>
        <v>1.2707301313805729E-2</v>
      </c>
      <c r="O7" s="1348" t="str">
        <f>'101'!U8</f>
        <v>19:30最後一支交接班
08:56-10:53螺桿電熱異常,停機查修NG  59KG</v>
      </c>
      <c r="P7" s="1349"/>
      <c r="Q7" s="1349"/>
      <c r="R7" s="1350"/>
      <c r="S7" s="875" t="str">
        <f>'101'!V8</f>
        <v>阮明演</v>
      </c>
    </row>
    <row r="8" spans="1:23" s="76" customFormat="1" ht="17.25" customHeight="1">
      <c r="A8" s="1548"/>
      <c r="B8" s="881" t="s">
        <v>43</v>
      </c>
      <c r="C8" s="824" t="s">
        <v>42</v>
      </c>
      <c r="D8" s="421">
        <v>1.2</v>
      </c>
      <c r="E8" s="646">
        <v>715</v>
      </c>
      <c r="F8" s="825">
        <f>'101'!O9</f>
        <v>500</v>
      </c>
      <c r="G8" s="1351">
        <f>'101'!K9</f>
        <v>5286</v>
      </c>
      <c r="H8" s="1352"/>
      <c r="I8" s="1353"/>
      <c r="J8" s="826">
        <f>'101'!L9</f>
        <v>0</v>
      </c>
      <c r="K8" s="1345">
        <f>'101'!P9</f>
        <v>0.88100000000000001</v>
      </c>
      <c r="L8" s="1346"/>
      <c r="M8" s="1347"/>
      <c r="N8" s="820">
        <f>J8/(G8+J8)</f>
        <v>0</v>
      </c>
      <c r="O8" s="1348" t="str">
        <f>'101'!U9</f>
        <v>06:40最後一支交接班</v>
      </c>
      <c r="P8" s="1349"/>
      <c r="Q8" s="1349"/>
      <c r="R8" s="1350"/>
      <c r="S8" s="875" t="str">
        <f>'101'!V9</f>
        <v>阮宏山</v>
      </c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308"/>
      <c r="P9" s="1309"/>
      <c r="Q9" s="1309"/>
      <c r="R9" s="1310"/>
      <c r="S9" s="878"/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314"/>
      <c r="L10" s="1315"/>
      <c r="M10" s="1316"/>
      <c r="N10" s="820"/>
      <c r="O10" s="1308"/>
      <c r="P10" s="1309"/>
      <c r="Q10" s="1309"/>
      <c r="R10" s="1310"/>
      <c r="S10" s="878"/>
      <c r="U10" s="420" t="s">
        <v>633</v>
      </c>
      <c r="V10" s="880"/>
      <c r="W10" s="880"/>
    </row>
    <row r="11" spans="1:23" ht="36.75" customHeight="1">
      <c r="A11" s="1325" t="s">
        <v>7</v>
      </c>
      <c r="B11" s="84" t="s">
        <v>205</v>
      </c>
      <c r="C11" s="850" t="s">
        <v>42</v>
      </c>
      <c r="D11" s="851">
        <v>0.25</v>
      </c>
      <c r="E11" s="815">
        <v>870</v>
      </c>
      <c r="F11" s="815">
        <f>'103'!O9</f>
        <v>350</v>
      </c>
      <c r="G11" s="1311">
        <f>'103'!K9</f>
        <v>3536</v>
      </c>
      <c r="H11" s="1312"/>
      <c r="I11" s="1313"/>
      <c r="J11" s="814">
        <f>'103'!L9</f>
        <v>42</v>
      </c>
      <c r="K11" s="1314">
        <f>'103'!P9</f>
        <v>0.84190476190476193</v>
      </c>
      <c r="L11" s="1315"/>
      <c r="M11" s="1316"/>
      <c r="N11" s="820">
        <f>J11/(G11+J11)</f>
        <v>1.1738401341531582E-2</v>
      </c>
      <c r="O11" s="1308" t="str">
        <f>'103'!U9</f>
        <v>18:50最後一支交接班
10:30-11:00停機擦輪,NG  42KG</v>
      </c>
      <c r="P11" s="1309"/>
      <c r="Q11" s="1309"/>
      <c r="R11" s="1310"/>
      <c r="S11" s="822" t="str">
        <f>'103'!V9</f>
        <v>史豐銘</v>
      </c>
    </row>
    <row r="12" spans="1:23" ht="17.25" customHeight="1">
      <c r="A12" s="1326"/>
      <c r="B12" s="881" t="s">
        <v>207</v>
      </c>
      <c r="C12" s="422" t="s">
        <v>42</v>
      </c>
      <c r="D12" s="421">
        <v>0.25</v>
      </c>
      <c r="E12" s="880">
        <v>870</v>
      </c>
      <c r="F12" s="880">
        <f>'103'!O10</f>
        <v>350</v>
      </c>
      <c r="G12" s="1327">
        <f>'103'!K10</f>
        <v>4016</v>
      </c>
      <c r="H12" s="1328"/>
      <c r="I12" s="1329"/>
      <c r="J12" s="423">
        <f>'103'!L10</f>
        <v>0</v>
      </c>
      <c r="K12" s="1314">
        <f>'103'!P10</f>
        <v>0.95619047619047615</v>
      </c>
      <c r="L12" s="1315"/>
      <c r="M12" s="1316"/>
      <c r="N12" s="820">
        <f>J12/(G12+J12)</f>
        <v>0</v>
      </c>
      <c r="O12" s="1308" t="str">
        <f>'103'!U10</f>
        <v>06:49最後一支交接班</v>
      </c>
      <c r="P12" s="1309"/>
      <c r="Q12" s="1309"/>
      <c r="R12" s="1310"/>
      <c r="S12" s="822" t="str">
        <f>'103'!V10</f>
        <v>阮功體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>
        <v>1.8</v>
      </c>
      <c r="E15" s="815">
        <v>715</v>
      </c>
      <c r="F15" s="815">
        <f>'105'!O9</f>
        <v>450</v>
      </c>
      <c r="G15" s="1311">
        <f>'105'!K9</f>
        <v>4266</v>
      </c>
      <c r="H15" s="1312"/>
      <c r="I15" s="1313"/>
      <c r="J15" s="814">
        <f>'105'!L9</f>
        <v>0</v>
      </c>
      <c r="K15" s="1330">
        <f>'105'!P9</f>
        <v>0.79</v>
      </c>
      <c r="L15" s="1331"/>
      <c r="M15" s="1332"/>
      <c r="N15" s="871">
        <f t="shared" ref="N15:N20" si="0">J15/(G15+J15)</f>
        <v>0</v>
      </c>
      <c r="O15" s="1333" t="str">
        <f>'105'!U9</f>
        <v>19:01最後一支交接班</v>
      </c>
      <c r="P15" s="1334"/>
      <c r="Q15" s="1334"/>
      <c r="R15" s="1335"/>
      <c r="S15" s="860" t="str">
        <f>'105'!V9</f>
        <v>范文光</v>
      </c>
    </row>
    <row r="16" spans="1:23" ht="17.25" customHeight="1">
      <c r="A16" s="1102"/>
      <c r="B16" s="881" t="s">
        <v>43</v>
      </c>
      <c r="C16" s="422" t="s">
        <v>44</v>
      </c>
      <c r="D16" s="421">
        <v>1.8</v>
      </c>
      <c r="E16" s="880">
        <v>715</v>
      </c>
      <c r="F16" s="880">
        <f>'105'!O10</f>
        <v>450</v>
      </c>
      <c r="G16" s="1327">
        <f>'105'!K10</f>
        <v>4274</v>
      </c>
      <c r="H16" s="1328"/>
      <c r="I16" s="1329"/>
      <c r="J16" s="423">
        <f>'105'!L10</f>
        <v>0</v>
      </c>
      <c r="K16" s="1330">
        <f>'105'!P10</f>
        <v>0.79148148148148145</v>
      </c>
      <c r="L16" s="1331"/>
      <c r="M16" s="1332"/>
      <c r="N16" s="871">
        <f t="shared" si="0"/>
        <v>0</v>
      </c>
      <c r="O16" s="1333" t="str">
        <f>'105'!U10</f>
        <v>06:25最後一支交接班</v>
      </c>
      <c r="P16" s="1334"/>
      <c r="Q16" s="1334"/>
      <c r="R16" s="1335"/>
      <c r="S16" s="860" t="str">
        <f>'105'!V10</f>
        <v>阮庭平</v>
      </c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1.38</v>
      </c>
      <c r="E17" s="815">
        <v>805</v>
      </c>
      <c r="F17" s="815">
        <f>'106'!O8</f>
        <v>1185</v>
      </c>
      <c r="G17" s="1311">
        <f>'106'!K8</f>
        <v>13110</v>
      </c>
      <c r="H17" s="1312"/>
      <c r="I17" s="1313"/>
      <c r="J17" s="814">
        <f>'106'!L8</f>
        <v>0</v>
      </c>
      <c r="K17" s="1330">
        <f>'106'!P8</f>
        <v>0.92194092827004215</v>
      </c>
      <c r="L17" s="1331"/>
      <c r="M17" s="1332"/>
      <c r="N17" s="871">
        <f t="shared" si="0"/>
        <v>0</v>
      </c>
      <c r="O17" s="1364" t="str">
        <f>'106'!U8</f>
        <v>19:54最後一支交接班</v>
      </c>
      <c r="P17" s="1365"/>
      <c r="Q17" s="1365"/>
      <c r="R17" s="1366"/>
      <c r="S17" s="822" t="str">
        <f>'106'!V8</f>
        <v>黎文中.林子維</v>
      </c>
    </row>
    <row r="18" spans="1:19" ht="17.25" customHeight="1">
      <c r="A18" s="1371"/>
      <c r="B18" s="881" t="s">
        <v>43</v>
      </c>
      <c r="C18" s="422" t="s">
        <v>42</v>
      </c>
      <c r="D18" s="421">
        <v>1.38</v>
      </c>
      <c r="E18" s="880">
        <v>805</v>
      </c>
      <c r="F18" s="880">
        <f>'106'!O9</f>
        <v>1185</v>
      </c>
      <c r="G18" s="1327">
        <f>'106'!K9</f>
        <v>13122</v>
      </c>
      <c r="H18" s="1328"/>
      <c r="I18" s="1329"/>
      <c r="J18" s="423">
        <f>'106'!L9</f>
        <v>0</v>
      </c>
      <c r="K18" s="1330">
        <f>'106'!P9</f>
        <v>0.92278481012658231</v>
      </c>
      <c r="L18" s="1331"/>
      <c r="M18" s="1332"/>
      <c r="N18" s="871">
        <f t="shared" si="0"/>
        <v>0</v>
      </c>
      <c r="O18" s="1364" t="str">
        <f>'106'!U9</f>
        <v>07:50最後一支交接班</v>
      </c>
      <c r="P18" s="1365"/>
      <c r="Q18" s="1365"/>
      <c r="R18" s="1366"/>
      <c r="S18" s="822" t="str">
        <f>'106'!V9</f>
        <v>黃隨貴.盧宇昇</v>
      </c>
    </row>
    <row r="19" spans="1:19" ht="17.25" customHeight="1">
      <c r="A19" s="1362" t="s">
        <v>418</v>
      </c>
      <c r="B19" s="84" t="s">
        <v>205</v>
      </c>
      <c r="C19" s="850" t="s">
        <v>818</v>
      </c>
      <c r="D19" s="851">
        <v>0.6</v>
      </c>
      <c r="E19" s="815">
        <v>830</v>
      </c>
      <c r="F19" s="815">
        <f>'107'!O9</f>
        <v>450</v>
      </c>
      <c r="G19" s="1311">
        <f>'107'!K9</f>
        <v>5535</v>
      </c>
      <c r="H19" s="1312"/>
      <c r="I19" s="1313"/>
      <c r="J19" s="814">
        <f>'107'!L9</f>
        <v>0</v>
      </c>
      <c r="K19" s="1314">
        <f>'107'!P9</f>
        <v>1.0249999999999999</v>
      </c>
      <c r="L19" s="1315"/>
      <c r="M19" s="1316"/>
      <c r="N19" s="871">
        <f t="shared" si="0"/>
        <v>0</v>
      </c>
      <c r="O19" s="1367" t="str">
        <f>'107'!U9</f>
        <v>19:54最後一支交接班</v>
      </c>
      <c r="P19" s="1368"/>
      <c r="Q19" s="1368"/>
      <c r="R19" s="1369"/>
      <c r="S19" s="822" t="str">
        <f>'107'!V9</f>
        <v>潘文銅</v>
      </c>
    </row>
    <row r="20" spans="1:19" ht="17.25" customHeight="1">
      <c r="A20" s="1363"/>
      <c r="B20" s="881" t="s">
        <v>43</v>
      </c>
      <c r="C20" s="422" t="s">
        <v>818</v>
      </c>
      <c r="D20" s="421">
        <v>0.6</v>
      </c>
      <c r="E20" s="880">
        <v>830</v>
      </c>
      <c r="F20" s="880">
        <f>'107'!O10</f>
        <v>450</v>
      </c>
      <c r="G20" s="1327">
        <f>'107'!K10</f>
        <v>5037</v>
      </c>
      <c r="H20" s="1328"/>
      <c r="I20" s="1329"/>
      <c r="J20" s="423">
        <f>'107'!L10</f>
        <v>0</v>
      </c>
      <c r="K20" s="1314">
        <f>'107'!P10</f>
        <v>0.93277777777777782</v>
      </c>
      <c r="L20" s="1315"/>
      <c r="M20" s="1316"/>
      <c r="N20" s="871">
        <f t="shared" si="0"/>
        <v>0</v>
      </c>
      <c r="O20" s="1367" t="str">
        <f>'107'!U10</f>
        <v>07:15最後一支交接班</v>
      </c>
      <c r="P20" s="1368"/>
      <c r="Q20" s="1368"/>
      <c r="R20" s="1369"/>
      <c r="S20" s="822" t="str">
        <f>'107'!V10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62766</v>
      </c>
      <c r="J21" s="833">
        <f>SUM(J7:J20)</f>
        <v>101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1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1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1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1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52896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772</v>
      </c>
      <c r="G48" s="828" t="e">
        <f>#REF!</f>
        <v>#REF!</v>
      </c>
      <c r="H48" s="815"/>
      <c r="I48" s="827">
        <v>4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17.25" customHeight="1">
      <c r="A49" s="1189"/>
      <c r="B49" s="881" t="s">
        <v>43</v>
      </c>
      <c r="C49" s="1360" t="s">
        <v>633</v>
      </c>
      <c r="D49" s="1360"/>
      <c r="E49" s="1360"/>
      <c r="F49" s="418"/>
      <c r="G49" s="660"/>
      <c r="H49" s="880"/>
      <c r="I49" s="418"/>
      <c r="J49" s="660"/>
      <c r="K49" s="660"/>
      <c r="L49" s="660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26" t="s">
        <v>22</v>
      </c>
      <c r="B50" s="84" t="s">
        <v>0</v>
      </c>
      <c r="C50" s="1427" t="s">
        <v>633</v>
      </c>
      <c r="D50" s="1427"/>
      <c r="E50" s="1427"/>
      <c r="F50" s="827"/>
      <c r="G50" s="852"/>
      <c r="H50" s="815"/>
      <c r="I50" s="827"/>
      <c r="J50" s="852"/>
      <c r="K50" s="885"/>
      <c r="L50" s="885"/>
      <c r="M50" s="863"/>
      <c r="N50" s="415"/>
      <c r="O50" s="1364"/>
      <c r="P50" s="1365"/>
      <c r="Q50" s="1365"/>
      <c r="R50" s="1366"/>
      <c r="S50" s="821"/>
    </row>
    <row r="51" spans="1:24" ht="17.25" customHeight="1">
      <c r="A51" s="1189"/>
      <c r="B51" s="881" t="s">
        <v>43</v>
      </c>
      <c r="C51" s="1360" t="e">
        <f>#REF!</f>
        <v>#REF!</v>
      </c>
      <c r="D51" s="1360"/>
      <c r="E51" s="1360"/>
      <c r="F51" s="418" t="s">
        <v>773</v>
      </c>
      <c r="G51" s="840" t="e">
        <f>#REF!</f>
        <v>#REF!</v>
      </c>
      <c r="H51" s="880"/>
      <c r="I51" s="418">
        <v>2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17.2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3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17.25" customHeight="1">
      <c r="A53" s="1429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4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260" t="s">
        <v>634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816"/>
      <c r="N56" s="817"/>
      <c r="O56" s="1430"/>
      <c r="P56" s="1431"/>
      <c r="Q56" s="1431"/>
      <c r="R56" s="1432"/>
      <c r="S56" s="822"/>
    </row>
    <row r="57" spans="1:24" ht="17.25" customHeight="1">
      <c r="A57" s="1260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816"/>
      <c r="N57" s="817"/>
      <c r="O57" s="1430"/>
      <c r="P57" s="1431"/>
      <c r="Q57" s="1431"/>
      <c r="R57" s="1432"/>
      <c r="S57" s="822"/>
    </row>
    <row r="58" spans="1:24" ht="36" customHeight="1">
      <c r="A58" s="1126" t="s">
        <v>416</v>
      </c>
      <c r="B58" s="84" t="s">
        <v>0</v>
      </c>
      <c r="C58" s="1427" t="e">
        <f>#REF!</f>
        <v>#REF!</v>
      </c>
      <c r="D58" s="1427"/>
      <c r="E58" s="1427"/>
      <c r="F58" s="827" t="s">
        <v>776</v>
      </c>
      <c r="G58" s="828" t="e">
        <f>#REF!</f>
        <v>#REF!</v>
      </c>
      <c r="H58" s="815"/>
      <c r="I58" s="827">
        <v>3</v>
      </c>
      <c r="J58" s="828" t="e">
        <f>#REF!</f>
        <v>#REF!</v>
      </c>
      <c r="K58" s="828" t="e">
        <f>#REF!</f>
        <v>#REF!</v>
      </c>
      <c r="L58" s="828" t="e">
        <f>#REF!</f>
        <v>#REF!</v>
      </c>
      <c r="M58" s="816" t="e">
        <f>#REF!</f>
        <v>#REF!</v>
      </c>
      <c r="N58" s="818" t="e">
        <f>#REF!</f>
        <v>#REF!</v>
      </c>
      <c r="O58" s="1333" t="e">
        <f>#REF!</f>
        <v>#REF!</v>
      </c>
      <c r="P58" s="1334"/>
      <c r="Q58" s="1334"/>
      <c r="R58" s="1335"/>
      <c r="S58" s="855" t="e">
        <f>#REF!</f>
        <v>#REF!</v>
      </c>
    </row>
    <row r="59" spans="1:24" ht="51.75" customHeight="1">
      <c r="A59" s="1127"/>
      <c r="B59" s="381" t="s">
        <v>43</v>
      </c>
      <c r="C59" s="1360" t="e">
        <f>#REF!</f>
        <v>#REF!</v>
      </c>
      <c r="D59" s="1360"/>
      <c r="E59" s="1360"/>
      <c r="F59" s="418" t="s">
        <v>700</v>
      </c>
      <c r="G59" s="660" t="e">
        <f>#REF!</f>
        <v>#REF!</v>
      </c>
      <c r="H59" s="880"/>
      <c r="I59" s="418">
        <v>3</v>
      </c>
      <c r="J59" s="660" t="e">
        <f>#REF!</f>
        <v>#REF!</v>
      </c>
      <c r="K59" s="660" t="e">
        <f>#REF!</f>
        <v>#REF!</v>
      </c>
      <c r="L59" s="660" t="e">
        <f>#REF!</f>
        <v>#REF!</v>
      </c>
      <c r="M59" s="816" t="e">
        <f>#REF!</f>
        <v>#REF!</v>
      </c>
      <c r="N59" s="818" t="e">
        <f>#REF!</f>
        <v>#REF!</v>
      </c>
      <c r="O59" s="1333" t="e">
        <f>#REF!</f>
        <v>#REF!</v>
      </c>
      <c r="P59" s="1334"/>
      <c r="Q59" s="1334"/>
      <c r="R59" s="1335"/>
      <c r="S59" s="855" t="e">
        <f>#REF!</f>
        <v>#REF!</v>
      </c>
    </row>
    <row r="60" spans="1:24" ht="17.25" customHeight="1">
      <c r="A60" s="1126" t="s">
        <v>635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7"/>
      <c r="O60" s="1436"/>
      <c r="P60" s="1436"/>
      <c r="Q60" s="1436"/>
      <c r="R60" s="1436"/>
      <c r="S60" s="848"/>
    </row>
    <row r="61" spans="1:24" ht="17.25" customHeight="1">
      <c r="A61" s="1127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6"/>
      <c r="P61" s="1436"/>
      <c r="Q61" s="1436"/>
      <c r="R61" s="1436"/>
      <c r="S61" s="848"/>
    </row>
    <row r="62" spans="1:24" ht="37.5" customHeight="1">
      <c r="A62" s="1126" t="s">
        <v>636</v>
      </c>
      <c r="B62" s="84" t="s">
        <v>0</v>
      </c>
      <c r="C62" s="1427" t="e">
        <f>#REF!</f>
        <v>#REF!</v>
      </c>
      <c r="D62" s="1427"/>
      <c r="E62" s="1427"/>
      <c r="F62" s="827" t="s">
        <v>694</v>
      </c>
      <c r="G62" s="828" t="e">
        <f>#REF!</f>
        <v>#REF!</v>
      </c>
      <c r="H62" s="815"/>
      <c r="I62" s="827">
        <v>3</v>
      </c>
      <c r="J62" s="828" t="e">
        <f>#REF!</f>
        <v>#REF!</v>
      </c>
      <c r="K62" s="828" t="e">
        <f>#REF!</f>
        <v>#REF!</v>
      </c>
      <c r="L62" s="828" t="e">
        <f>#REF!</f>
        <v>#REF!</v>
      </c>
      <c r="M62" s="816" t="e">
        <f>#REF!</f>
        <v>#REF!</v>
      </c>
      <c r="N62" s="817" t="e">
        <f>#REF!</f>
        <v>#REF!</v>
      </c>
      <c r="O62" s="1436" t="e">
        <f>#REF!</f>
        <v>#REF!</v>
      </c>
      <c r="P62" s="1436"/>
      <c r="Q62" s="1436"/>
      <c r="R62" s="1436"/>
      <c r="S62" s="821" t="e">
        <f>#REF!</f>
        <v>#REF!</v>
      </c>
    </row>
    <row r="63" spans="1:24" ht="17.25" customHeight="1">
      <c r="A63" s="1127"/>
      <c r="B63" s="381" t="s">
        <v>43</v>
      </c>
      <c r="C63" s="1360" t="e">
        <f>#REF!</f>
        <v>#REF!</v>
      </c>
      <c r="D63" s="1360"/>
      <c r="E63" s="1360"/>
      <c r="F63" s="418" t="s">
        <v>694</v>
      </c>
      <c r="G63" s="660" t="e">
        <f>#REF!</f>
        <v>#REF!</v>
      </c>
      <c r="H63" s="880"/>
      <c r="I63" s="418">
        <v>3</v>
      </c>
      <c r="J63" s="660" t="e">
        <f>#REF!</f>
        <v>#REF!</v>
      </c>
      <c r="K63" s="660" t="e">
        <f>#REF!</f>
        <v>#REF!</v>
      </c>
      <c r="L63" s="660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21" t="e">
        <f>#REF!</f>
        <v>#REF!</v>
      </c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17.25" customHeight="1">
      <c r="A65" s="1400" t="s">
        <v>25</v>
      </c>
      <c r="B65" s="84" t="s">
        <v>0</v>
      </c>
      <c r="C65" s="1427" t="e">
        <f>#REF!</f>
        <v>#REF!</v>
      </c>
      <c r="D65" s="1427"/>
      <c r="E65" s="1427"/>
      <c r="F65" s="827" t="s">
        <v>729</v>
      </c>
      <c r="G65" s="828" t="e">
        <f>#REF!</f>
        <v>#REF!</v>
      </c>
      <c r="H65" s="815"/>
      <c r="I65" s="827">
        <v>5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659" t="e">
        <f>#REF!</f>
        <v>#REF!</v>
      </c>
      <c r="N65" s="415" t="e">
        <f>#REF!</f>
        <v>#REF!</v>
      </c>
      <c r="O65" s="1437" t="e">
        <f>#REF!</f>
        <v>#REF!</v>
      </c>
      <c r="P65" s="1438"/>
      <c r="Q65" s="1438"/>
      <c r="R65" s="1439"/>
      <c r="S65" s="876" t="e">
        <f>#REF!</f>
        <v>#REF!</v>
      </c>
    </row>
    <row r="66" spans="1:79" ht="34.5" customHeight="1">
      <c r="A66" s="1400"/>
      <c r="B66" s="381" t="s">
        <v>43</v>
      </c>
      <c r="C66" s="1360" t="e">
        <f>#REF!</f>
        <v>#REF!</v>
      </c>
      <c r="D66" s="1360"/>
      <c r="E66" s="1360"/>
      <c r="F66" s="418" t="s">
        <v>729</v>
      </c>
      <c r="G66" s="660" t="e">
        <f>#REF!</f>
        <v>#REF!</v>
      </c>
      <c r="H66" s="880"/>
      <c r="I66" s="418">
        <v>4</v>
      </c>
      <c r="J66" s="660" t="e">
        <f>#REF!</f>
        <v>#REF!</v>
      </c>
      <c r="K66" s="660" t="e">
        <f>#REF!</f>
        <v>#REF!</v>
      </c>
      <c r="L66" s="660" t="e">
        <f>#REF!</f>
        <v>#REF!</v>
      </c>
      <c r="M66" s="659" t="e">
        <f>#REF!</f>
        <v>#REF!</v>
      </c>
      <c r="N66" s="415" t="e">
        <f>#REF!</f>
        <v>#REF!</v>
      </c>
      <c r="O66" s="1437" t="e">
        <f>#REF!</f>
        <v>#REF!</v>
      </c>
      <c r="P66" s="1438"/>
      <c r="Q66" s="1438"/>
      <c r="R66" s="1439"/>
      <c r="S66" s="876" t="e">
        <f>#REF!</f>
        <v>#REF!</v>
      </c>
    </row>
    <row r="67" spans="1:79" ht="17.25" customHeight="1">
      <c r="A67" s="1260" t="s">
        <v>62</v>
      </c>
      <c r="B67" s="84" t="s">
        <v>0</v>
      </c>
      <c r="C67" s="1427" t="e">
        <f>#REF!</f>
        <v>#REF!</v>
      </c>
      <c r="D67" s="1427"/>
      <c r="E67" s="1427"/>
      <c r="F67" s="827" t="s">
        <v>731</v>
      </c>
      <c r="G67" s="828" t="e">
        <f>#REF!</f>
        <v>#REF!</v>
      </c>
      <c r="H67" s="815"/>
      <c r="I67" s="827">
        <v>3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61" t="e">
        <f>#REF!</f>
        <v>#REF!</v>
      </c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51.75" customHeight="1">
      <c r="A68" s="1260"/>
      <c r="B68" s="381" t="s">
        <v>43</v>
      </c>
      <c r="C68" s="1360" t="e">
        <f>#REF!</f>
        <v>#REF!</v>
      </c>
      <c r="D68" s="1360"/>
      <c r="E68" s="1360"/>
      <c r="F68" s="418" t="s">
        <v>731</v>
      </c>
      <c r="G68" s="660" t="e">
        <f>#REF!</f>
        <v>#REF!</v>
      </c>
      <c r="H68" s="880"/>
      <c r="I68" s="418">
        <v>4</v>
      </c>
      <c r="J68" s="660" t="e">
        <f>#REF!</f>
        <v>#REF!</v>
      </c>
      <c r="K68" s="660" t="e">
        <f>#REF!</f>
        <v>#REF!</v>
      </c>
      <c r="L68" s="660" t="e">
        <f>#REF!</f>
        <v>#REF!</v>
      </c>
      <c r="M68" s="659" t="e">
        <f>#REF!</f>
        <v>#REF!</v>
      </c>
      <c r="N68" s="415" t="e">
        <f>#REF!</f>
        <v>#REF!</v>
      </c>
      <c r="O68" s="1437" t="e">
        <f>#REF!</f>
        <v>#REF!</v>
      </c>
      <c r="P68" s="1438"/>
      <c r="Q68" s="1438"/>
      <c r="R68" s="1439"/>
      <c r="S68" s="861" t="e">
        <f>#REF!</f>
        <v>#REF!</v>
      </c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26" t="s">
        <v>640</v>
      </c>
      <c r="B69" s="84" t="s">
        <v>0</v>
      </c>
      <c r="C69" s="1427" t="e">
        <f>#REF!</f>
        <v>#REF!</v>
      </c>
      <c r="D69" s="1427"/>
      <c r="E69" s="1427"/>
      <c r="F69" s="827" t="s">
        <v>778</v>
      </c>
      <c r="G69" s="828" t="e">
        <f>#REF!</f>
        <v>#REF!</v>
      </c>
      <c r="H69" s="815"/>
      <c r="I69" s="827">
        <v>2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658" t="e">
        <f>#REF!</f>
        <v>#REF!</v>
      </c>
      <c r="O69" s="1554" t="e">
        <f>#REF!</f>
        <v>#REF!</v>
      </c>
      <c r="P69" s="1555"/>
      <c r="Q69" s="1555"/>
      <c r="R69" s="1556"/>
      <c r="S69" s="1552" t="e">
        <f>#REF!</f>
        <v>#REF!</v>
      </c>
    </row>
    <row r="70" spans="1:79" ht="17.25" customHeight="1">
      <c r="A70" s="1189"/>
      <c r="B70" s="84" t="s">
        <v>0</v>
      </c>
      <c r="C70" s="1427" t="e">
        <f>#REF!</f>
        <v>#REF!</v>
      </c>
      <c r="D70" s="1427"/>
      <c r="E70" s="1427"/>
      <c r="F70" s="827" t="s">
        <v>799</v>
      </c>
      <c r="G70" s="828" t="e">
        <f>#REF!</f>
        <v>#REF!</v>
      </c>
      <c r="H70" s="815"/>
      <c r="I70" s="827">
        <v>1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658" t="e">
        <f>#REF!</f>
        <v>#REF!</v>
      </c>
      <c r="O70" s="1549" t="e">
        <f>#REF!</f>
        <v>#REF!</v>
      </c>
      <c r="P70" s="1550"/>
      <c r="Q70" s="1550"/>
      <c r="R70" s="1551"/>
      <c r="S70" s="1553"/>
    </row>
    <row r="71" spans="1:79" ht="17.25" customHeight="1">
      <c r="A71" s="1127"/>
      <c r="B71" s="881" t="s">
        <v>43</v>
      </c>
      <c r="C71" s="1360" t="e">
        <f>#REF!</f>
        <v>#REF!</v>
      </c>
      <c r="D71" s="1360"/>
      <c r="E71" s="1360"/>
      <c r="F71" s="418" t="s">
        <v>799</v>
      </c>
      <c r="G71" s="660" t="e">
        <f>#REF!</f>
        <v>#REF!</v>
      </c>
      <c r="H71" s="880"/>
      <c r="I71" s="418">
        <v>4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17.25" customHeight="1">
      <c r="A72" s="1440" t="s">
        <v>26</v>
      </c>
      <c r="B72" s="84" t="s">
        <v>0</v>
      </c>
      <c r="C72" s="1382" t="e">
        <f>#REF!</f>
        <v>#REF!</v>
      </c>
      <c r="D72" s="1383"/>
      <c r="E72" s="1384"/>
      <c r="F72" s="827" t="s">
        <v>732</v>
      </c>
      <c r="G72" s="828" t="e">
        <f>#REF!</f>
        <v>#REF!</v>
      </c>
      <c r="H72" s="815"/>
      <c r="I72" s="827">
        <v>3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36" customHeight="1">
      <c r="A73" s="1547"/>
      <c r="B73" s="881" t="s">
        <v>43</v>
      </c>
      <c r="C73" s="1417" t="e">
        <f>#REF!</f>
        <v>#REF!</v>
      </c>
      <c r="D73" s="1418"/>
      <c r="E73" s="1419"/>
      <c r="F73" s="418" t="s">
        <v>732</v>
      </c>
      <c r="G73" s="660" t="e">
        <f>#REF!</f>
        <v>#REF!</v>
      </c>
      <c r="H73" s="880"/>
      <c r="I73" s="418">
        <v>3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s">
        <v>633</v>
      </c>
      <c r="D74" s="1427"/>
      <c r="E74" s="1427"/>
      <c r="F74" s="827"/>
      <c r="G74" s="828"/>
      <c r="H74" s="815"/>
      <c r="I74" s="827"/>
      <c r="J74" s="828"/>
      <c r="K74" s="828"/>
      <c r="L74" s="828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52.5" customHeight="1">
      <c r="A75" s="1547"/>
      <c r="B75" s="881" t="s">
        <v>43</v>
      </c>
      <c r="C75" s="1360" t="e">
        <f>#REF!</f>
        <v>#REF!</v>
      </c>
      <c r="D75" s="1360"/>
      <c r="E75" s="1360"/>
      <c r="F75" s="418" t="s">
        <v>734</v>
      </c>
      <c r="G75" s="660" t="e">
        <f>#REF!</f>
        <v>#REF!</v>
      </c>
      <c r="H75" s="880"/>
      <c r="I75" s="418">
        <v>4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1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e">
        <f>#REF!</f>
        <v>#REF!</v>
      </c>
      <c r="D78" s="1427"/>
      <c r="E78" s="1427"/>
      <c r="F78" s="827" t="s">
        <v>779</v>
      </c>
      <c r="G78" s="828" t="e">
        <f>#REF!</f>
        <v>#REF!</v>
      </c>
      <c r="H78" s="815"/>
      <c r="I78" s="827"/>
      <c r="J78" s="828" t="e">
        <f>#REF!</f>
        <v>#REF!</v>
      </c>
      <c r="K78" s="828" t="e">
        <f>#REF!</f>
        <v>#REF!</v>
      </c>
      <c r="L78" s="828" t="e">
        <f>#REF!</f>
        <v>#REF!</v>
      </c>
      <c r="M78" s="816" t="e">
        <f>#REF!</f>
        <v>#REF!</v>
      </c>
      <c r="N78" s="415" t="e">
        <f>#REF!</f>
        <v>#REF!</v>
      </c>
      <c r="O78" s="1437" t="e">
        <f>#REF!</f>
        <v>#REF!</v>
      </c>
      <c r="P78" s="1438"/>
      <c r="Q78" s="1438"/>
      <c r="R78" s="1439"/>
      <c r="S78" s="823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89"/>
      <c r="B79" s="881" t="s">
        <v>43</v>
      </c>
      <c r="C79" s="1360" t="e">
        <f>#REF!</f>
        <v>#REF!</v>
      </c>
      <c r="D79" s="1360"/>
      <c r="E79" s="1360"/>
      <c r="F79" s="418" t="s">
        <v>779</v>
      </c>
      <c r="G79" s="660" t="e">
        <f>#REF!</f>
        <v>#REF!</v>
      </c>
      <c r="H79" s="880"/>
      <c r="I79" s="418"/>
      <c r="J79" s="660" t="e">
        <f>#REF!</f>
        <v>#REF!</v>
      </c>
      <c r="K79" s="660" t="e">
        <f>#REF!</f>
        <v>#REF!</v>
      </c>
      <c r="L79" s="660" t="e">
        <f>#REF!</f>
        <v>#REF!</v>
      </c>
      <c r="M79" s="816" t="e">
        <f>#REF!</f>
        <v>#REF!</v>
      </c>
      <c r="N79" s="415" t="e">
        <f>#REF!</f>
        <v>#REF!</v>
      </c>
      <c r="O79" s="1437" t="e">
        <f>#REF!</f>
        <v>#REF!</v>
      </c>
      <c r="P79" s="1438"/>
      <c r="Q79" s="1438"/>
      <c r="R79" s="1439"/>
      <c r="S79" s="823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260" t="s">
        <v>643</v>
      </c>
      <c r="B80" s="84" t="s">
        <v>0</v>
      </c>
      <c r="C80" s="1427" t="e">
        <f>#REF!</f>
        <v>#REF!</v>
      </c>
      <c r="D80" s="1427"/>
      <c r="E80" s="1427"/>
      <c r="F80" s="827" t="s">
        <v>735</v>
      </c>
      <c r="G80" s="828" t="e">
        <f>#REF!</f>
        <v>#REF!</v>
      </c>
      <c r="H80" s="815"/>
      <c r="I80" s="827">
        <v>10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659" t="e">
        <f>#REF!</f>
        <v>#REF!</v>
      </c>
      <c r="N80" s="415" t="e">
        <f>#REF!</f>
        <v>#REF!</v>
      </c>
      <c r="O80" s="1437"/>
      <c r="P80" s="1438"/>
      <c r="Q80" s="1438"/>
      <c r="R80" s="1439"/>
      <c r="S80" s="848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260"/>
      <c r="B81" s="881" t="s">
        <v>43</v>
      </c>
      <c r="C81" s="1360" t="e">
        <f>#REF!</f>
        <v>#REF!</v>
      </c>
      <c r="D81" s="1360"/>
      <c r="E81" s="1360"/>
      <c r="F81" s="418" t="s">
        <v>735</v>
      </c>
      <c r="G81" s="660" t="e">
        <f>#REF!</f>
        <v>#REF!</v>
      </c>
      <c r="H81" s="880"/>
      <c r="I81" s="418">
        <v>11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659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48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 t="s">
        <v>651</v>
      </c>
      <c r="B82" s="84" t="s">
        <v>0</v>
      </c>
      <c r="C82" s="1427" t="s">
        <v>633</v>
      </c>
      <c r="D82" s="1427"/>
      <c r="E82" s="1427"/>
      <c r="F82" s="827"/>
      <c r="G82" s="828"/>
      <c r="H82" s="815"/>
      <c r="I82" s="827"/>
      <c r="J82" s="828"/>
      <c r="K82" s="828"/>
      <c r="L82" s="828"/>
      <c r="M82" s="659"/>
      <c r="N82" s="415"/>
      <c r="O82" s="1437"/>
      <c r="P82" s="1438"/>
      <c r="Q82" s="1438"/>
      <c r="R82" s="1439"/>
      <c r="S82" s="82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/>
      <c r="B83" s="881" t="s">
        <v>43</v>
      </c>
      <c r="C83" s="1360" t="s">
        <v>633</v>
      </c>
      <c r="D83" s="1360"/>
      <c r="E83" s="1360"/>
      <c r="F83" s="418"/>
      <c r="G83" s="660"/>
      <c r="H83" s="880"/>
      <c r="I83" s="418"/>
      <c r="J83" s="660"/>
      <c r="K83" s="660"/>
      <c r="L83" s="660"/>
      <c r="M83" s="659"/>
      <c r="N83" s="415"/>
      <c r="O83" s="1437"/>
      <c r="P83" s="1438"/>
      <c r="Q83" s="1438"/>
      <c r="R83" s="1439"/>
      <c r="S83" s="82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837"/>
      <c r="B84" s="841"/>
      <c r="C84" s="882"/>
      <c r="D84" s="883"/>
      <c r="E84" s="883"/>
      <c r="F84" s="845"/>
      <c r="G84" s="846"/>
      <c r="H84" s="815"/>
      <c r="I84" s="827"/>
      <c r="J84" s="834" t="s">
        <v>666</v>
      </c>
      <c r="K84" s="847" t="e">
        <f>SUM(K65:K83)</f>
        <v>#REF!</v>
      </c>
      <c r="L84" s="829"/>
      <c r="M84" s="659"/>
      <c r="N84" s="415"/>
      <c r="O84" s="1437"/>
      <c r="P84" s="1438"/>
      <c r="Q84" s="1438"/>
      <c r="R84" s="1439"/>
      <c r="S84" s="862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s="76" customFormat="1" ht="39" customHeight="1">
      <c r="A85" s="400" t="s">
        <v>63</v>
      </c>
      <c r="B85" s="400" t="s">
        <v>193</v>
      </c>
      <c r="C85" s="1445" t="s">
        <v>11</v>
      </c>
      <c r="D85" s="1446"/>
      <c r="E85" s="1446"/>
      <c r="F85" s="1446"/>
      <c r="G85" s="1447"/>
      <c r="H85" s="242" t="s">
        <v>216</v>
      </c>
      <c r="I85" s="242" t="s">
        <v>12</v>
      </c>
      <c r="J85" s="242" t="s">
        <v>13</v>
      </c>
      <c r="K85" s="405" t="s">
        <v>218</v>
      </c>
      <c r="L85" s="416" t="s">
        <v>60</v>
      </c>
      <c r="M85" s="257" t="s">
        <v>28</v>
      </c>
      <c r="N85" s="257" t="s">
        <v>45</v>
      </c>
      <c r="O85" s="1448" t="s">
        <v>29</v>
      </c>
      <c r="P85" s="1449"/>
      <c r="Q85" s="1449"/>
      <c r="R85" s="1450"/>
      <c r="S85" s="417" t="s">
        <v>57</v>
      </c>
    </row>
    <row r="86" spans="1:79" ht="18" customHeight="1">
      <c r="A86" s="1199">
        <v>401</v>
      </c>
      <c r="B86" s="84" t="s">
        <v>0</v>
      </c>
      <c r="C86" s="1282" t="s">
        <v>633</v>
      </c>
      <c r="D86" s="1283"/>
      <c r="E86" s="1283"/>
      <c r="F86" s="1283"/>
      <c r="G86" s="1468"/>
      <c r="H86" s="849"/>
      <c r="I86" s="849"/>
      <c r="J86" s="852"/>
      <c r="K86" s="872"/>
      <c r="L86" s="873"/>
      <c r="M86" s="852"/>
      <c r="N86" s="853"/>
      <c r="O86" s="1451"/>
      <c r="P86" s="1452"/>
      <c r="Q86" s="1452"/>
      <c r="R86" s="1453"/>
      <c r="S86" s="874"/>
    </row>
    <row r="87" spans="1:79" ht="18" customHeight="1">
      <c r="A87" s="1165"/>
      <c r="B87" s="881" t="s">
        <v>43</v>
      </c>
      <c r="C87" s="1454" t="e">
        <f>印401!#REF!</f>
        <v>#REF!</v>
      </c>
      <c r="D87" s="1454"/>
      <c r="E87" s="1454"/>
      <c r="F87" s="1454"/>
      <c r="G87" s="1454"/>
      <c r="H87" s="664"/>
      <c r="I87" s="664" t="e">
        <f>印401!#REF!</f>
        <v>#REF!</v>
      </c>
      <c r="J87" s="840" t="e">
        <f>印401!#REF!</f>
        <v>#REF!</v>
      </c>
      <c r="K87" s="424" t="e">
        <f>印401!#REF!</f>
        <v>#REF!</v>
      </c>
      <c r="L87" s="830" t="e">
        <f>印401!#REF!</f>
        <v>#REF!</v>
      </c>
      <c r="M87" s="840" t="e">
        <f>印401!#REF!</f>
        <v>#REF!</v>
      </c>
      <c r="N87" s="672" t="e">
        <f>印401!#REF!</f>
        <v>#REF!</v>
      </c>
      <c r="O87" s="1455"/>
      <c r="P87" s="1456"/>
      <c r="Q87" s="1456"/>
      <c r="R87" s="1457"/>
      <c r="S87" s="810" t="e">
        <f>印401!#REF!</f>
        <v>#REF!</v>
      </c>
    </row>
    <row r="88" spans="1:79" ht="18" customHeight="1">
      <c r="A88" s="1461">
        <v>402</v>
      </c>
      <c r="B88" s="84" t="s">
        <v>205</v>
      </c>
      <c r="C88" s="1557" t="e">
        <f>#REF!</f>
        <v>#REF!</v>
      </c>
      <c r="D88" s="1557"/>
      <c r="E88" s="1557"/>
      <c r="F88" s="1557"/>
      <c r="G88" s="1557"/>
      <c r="H88" s="849"/>
      <c r="I88" s="849" t="e">
        <f>#REF!</f>
        <v>#REF!</v>
      </c>
      <c r="J88" s="852" t="e">
        <f>#REF!</f>
        <v>#REF!</v>
      </c>
      <c r="K88" s="872" t="e">
        <f>#REF!</f>
        <v>#REF!</v>
      </c>
      <c r="L88" s="873" t="e">
        <f>#REF!</f>
        <v>#REF!</v>
      </c>
      <c r="M88" s="852" t="e">
        <f>#REF!</f>
        <v>#REF!</v>
      </c>
      <c r="N88" s="853" t="e">
        <f>#REF!</f>
        <v>#REF!</v>
      </c>
      <c r="O88" s="1451"/>
      <c r="P88" s="1452"/>
      <c r="Q88" s="1452"/>
      <c r="R88" s="1453"/>
      <c r="S88" s="874" t="e">
        <f>#REF!</f>
        <v>#REF!</v>
      </c>
    </row>
    <row r="89" spans="1:79" ht="18" customHeight="1">
      <c r="A89" s="1462"/>
      <c r="B89" s="881" t="s">
        <v>43</v>
      </c>
      <c r="C89" s="1454" t="e">
        <f>#REF!</f>
        <v>#REF!</v>
      </c>
      <c r="D89" s="1454"/>
      <c r="E89" s="1454"/>
      <c r="F89" s="1454"/>
      <c r="G89" s="1454"/>
      <c r="H89" s="664"/>
      <c r="I89" s="664" t="e">
        <f>#REF!</f>
        <v>#REF!</v>
      </c>
      <c r="J89" s="840" t="e">
        <f>#REF!</f>
        <v>#REF!</v>
      </c>
      <c r="K89" s="424" t="e">
        <f>#REF!</f>
        <v>#REF!</v>
      </c>
      <c r="L89" s="830" t="e">
        <f>#REF!</f>
        <v>#REF!</v>
      </c>
      <c r="M89" s="840" t="e">
        <f>#REF!</f>
        <v>#REF!</v>
      </c>
      <c r="N89" s="672" t="e">
        <f>#REF!</f>
        <v>#REF!</v>
      </c>
      <c r="O89" s="1455"/>
      <c r="P89" s="1456"/>
      <c r="Q89" s="1456"/>
      <c r="R89" s="1457"/>
      <c r="S89" s="810" t="e">
        <f>#REF!</f>
        <v>#REF!</v>
      </c>
    </row>
    <row r="90" spans="1:79" ht="17.25" customHeight="1">
      <c r="A90" s="1466">
        <v>403</v>
      </c>
      <c r="B90" s="244" t="s">
        <v>0</v>
      </c>
      <c r="C90" s="1290" t="e">
        <f>#REF!</f>
        <v>#REF!</v>
      </c>
      <c r="D90" s="1290"/>
      <c r="E90" s="1290"/>
      <c r="F90" s="1290"/>
      <c r="G90" s="1290"/>
      <c r="H90" s="849"/>
      <c r="I90" s="849" t="e">
        <f>#REF!</f>
        <v>#REF!</v>
      </c>
      <c r="J90" s="852" t="e">
        <f>#REF!</f>
        <v>#REF!</v>
      </c>
      <c r="K90" s="872" t="e">
        <f>#REF!</f>
        <v>#REF!</v>
      </c>
      <c r="L90" s="852" t="e">
        <f>#REF!</f>
        <v>#REF!</v>
      </c>
      <c r="M90" s="852" t="e">
        <f>#REF!</f>
        <v>#REF!</v>
      </c>
      <c r="N90" s="853" t="e">
        <f>#REF!</f>
        <v>#REF!</v>
      </c>
      <c r="O90" s="1451"/>
      <c r="P90" s="1452"/>
      <c r="Q90" s="1452"/>
      <c r="R90" s="1453"/>
      <c r="S90" s="874" t="e">
        <f>#REF!</f>
        <v>#REF!</v>
      </c>
    </row>
    <row r="91" spans="1:79" ht="17.25" customHeight="1">
      <c r="A91" s="1533"/>
      <c r="B91" s="244" t="s">
        <v>0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52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533"/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467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40"/>
      <c r="M93" s="840"/>
      <c r="N93" s="672"/>
      <c r="O93" s="1455"/>
      <c r="P93" s="1456"/>
      <c r="Q93" s="1456"/>
      <c r="R93" s="1457"/>
      <c r="S93" s="810"/>
    </row>
    <row r="94" spans="1:79" ht="18" customHeight="1">
      <c r="A94" s="1199">
        <v>405</v>
      </c>
      <c r="B94" s="8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8" customHeight="1">
      <c r="A95" s="1216"/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216"/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165"/>
      <c r="B97" s="881" t="s">
        <v>43</v>
      </c>
      <c r="C97" s="1454" t="e">
        <f>#REF!</f>
        <v>#REF!</v>
      </c>
      <c r="D97" s="1454"/>
      <c r="E97" s="1454"/>
      <c r="F97" s="1454"/>
      <c r="G97" s="1454"/>
      <c r="H97" s="664"/>
      <c r="I97" s="664" t="e">
        <f>#REF!</f>
        <v>#REF!</v>
      </c>
      <c r="J97" s="840" t="e">
        <f>#REF!</f>
        <v>#REF!</v>
      </c>
      <c r="K97" s="424" t="e">
        <f>#REF!</f>
        <v>#REF!</v>
      </c>
      <c r="L97" s="840" t="e">
        <f>#REF!</f>
        <v>#REF!</v>
      </c>
      <c r="M97" s="840" t="e">
        <f>#REF!</f>
        <v>#REF!</v>
      </c>
      <c r="N97" s="672" t="e">
        <f>#REF!</f>
        <v>#REF!</v>
      </c>
      <c r="O97" s="1455"/>
      <c r="P97" s="1456"/>
      <c r="Q97" s="1456"/>
      <c r="R97" s="1457"/>
      <c r="S97" s="810" t="e">
        <f>#REF!</f>
        <v>#REF!</v>
      </c>
    </row>
    <row r="98" spans="1:19" ht="18" customHeight="1">
      <c r="A98" s="314"/>
      <c r="B98" s="841"/>
      <c r="C98" s="1458"/>
      <c r="D98" s="1459"/>
      <c r="E98" s="1459"/>
      <c r="F98" s="1459"/>
      <c r="G98" s="1460"/>
      <c r="H98" s="849"/>
      <c r="I98" s="849"/>
      <c r="J98" s="834" t="s">
        <v>666</v>
      </c>
      <c r="K98" s="835" t="e">
        <f>SUM(K86:K97)</f>
        <v>#REF!</v>
      </c>
      <c r="L98" s="852"/>
      <c r="M98" s="852"/>
      <c r="N98" s="853"/>
      <c r="O98" s="886"/>
      <c r="P98" s="887"/>
      <c r="Q98" s="887"/>
      <c r="R98" s="888"/>
      <c r="S98" s="854"/>
    </row>
    <row r="99" spans="1:19" s="76" customFormat="1" ht="31.7" hidden="1" customHeight="1">
      <c r="A99" s="400" t="s">
        <v>425</v>
      </c>
      <c r="B99" s="400" t="s">
        <v>193</v>
      </c>
      <c r="C99" s="1282" t="e">
        <f>[1]印403!J91</f>
        <v>#REF!</v>
      </c>
      <c r="D99" s="1283"/>
      <c r="E99" s="1283"/>
      <c r="F99" s="1283"/>
      <c r="G99" s="1468"/>
      <c r="H99" s="242" t="s">
        <v>216</v>
      </c>
      <c r="I99" s="242" t="s">
        <v>12</v>
      </c>
      <c r="J99" s="242" t="s">
        <v>13</v>
      </c>
      <c r="K99" s="405" t="s">
        <v>218</v>
      </c>
      <c r="L99" s="427" t="s">
        <v>60</v>
      </c>
      <c r="M99" s="399" t="e">
        <f>[1]印403!O90</f>
        <v>#REF!</v>
      </c>
      <c r="N99" s="257" t="s">
        <v>45</v>
      </c>
      <c r="O99" s="1448" t="s">
        <v>29</v>
      </c>
      <c r="P99" s="1449"/>
      <c r="Q99" s="1449"/>
      <c r="R99" s="1450"/>
      <c r="S99" s="417" t="s">
        <v>57</v>
      </c>
    </row>
    <row r="100" spans="1:19" ht="15" hidden="1" customHeight="1">
      <c r="A100" s="1199" t="s">
        <v>426</v>
      </c>
      <c r="B100" s="84" t="s">
        <v>205</v>
      </c>
      <c r="C100" s="1282" t="e">
        <f>[1]印403!J92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[1]印403!O91</f>
        <v>#REF!</v>
      </c>
      <c r="N100" s="399"/>
      <c r="O100" s="1469"/>
      <c r="P100" s="1245"/>
      <c r="Q100" s="1245"/>
      <c r="R100" s="1246"/>
      <c r="S100" s="1470"/>
    </row>
    <row r="101" spans="1:19" ht="13.7" hidden="1" customHeight="1">
      <c r="A101" s="1216"/>
      <c r="B101" s="84" t="s">
        <v>205</v>
      </c>
      <c r="C101" s="1282" t="e">
        <f>[1]印403!J93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[1]印403!O92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[1]印403!J94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[1]印403!O93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[1]印403!J95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[1]印403!O94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[1]印403!J96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[1]印403!O95</f>
        <v>#REF!</v>
      </c>
      <c r="N104" s="425"/>
      <c r="O104" s="669"/>
      <c r="P104" s="670"/>
      <c r="Q104" s="670"/>
      <c r="R104" s="671"/>
      <c r="S104" s="1471"/>
    </row>
    <row r="105" spans="1:19" ht="16.5" hidden="1" customHeight="1">
      <c r="A105" s="1216"/>
      <c r="B105" s="881" t="s">
        <v>43</v>
      </c>
      <c r="C105" s="1282" t="e">
        <f>[1]印403!J97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[1]印403!O96</f>
        <v>#REF!</v>
      </c>
      <c r="N105" s="672"/>
      <c r="O105" s="1476"/>
      <c r="P105" s="1477"/>
      <c r="Q105" s="1477"/>
      <c r="R105" s="1478"/>
      <c r="S105" s="1485"/>
    </row>
    <row r="106" spans="1:19" ht="15" hidden="1" customHeight="1">
      <c r="A106" s="1216"/>
      <c r="B106" s="881" t="s">
        <v>43</v>
      </c>
      <c r="C106" s="1282" t="e">
        <f>[1]印403!J98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[1]印403!O97</f>
        <v>#REF!</v>
      </c>
      <c r="N106" s="672"/>
      <c r="O106" s="1479"/>
      <c r="P106" s="1480"/>
      <c r="Q106" s="1480"/>
      <c r="R106" s="1481"/>
      <c r="S106" s="1485"/>
    </row>
    <row r="107" spans="1:19" ht="15" hidden="1" customHeight="1">
      <c r="A107" s="1216"/>
      <c r="B107" s="881" t="s">
        <v>43</v>
      </c>
      <c r="C107" s="1282" t="e">
        <f>[1]印403!J99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[1]印403!O98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165"/>
      <c r="B108" s="881" t="s">
        <v>43</v>
      </c>
      <c r="C108" s="1282" t="e">
        <f>[1]印403!J100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[1]印403!O99</f>
        <v>#REF!</v>
      </c>
      <c r="N108" s="672"/>
      <c r="O108" s="1482"/>
      <c r="P108" s="1483"/>
      <c r="Q108" s="1483"/>
      <c r="R108" s="1484"/>
      <c r="S108" s="1486"/>
    </row>
    <row r="109" spans="1:19" ht="6" customHeight="1">
      <c r="A109" s="248"/>
      <c r="C109" s="249"/>
    </row>
    <row r="110" spans="1:19" ht="6" customHeight="1" thickBot="1">
      <c r="A110" s="248"/>
      <c r="C110" s="249"/>
    </row>
    <row r="111" spans="1:19" ht="15" customHeight="1" thickTop="1">
      <c r="A111" s="1472" t="s">
        <v>30</v>
      </c>
      <c r="B111" s="1473"/>
      <c r="C111" s="1473"/>
      <c r="D111" s="1473"/>
      <c r="E111" s="376">
        <v>200400</v>
      </c>
      <c r="F111" s="75" t="s">
        <v>64</v>
      </c>
      <c r="G111" s="1472" t="s">
        <v>31</v>
      </c>
      <c r="H111" s="1473"/>
      <c r="I111" s="1473"/>
      <c r="J111" s="1473"/>
      <c r="K111" s="1473"/>
      <c r="L111" s="377">
        <v>60000</v>
      </c>
      <c r="M111" s="75" t="s">
        <v>64</v>
      </c>
      <c r="N111" s="1472" t="s">
        <v>32</v>
      </c>
      <c r="O111" s="1473"/>
      <c r="P111" s="1473"/>
      <c r="Q111" s="377">
        <v>80000</v>
      </c>
      <c r="R111" s="75" t="s">
        <v>64</v>
      </c>
      <c r="S111" s="75"/>
    </row>
    <row r="112" spans="1:19" ht="15" customHeight="1" thickBot="1">
      <c r="A112" s="1474" t="s">
        <v>66</v>
      </c>
      <c r="B112" s="1475"/>
      <c r="C112" s="1475"/>
      <c r="D112" s="1475"/>
      <c r="E112" s="674">
        <f>50*1000</f>
        <v>50000</v>
      </c>
      <c r="G112" s="1474" t="s">
        <v>66</v>
      </c>
      <c r="H112" s="1475"/>
      <c r="I112" s="1475"/>
      <c r="J112" s="1475"/>
      <c r="K112" s="1475"/>
      <c r="L112" s="674">
        <f>(50+5)*1000</f>
        <v>55000</v>
      </c>
      <c r="N112" s="1474" t="s">
        <v>33</v>
      </c>
      <c r="O112" s="1475"/>
      <c r="P112" s="1475"/>
      <c r="Q112" s="674">
        <f>(50+30+50)*1000</f>
        <v>130000</v>
      </c>
      <c r="R112" s="75"/>
      <c r="S112" s="75"/>
    </row>
    <row r="113" spans="1:20" ht="15" customHeight="1" thickTop="1" thickBot="1">
      <c r="A113" s="1487" t="s">
        <v>34</v>
      </c>
      <c r="B113" s="1488"/>
      <c r="C113" s="1488"/>
      <c r="D113" s="1488"/>
      <c r="E113" s="378">
        <f>E111+E112</f>
        <v>250400</v>
      </c>
      <c r="F113" s="75" t="s">
        <v>64</v>
      </c>
      <c r="G113" s="1487" t="s">
        <v>35</v>
      </c>
      <c r="H113" s="1488"/>
      <c r="I113" s="1488"/>
      <c r="J113" s="1488"/>
      <c r="K113" s="1488"/>
      <c r="L113" s="379">
        <f>L111+L112</f>
        <v>115000</v>
      </c>
      <c r="M113" s="75" t="s">
        <v>64</v>
      </c>
      <c r="N113" s="1487" t="s">
        <v>36</v>
      </c>
      <c r="O113" s="1488"/>
      <c r="P113" s="1488"/>
      <c r="Q113" s="379">
        <f>Q111+Q112</f>
        <v>210000</v>
      </c>
      <c r="R113" s="75" t="s">
        <v>64</v>
      </c>
      <c r="S113" s="75"/>
    </row>
    <row r="114" spans="1:20" ht="15" customHeight="1" thickTop="1" thickBot="1">
      <c r="E114" s="252">
        <f>印401!M64</f>
        <v>0</v>
      </c>
      <c r="L114" s="675" t="e">
        <f>#REF!</f>
        <v>#REF!</v>
      </c>
      <c r="O114" s="75"/>
      <c r="P114" s="75"/>
      <c r="Q114" s="675" t="e">
        <f>#REF!</f>
        <v>#REF!</v>
      </c>
      <c r="R114" s="75"/>
      <c r="S114" s="75"/>
    </row>
    <row r="115" spans="1:20" ht="15" customHeight="1" thickBot="1">
      <c r="A115" s="676" t="s">
        <v>37</v>
      </c>
      <c r="B115" s="677"/>
      <c r="C115" s="677"/>
      <c r="D115" s="678"/>
      <c r="E115" s="253">
        <f>印401!P64</f>
        <v>0</v>
      </c>
      <c r="F115" s="75" t="s">
        <v>64</v>
      </c>
      <c r="G115" s="676" t="s">
        <v>38</v>
      </c>
      <c r="H115" s="677"/>
      <c r="I115" s="677"/>
      <c r="J115" s="677"/>
      <c r="K115" s="677"/>
      <c r="L115" s="384" t="e">
        <f>#REF!</f>
        <v>#REF!</v>
      </c>
      <c r="M115" s="75" t="s">
        <v>64</v>
      </c>
      <c r="N115" s="676" t="s">
        <v>39</v>
      </c>
      <c r="O115" s="677"/>
      <c r="P115" s="677"/>
      <c r="Q115" s="384" t="e">
        <f>#REF!</f>
        <v>#REF!</v>
      </c>
      <c r="R115" s="75" t="s">
        <v>64</v>
      </c>
      <c r="S115" s="75"/>
    </row>
    <row r="116" spans="1:20" ht="3" customHeight="1" thickBot="1">
      <c r="J116" s="255"/>
      <c r="K116" s="256"/>
    </row>
    <row r="117" spans="1:20" ht="15" customHeight="1" thickTop="1">
      <c r="B117" s="1509" t="s">
        <v>69</v>
      </c>
      <c r="C117" s="1510"/>
      <c r="D117" s="1511" t="s">
        <v>305</v>
      </c>
      <c r="E117" s="1512"/>
      <c r="F117" s="1489" t="s">
        <v>306</v>
      </c>
      <c r="G117" s="1490"/>
      <c r="H117" s="1491" t="s">
        <v>307</v>
      </c>
      <c r="I117" s="1492"/>
      <c r="J117" s="1492"/>
      <c r="K117" s="1493"/>
      <c r="L117" s="1472" t="s">
        <v>657</v>
      </c>
      <c r="M117" s="1473"/>
      <c r="N117" s="1473"/>
      <c r="O117" s="377">
        <v>754000</v>
      </c>
      <c r="P117" s="75" t="s">
        <v>64</v>
      </c>
      <c r="Q117" s="1496" t="s">
        <v>65</v>
      </c>
      <c r="R117" s="1497"/>
      <c r="S117" s="385">
        <v>4743930</v>
      </c>
    </row>
    <row r="118" spans="1:20" ht="15" customHeight="1" thickBot="1">
      <c r="B118" s="1498" t="s">
        <v>308</v>
      </c>
      <c r="C118" s="1499"/>
      <c r="D118" s="1500" t="e">
        <f>總表!D20</f>
        <v>#REF!</v>
      </c>
      <c r="E118" s="1501"/>
      <c r="F118" s="1502">
        <f>總表!E20</f>
        <v>1316871</v>
      </c>
      <c r="G118" s="1503"/>
      <c r="H118" s="1504" t="e">
        <f>(D118-F118)/D118</f>
        <v>#REF!</v>
      </c>
      <c r="I118" s="1505"/>
      <c r="J118" s="1505"/>
      <c r="K118" s="1506"/>
      <c r="L118" s="1474" t="s">
        <v>33</v>
      </c>
      <c r="M118" s="1475"/>
      <c r="N118" s="1475"/>
      <c r="O118" s="674">
        <f>(145+55+50+100)*600</f>
        <v>210000</v>
      </c>
      <c r="P118" s="75"/>
      <c r="Q118" s="1507" t="s">
        <v>67</v>
      </c>
      <c r="R118" s="1508"/>
      <c r="S118" s="386" t="e">
        <f>SUM(L48:L83,L86:L97)</f>
        <v>#REF!</v>
      </c>
    </row>
    <row r="119" spans="1:20" ht="15" customHeight="1" thickTop="1" thickBot="1">
      <c r="B119" s="1513" t="s">
        <v>309</v>
      </c>
      <c r="C119" s="1514"/>
      <c r="D119" s="1515" t="e">
        <f>總表!C43</f>
        <v>#REF!</v>
      </c>
      <c r="E119" s="1516"/>
      <c r="F119" s="1502" t="e">
        <f>總表!F43</f>
        <v>#REF!</v>
      </c>
      <c r="G119" s="1503"/>
      <c r="H119" s="1504" t="e">
        <f>(D119-F119)/D119</f>
        <v>#REF!</v>
      </c>
      <c r="I119" s="1505"/>
      <c r="J119" s="1505"/>
      <c r="K119" s="1506"/>
      <c r="L119" s="1487" t="s">
        <v>658</v>
      </c>
      <c r="M119" s="1488"/>
      <c r="N119" s="1488"/>
      <c r="O119" s="379">
        <f>O117+O118</f>
        <v>964000</v>
      </c>
      <c r="P119" s="75" t="s">
        <v>64</v>
      </c>
      <c r="Q119" s="1494" t="s">
        <v>68</v>
      </c>
      <c r="R119" s="1495"/>
      <c r="S119" s="387" t="e">
        <f>S117+S118</f>
        <v>#REF!</v>
      </c>
    </row>
    <row r="120" spans="1:20" ht="14.1" customHeight="1" thickTop="1" thickBot="1">
      <c r="B120" s="250" t="s">
        <v>310</v>
      </c>
      <c r="C120" s="250"/>
      <c r="D120" s="250"/>
      <c r="E120" s="233"/>
      <c r="O120" s="675" t="e">
        <f>#REF!</f>
        <v>#REF!</v>
      </c>
      <c r="P120" s="75"/>
      <c r="Q120" s="75"/>
      <c r="R120" s="254" t="e">
        <f>總表!E43+總表!E52</f>
        <v>#REF!</v>
      </c>
      <c r="S120" s="254" t="e">
        <f>R120-S119</f>
        <v>#REF!</v>
      </c>
    </row>
    <row r="121" spans="1:20" ht="17.25" customHeight="1" thickBot="1">
      <c r="B121" s="250" t="s">
        <v>40</v>
      </c>
      <c r="C121" s="233"/>
      <c r="D121" s="233"/>
      <c r="E121" s="233"/>
      <c r="F121" s="233"/>
      <c r="L121" s="676" t="s">
        <v>659</v>
      </c>
      <c r="M121" s="677"/>
      <c r="N121" s="677"/>
      <c r="O121" s="384" t="e">
        <f>#REF!</f>
        <v>#REF!</v>
      </c>
      <c r="P121" s="75" t="s">
        <v>64</v>
      </c>
      <c r="T121" s="233"/>
    </row>
    <row r="122" spans="1:20" ht="15.75" customHeight="1">
      <c r="B122" s="75" t="s">
        <v>41</v>
      </c>
      <c r="N122" s="233"/>
      <c r="S122" s="75"/>
    </row>
  </sheetData>
  <mergeCells count="291">
    <mergeCell ref="O95:R95"/>
    <mergeCell ref="A94:A97"/>
    <mergeCell ref="C90:G90"/>
    <mergeCell ref="O90:R90"/>
    <mergeCell ref="C93:G93"/>
    <mergeCell ref="O93:R93"/>
    <mergeCell ref="C88:G88"/>
    <mergeCell ref="O88:R88"/>
    <mergeCell ref="C89:G89"/>
    <mergeCell ref="O89:R89"/>
    <mergeCell ref="A88:A89"/>
    <mergeCell ref="A11:A12"/>
    <mergeCell ref="G15:I15"/>
    <mergeCell ref="K15:M15"/>
    <mergeCell ref="O15:R15"/>
    <mergeCell ref="A15:A16"/>
    <mergeCell ref="A13:A14"/>
    <mergeCell ref="G13:I13"/>
    <mergeCell ref="G11:I11"/>
    <mergeCell ref="K11:M11"/>
    <mergeCell ref="O11:R11"/>
    <mergeCell ref="G12:I12"/>
    <mergeCell ref="K12:M12"/>
    <mergeCell ref="O12:R12"/>
    <mergeCell ref="B119:C119"/>
    <mergeCell ref="D119:E119"/>
    <mergeCell ref="F119:G119"/>
    <mergeCell ref="H119:K119"/>
    <mergeCell ref="L119:N119"/>
    <mergeCell ref="Q119:R119"/>
    <mergeCell ref="Q117:R117"/>
    <mergeCell ref="B118:C118"/>
    <mergeCell ref="D118:E118"/>
    <mergeCell ref="F118:G118"/>
    <mergeCell ref="H118:K118"/>
    <mergeCell ref="L118:N118"/>
    <mergeCell ref="Q118:R118"/>
    <mergeCell ref="A113:D113"/>
    <mergeCell ref="G113:K113"/>
    <mergeCell ref="N113:P113"/>
    <mergeCell ref="B117:C117"/>
    <mergeCell ref="D117:E117"/>
    <mergeCell ref="F117:G117"/>
    <mergeCell ref="H117:K117"/>
    <mergeCell ref="L117:N117"/>
    <mergeCell ref="A111:D111"/>
    <mergeCell ref="G111:K111"/>
    <mergeCell ref="N111:P111"/>
    <mergeCell ref="A112:D112"/>
    <mergeCell ref="G112:K112"/>
    <mergeCell ref="N112:P112"/>
    <mergeCell ref="S100:S104"/>
    <mergeCell ref="C101:G101"/>
    <mergeCell ref="C102:G102"/>
    <mergeCell ref="C103:G103"/>
    <mergeCell ref="C104:G104"/>
    <mergeCell ref="C105:G105"/>
    <mergeCell ref="O105:R108"/>
    <mergeCell ref="S105:S108"/>
    <mergeCell ref="C106:G106"/>
    <mergeCell ref="C107:G107"/>
    <mergeCell ref="A78:A79"/>
    <mergeCell ref="C78:E78"/>
    <mergeCell ref="O78:R78"/>
    <mergeCell ref="C79:E79"/>
    <mergeCell ref="C99:G99"/>
    <mergeCell ref="O99:R99"/>
    <mergeCell ref="A100:A108"/>
    <mergeCell ref="C100:G100"/>
    <mergeCell ref="O100:R100"/>
    <mergeCell ref="C108:G108"/>
    <mergeCell ref="C91:G91"/>
    <mergeCell ref="O91:R91"/>
    <mergeCell ref="C92:G92"/>
    <mergeCell ref="O92:R92"/>
    <mergeCell ref="C98:G98"/>
    <mergeCell ref="C96:G96"/>
    <mergeCell ref="O96:R96"/>
    <mergeCell ref="C97:G97"/>
    <mergeCell ref="O97:R97"/>
    <mergeCell ref="O87:R87"/>
    <mergeCell ref="A90:A93"/>
    <mergeCell ref="C94:G94"/>
    <mergeCell ref="O94:R94"/>
    <mergeCell ref="C95:G95"/>
    <mergeCell ref="A80:A81"/>
    <mergeCell ref="C80:E80"/>
    <mergeCell ref="O80:R80"/>
    <mergeCell ref="C81:E81"/>
    <mergeCell ref="O81:R81"/>
    <mergeCell ref="A86:A87"/>
    <mergeCell ref="C86:G86"/>
    <mergeCell ref="O86:R86"/>
    <mergeCell ref="C87:G87"/>
    <mergeCell ref="A82:A83"/>
    <mergeCell ref="C82:E82"/>
    <mergeCell ref="O82:R82"/>
    <mergeCell ref="C83:E83"/>
    <mergeCell ref="O83:R83"/>
    <mergeCell ref="O84:R84"/>
    <mergeCell ref="C85:G85"/>
    <mergeCell ref="O85:R85"/>
    <mergeCell ref="A76:A77"/>
    <mergeCell ref="C76:E76"/>
    <mergeCell ref="O76:R76"/>
    <mergeCell ref="A67:A68"/>
    <mergeCell ref="C67:E67"/>
    <mergeCell ref="O67:R67"/>
    <mergeCell ref="C68:E68"/>
    <mergeCell ref="O68:R68"/>
    <mergeCell ref="O74:R74"/>
    <mergeCell ref="A74:A75"/>
    <mergeCell ref="A72:A73"/>
    <mergeCell ref="C72:E72"/>
    <mergeCell ref="O72:R72"/>
    <mergeCell ref="C69:E69"/>
    <mergeCell ref="O69:R69"/>
    <mergeCell ref="A69:A71"/>
    <mergeCell ref="C77:E77"/>
    <mergeCell ref="O77:R77"/>
    <mergeCell ref="C73:E73"/>
    <mergeCell ref="O73:R73"/>
    <mergeCell ref="O79:R79"/>
    <mergeCell ref="S69:S70"/>
    <mergeCell ref="C65:E65"/>
    <mergeCell ref="O65:R65"/>
    <mergeCell ref="C66:E66"/>
    <mergeCell ref="O66:R66"/>
    <mergeCell ref="O64:R64"/>
    <mergeCell ref="A65:A66"/>
    <mergeCell ref="A54:A55"/>
    <mergeCell ref="C54:E54"/>
    <mergeCell ref="O54:R54"/>
    <mergeCell ref="C55:E55"/>
    <mergeCell ref="O55:R55"/>
    <mergeCell ref="A56:A57"/>
    <mergeCell ref="C56:E56"/>
    <mergeCell ref="O56:R56"/>
    <mergeCell ref="C57:E57"/>
    <mergeCell ref="O57:R57"/>
    <mergeCell ref="A58:A59"/>
    <mergeCell ref="C58:E58"/>
    <mergeCell ref="O58:R58"/>
    <mergeCell ref="C59:E59"/>
    <mergeCell ref="O59:R59"/>
    <mergeCell ref="A62:A63"/>
    <mergeCell ref="C62:E62"/>
    <mergeCell ref="C75:E75"/>
    <mergeCell ref="O75:R75"/>
    <mergeCell ref="A48:A49"/>
    <mergeCell ref="C48:E48"/>
    <mergeCell ref="O48:R48"/>
    <mergeCell ref="C50:E50"/>
    <mergeCell ref="C70:E70"/>
    <mergeCell ref="O70:R70"/>
    <mergeCell ref="C71:E71"/>
    <mergeCell ref="O71:R71"/>
    <mergeCell ref="O62:R62"/>
    <mergeCell ref="C63:E63"/>
    <mergeCell ref="O63:R63"/>
    <mergeCell ref="A60:A61"/>
    <mergeCell ref="C60:E60"/>
    <mergeCell ref="O60:R60"/>
    <mergeCell ref="C61:E61"/>
    <mergeCell ref="O61:R61"/>
    <mergeCell ref="C74:E74"/>
    <mergeCell ref="S45:S47"/>
    <mergeCell ref="C46:E46"/>
    <mergeCell ref="C47:E47"/>
    <mergeCell ref="S39:S41"/>
    <mergeCell ref="C40:E40"/>
    <mergeCell ref="C41:E41"/>
    <mergeCell ref="C49:E49"/>
    <mergeCell ref="A50:A51"/>
    <mergeCell ref="O50:R50"/>
    <mergeCell ref="C51:E51"/>
    <mergeCell ref="O51:R51"/>
    <mergeCell ref="S32:S35"/>
    <mergeCell ref="C33:E33"/>
    <mergeCell ref="C34:E34"/>
    <mergeCell ref="C35:E35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C45:E45"/>
    <mergeCell ref="M45:M47"/>
    <mergeCell ref="O45:R47"/>
    <mergeCell ref="V48:X48"/>
    <mergeCell ref="O49:R49"/>
    <mergeCell ref="V49:X49"/>
    <mergeCell ref="G19:I19"/>
    <mergeCell ref="K19:M19"/>
    <mergeCell ref="O19:R19"/>
    <mergeCell ref="G20:I20"/>
    <mergeCell ref="K20:M20"/>
    <mergeCell ref="O20:R20"/>
    <mergeCell ref="K21:M21"/>
    <mergeCell ref="O28:R28"/>
    <mergeCell ref="M29:M31"/>
    <mergeCell ref="O29:R31"/>
    <mergeCell ref="O22:R24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S29:S31"/>
    <mergeCell ref="A17:A18"/>
    <mergeCell ref="G17:I17"/>
    <mergeCell ref="K17:M17"/>
    <mergeCell ref="O17:R17"/>
    <mergeCell ref="G18:I18"/>
    <mergeCell ref="K18:M18"/>
    <mergeCell ref="O18:R18"/>
    <mergeCell ref="K13:M13"/>
    <mergeCell ref="O13:R13"/>
    <mergeCell ref="G14:I14"/>
    <mergeCell ref="K14:M14"/>
    <mergeCell ref="O14:R14"/>
    <mergeCell ref="G16:I16"/>
    <mergeCell ref="K16:M16"/>
    <mergeCell ref="O16:R16"/>
    <mergeCell ref="A19:A20"/>
    <mergeCell ref="A52:A53"/>
    <mergeCell ref="C52:E52"/>
    <mergeCell ref="O52:R52"/>
    <mergeCell ref="C53:E53"/>
    <mergeCell ref="O53:R53"/>
    <mergeCell ref="O21:R21"/>
    <mergeCell ref="A22:A27"/>
    <mergeCell ref="G22:I22"/>
    <mergeCell ref="K22:M24"/>
    <mergeCell ref="C28:E28"/>
    <mergeCell ref="A29:A35"/>
    <mergeCell ref="C29:E29"/>
    <mergeCell ref="C30:E30"/>
    <mergeCell ref="C31:E31"/>
    <mergeCell ref="C32:E32"/>
    <mergeCell ref="M32:M35"/>
    <mergeCell ref="O32:R35"/>
    <mergeCell ref="A9:A10"/>
    <mergeCell ref="G9:I9"/>
    <mergeCell ref="K9:M9"/>
    <mergeCell ref="O9:R9"/>
    <mergeCell ref="G10:I10"/>
    <mergeCell ref="K10:M10"/>
    <mergeCell ref="O10:R10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A119"/>
  <sheetViews>
    <sheetView topLeftCell="I79" workbookViewId="0">
      <selection activeCell="L106" sqref="L106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41.2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746</v>
      </c>
      <c r="O2" s="1319"/>
      <c r="P2" s="1320"/>
      <c r="Q2" s="1318" t="s">
        <v>802</v>
      </c>
      <c r="R2" s="1320"/>
      <c r="S2" s="642" t="s">
        <v>801</v>
      </c>
    </row>
    <row r="3" spans="1:23" ht="68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803</v>
      </c>
      <c r="O3" s="1319"/>
      <c r="P3" s="1320"/>
      <c r="Q3" s="1318" t="s">
        <v>804</v>
      </c>
      <c r="R3" s="1320"/>
      <c r="S3" s="85"/>
    </row>
    <row r="4" spans="1:23" ht="39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748</v>
      </c>
      <c r="O4" s="1319"/>
      <c r="P4" s="1320"/>
      <c r="Q4" s="1318" t="s">
        <v>749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45234</v>
      </c>
      <c r="D5" s="419" t="s">
        <v>800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>
        <v>1.2</v>
      </c>
      <c r="E7" s="856">
        <v>715</v>
      </c>
      <c r="F7" s="858">
        <f>'101'!O10</f>
        <v>500</v>
      </c>
      <c r="G7" s="1342">
        <f>'101'!K10</f>
        <v>6028</v>
      </c>
      <c r="H7" s="1343"/>
      <c r="I7" s="1344"/>
      <c r="J7" s="859">
        <f>'101'!L10</f>
        <v>0</v>
      </c>
      <c r="K7" s="1345">
        <f>'101'!P10</f>
        <v>1.0046666666666666</v>
      </c>
      <c r="L7" s="1346"/>
      <c r="M7" s="1347"/>
      <c r="N7" s="820">
        <f>J7/(G7+J7)</f>
        <v>0</v>
      </c>
      <c r="O7" s="1348" t="str">
        <f>'101'!U10</f>
        <v>19:25最後一支交接班</v>
      </c>
      <c r="P7" s="1349"/>
      <c r="Q7" s="1349"/>
      <c r="R7" s="1350"/>
      <c r="S7" s="875" t="str">
        <f>'101'!V10</f>
        <v>阮明演</v>
      </c>
    </row>
    <row r="8" spans="1:23" s="76" customFormat="1" ht="17.25" customHeight="1">
      <c r="A8" s="1548"/>
      <c r="B8" s="881" t="s">
        <v>43</v>
      </c>
      <c r="C8" s="824" t="s">
        <v>42</v>
      </c>
      <c r="D8" s="421">
        <v>1.2</v>
      </c>
      <c r="E8" s="646">
        <v>715</v>
      </c>
      <c r="F8" s="825">
        <f>'101'!O11</f>
        <v>500</v>
      </c>
      <c r="G8" s="1351">
        <f>'101'!K11</f>
        <v>6021</v>
      </c>
      <c r="H8" s="1352"/>
      <c r="I8" s="1353"/>
      <c r="J8" s="826">
        <f>'101'!L11</f>
        <v>0</v>
      </c>
      <c r="K8" s="1345">
        <f>'101'!P11</f>
        <v>1.0035000000000001</v>
      </c>
      <c r="L8" s="1346"/>
      <c r="M8" s="1347"/>
      <c r="N8" s="820">
        <f>J8/(G8+J8)</f>
        <v>0</v>
      </c>
      <c r="O8" s="1348" t="str">
        <f>'101'!U11</f>
        <v>07:55最後一支交接班</v>
      </c>
      <c r="P8" s="1349"/>
      <c r="Q8" s="1349"/>
      <c r="R8" s="1350"/>
      <c r="S8" s="875" t="str">
        <f>'101'!V11</f>
        <v>磨文林</v>
      </c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308"/>
      <c r="P9" s="1309"/>
      <c r="Q9" s="1309"/>
      <c r="R9" s="1310"/>
      <c r="S9" s="878"/>
      <c r="U9" s="420" t="s">
        <v>633</v>
      </c>
      <c r="V9" s="880"/>
      <c r="W9" s="880"/>
    </row>
    <row r="10" spans="1:23" ht="36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'102'!O11</f>
        <v>750</v>
      </c>
      <c r="G10" s="1327">
        <f>'102'!K11</f>
        <v>4019</v>
      </c>
      <c r="H10" s="1328"/>
      <c r="I10" s="1329"/>
      <c r="J10" s="423">
        <f>'102'!L11</f>
        <v>78</v>
      </c>
      <c r="K10" s="1314">
        <f>'102'!P11</f>
        <v>0.44655555555555554</v>
      </c>
      <c r="L10" s="1315"/>
      <c r="M10" s="1316"/>
      <c r="N10" s="820">
        <f>J10/(G10+J10)</f>
        <v>1.9038320722479862E-2</v>
      </c>
      <c r="O10" s="1308" t="str">
        <f>'102'!U11</f>
        <v>20:00-01:30板面反白,停機漏料,重新結晶乾燥,NG  78KG
07:43最後一支交接班</v>
      </c>
      <c r="P10" s="1309"/>
      <c r="Q10" s="1309"/>
      <c r="R10" s="1310"/>
      <c r="S10" s="878" t="str">
        <f>'102'!V11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0.25</v>
      </c>
      <c r="E11" s="815">
        <v>870</v>
      </c>
      <c r="F11" s="815">
        <f>'103'!O11</f>
        <v>350</v>
      </c>
      <c r="G11" s="1311">
        <f>'103'!K11</f>
        <v>2014</v>
      </c>
      <c r="H11" s="1312"/>
      <c r="I11" s="1313"/>
      <c r="J11" s="814">
        <f>'103'!L11</f>
        <v>0</v>
      </c>
      <c r="K11" s="1524">
        <f>'103'!P11+'103'!P12</f>
        <v>0.95785714285714285</v>
      </c>
      <c r="L11" s="1525"/>
      <c r="M11" s="1526"/>
      <c r="N11" s="820">
        <f>J11/(G11+J11)</f>
        <v>0</v>
      </c>
      <c r="O11" s="1521" t="str">
        <f>'103'!U11</f>
        <v>12:59改規格0.28*900,無損耗</v>
      </c>
      <c r="P11" s="1522"/>
      <c r="Q11" s="1522"/>
      <c r="R11" s="1523"/>
      <c r="S11" s="1517" t="str">
        <f>'103'!V11</f>
        <v>史豐銘</v>
      </c>
    </row>
    <row r="12" spans="1:23" ht="17.25" customHeight="1">
      <c r="A12" s="1336"/>
      <c r="B12" s="84" t="s">
        <v>205</v>
      </c>
      <c r="C12" s="850" t="s">
        <v>42</v>
      </c>
      <c r="D12" s="851">
        <v>0.28000000000000003</v>
      </c>
      <c r="E12" s="815">
        <v>900</v>
      </c>
      <c r="F12" s="815">
        <f>'103'!O12</f>
        <v>350</v>
      </c>
      <c r="G12" s="1311">
        <f>'103'!K12</f>
        <v>2009</v>
      </c>
      <c r="H12" s="1312"/>
      <c r="I12" s="1313"/>
      <c r="J12" s="814">
        <f>'103'!L12</f>
        <v>0</v>
      </c>
      <c r="K12" s="1527"/>
      <c r="L12" s="1528"/>
      <c r="M12" s="1529"/>
      <c r="N12" s="820">
        <f>J12/(G12+J12)</f>
        <v>0</v>
      </c>
      <c r="O12" s="1530" t="str">
        <f>'103'!U12</f>
        <v>19:30最後一支交接班</v>
      </c>
      <c r="P12" s="1531"/>
      <c r="Q12" s="1531"/>
      <c r="R12" s="1532"/>
      <c r="S12" s="1518"/>
    </row>
    <row r="13" spans="1:23" ht="17.25" customHeight="1">
      <c r="A13" s="1326"/>
      <c r="B13" s="881" t="s">
        <v>207</v>
      </c>
      <c r="C13" s="422" t="s">
        <v>42</v>
      </c>
      <c r="D13" s="421">
        <v>0.28000000000000003</v>
      </c>
      <c r="E13" s="880">
        <v>900</v>
      </c>
      <c r="F13" s="880">
        <f>'103'!O13</f>
        <v>350</v>
      </c>
      <c r="G13" s="1327">
        <f>'103'!K13</f>
        <v>4012</v>
      </c>
      <c r="H13" s="1328"/>
      <c r="I13" s="1329"/>
      <c r="J13" s="423">
        <f>'103'!L13</f>
        <v>0</v>
      </c>
      <c r="K13" s="1314">
        <f>'103'!P13</f>
        <v>0.95523809523809522</v>
      </c>
      <c r="L13" s="1315"/>
      <c r="M13" s="1316"/>
      <c r="N13" s="820">
        <f>J13/(G13+J13)</f>
        <v>0</v>
      </c>
      <c r="O13" s="1308" t="str">
        <f>'103'!U13</f>
        <v>07:10最後一支交接班</v>
      </c>
      <c r="P13" s="1309"/>
      <c r="Q13" s="1309"/>
      <c r="R13" s="1310"/>
      <c r="S13" s="822" t="str">
        <f>'103'!V13</f>
        <v>阮庭平</v>
      </c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649">
        <v>1.8</v>
      </c>
      <c r="E16" s="815">
        <v>715</v>
      </c>
      <c r="F16" s="815">
        <f>'105'!O11</f>
        <v>450</v>
      </c>
      <c r="G16" s="1311">
        <f>'105'!K11</f>
        <v>3564</v>
      </c>
      <c r="H16" s="1312"/>
      <c r="I16" s="1313"/>
      <c r="J16" s="814">
        <f>'105'!L11</f>
        <v>0</v>
      </c>
      <c r="K16" s="1330">
        <f>'105'!P11</f>
        <v>0.66</v>
      </c>
      <c r="L16" s="1331"/>
      <c r="M16" s="1332"/>
      <c r="N16" s="871">
        <f>J16/(G16+J16)</f>
        <v>0</v>
      </c>
      <c r="O16" s="1333" t="str">
        <f>'105'!U11</f>
        <v>15:40最後一支計畫性停機,人員轉102機台維修馬達及保養乾燥機</v>
      </c>
      <c r="P16" s="1334"/>
      <c r="Q16" s="1334"/>
      <c r="R16" s="1335"/>
      <c r="S16" s="860" t="str">
        <f>'105'!V11</f>
        <v>黎庭全</v>
      </c>
    </row>
    <row r="17" spans="1:19" ht="17.25" customHeight="1">
      <c r="A17" s="1102"/>
      <c r="B17" s="881" t="s">
        <v>43</v>
      </c>
      <c r="C17" s="422" t="s">
        <v>44</v>
      </c>
      <c r="D17" s="421" t="s">
        <v>633</v>
      </c>
      <c r="E17" s="880"/>
      <c r="F17" s="880"/>
      <c r="G17" s="1327"/>
      <c r="H17" s="1328"/>
      <c r="I17" s="1329"/>
      <c r="J17" s="423"/>
      <c r="K17" s="1330"/>
      <c r="L17" s="1331"/>
      <c r="M17" s="1332"/>
      <c r="N17" s="871"/>
      <c r="O17" s="1333"/>
      <c r="P17" s="1334"/>
      <c r="Q17" s="1334"/>
      <c r="R17" s="1335"/>
      <c r="S17" s="860"/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1.38</v>
      </c>
      <c r="E18" s="815">
        <v>805</v>
      </c>
      <c r="F18" s="815">
        <f>'106'!O10</f>
        <v>1185</v>
      </c>
      <c r="G18" s="1311">
        <f>'106'!K10</f>
        <v>13114</v>
      </c>
      <c r="H18" s="1312"/>
      <c r="I18" s="1313"/>
      <c r="J18" s="814">
        <f>'106'!L10</f>
        <v>0</v>
      </c>
      <c r="K18" s="1330">
        <f>'106'!P10</f>
        <v>0.92222222222222228</v>
      </c>
      <c r="L18" s="1331"/>
      <c r="M18" s="1332"/>
      <c r="N18" s="871">
        <f>J18/(G18+J18)</f>
        <v>0</v>
      </c>
      <c r="O18" s="1364" t="str">
        <f>'106'!U10</f>
        <v>19:48最後一支交接班</v>
      </c>
      <c r="P18" s="1365"/>
      <c r="Q18" s="1365"/>
      <c r="R18" s="1366"/>
      <c r="S18" s="822" t="str">
        <f>'106'!V10</f>
        <v>黎文中.林子維</v>
      </c>
    </row>
    <row r="19" spans="1:19" ht="39" customHeight="1">
      <c r="A19" s="1371"/>
      <c r="B19" s="881" t="s">
        <v>43</v>
      </c>
      <c r="C19" s="422" t="s">
        <v>42</v>
      </c>
      <c r="D19" s="421">
        <v>1.38</v>
      </c>
      <c r="E19" s="880">
        <v>805</v>
      </c>
      <c r="F19" s="880">
        <f>'106'!O11</f>
        <v>1185</v>
      </c>
      <c r="G19" s="1327">
        <f>'106'!K11</f>
        <v>13122</v>
      </c>
      <c r="H19" s="1328"/>
      <c r="I19" s="1329"/>
      <c r="J19" s="423">
        <f>'106'!L11</f>
        <v>0</v>
      </c>
      <c r="K19" s="1330">
        <f>'106'!P11</f>
        <v>0.92278481012658231</v>
      </c>
      <c r="L19" s="1331"/>
      <c r="M19" s="1332"/>
      <c r="N19" s="871">
        <f>J19/(G19+J19)</f>
        <v>0</v>
      </c>
      <c r="O19" s="1364" t="str">
        <f>'106'!U11</f>
        <v>07:39最後一支交接班</v>
      </c>
      <c r="P19" s="1365"/>
      <c r="Q19" s="1365"/>
      <c r="R19" s="1366"/>
      <c r="S19" s="822" t="str">
        <f>'106'!V11</f>
        <v>黃隨貴.阮宏山
磨文林(21:16-08:00)</v>
      </c>
    </row>
    <row r="20" spans="1:19" ht="17.25" customHeight="1">
      <c r="A20" s="1362" t="s">
        <v>418</v>
      </c>
      <c r="B20" s="84" t="s">
        <v>205</v>
      </c>
      <c r="C20" s="850" t="s">
        <v>818</v>
      </c>
      <c r="D20" s="851">
        <v>0.6</v>
      </c>
      <c r="E20" s="815">
        <v>830</v>
      </c>
      <c r="F20" s="815">
        <f>'107'!O11</f>
        <v>450</v>
      </c>
      <c r="G20" s="1311">
        <f>'107'!K11</f>
        <v>5030</v>
      </c>
      <c r="H20" s="1312"/>
      <c r="I20" s="1313"/>
      <c r="J20" s="814">
        <f>'107'!L11</f>
        <v>0</v>
      </c>
      <c r="K20" s="1314">
        <f>'107'!P11</f>
        <v>0.93148148148148147</v>
      </c>
      <c r="L20" s="1315"/>
      <c r="M20" s="1316"/>
      <c r="N20" s="871">
        <f>J20/(G20+J20)</f>
        <v>0</v>
      </c>
      <c r="O20" s="1367" t="str">
        <f>'107'!U11</f>
        <v>18:55最後一支交接班</v>
      </c>
      <c r="P20" s="1368"/>
      <c r="Q20" s="1368"/>
      <c r="R20" s="1369"/>
      <c r="S20" s="822" t="str">
        <f>'107'!V11</f>
        <v>潘文銅</v>
      </c>
    </row>
    <row r="21" spans="1:19" ht="17.25" customHeight="1">
      <c r="A21" s="1363"/>
      <c r="B21" s="881" t="s">
        <v>43</v>
      </c>
      <c r="C21" s="422" t="s">
        <v>818</v>
      </c>
      <c r="D21" s="421">
        <v>0.6</v>
      </c>
      <c r="E21" s="880">
        <v>830</v>
      </c>
      <c r="F21" s="880">
        <f>'107'!O12</f>
        <v>450</v>
      </c>
      <c r="G21" s="1327">
        <f>'107'!K12</f>
        <v>1005</v>
      </c>
      <c r="H21" s="1328"/>
      <c r="I21" s="1329"/>
      <c r="J21" s="423">
        <f>'107'!L12</f>
        <v>0</v>
      </c>
      <c r="K21" s="1314">
        <f>'107'!P12</f>
        <v>0.18611111111111112</v>
      </c>
      <c r="L21" s="1315"/>
      <c r="M21" s="1316"/>
      <c r="N21" s="871">
        <f>J21/(G21+J21)</f>
        <v>0</v>
      </c>
      <c r="O21" s="1367" t="str">
        <f>'107'!U12</f>
        <v>21:16最後一支計畫性停機,人員安排支援106機台</v>
      </c>
      <c r="P21" s="1368"/>
      <c r="Q21" s="1368"/>
      <c r="R21" s="1369"/>
      <c r="S21" s="822" t="str">
        <f>'107'!V12</f>
        <v>磨文林</v>
      </c>
    </row>
    <row r="22" spans="1:19" ht="17.25" customHeight="1">
      <c r="A22" s="843"/>
      <c r="B22" s="841"/>
      <c r="C22" s="850"/>
      <c r="D22" s="851"/>
      <c r="E22" s="815"/>
      <c r="F22" s="815"/>
      <c r="G22" s="832" t="s">
        <v>666</v>
      </c>
      <c r="H22" s="838"/>
      <c r="I22" s="833">
        <f>SUM(G7:I21)</f>
        <v>59938</v>
      </c>
      <c r="J22" s="833">
        <f>SUM(J7:J21)</f>
        <v>78</v>
      </c>
      <c r="K22" s="1314"/>
      <c r="L22" s="1315"/>
      <c r="M22" s="1316"/>
      <c r="N22" s="647"/>
      <c r="O22" s="1372"/>
      <c r="P22" s="1373"/>
      <c r="Q22" s="1373"/>
      <c r="R22" s="1374"/>
      <c r="S22" s="812"/>
    </row>
    <row r="23" spans="1:19" ht="20.100000000000001" hidden="1" customHeight="1">
      <c r="A23" s="1400" t="s">
        <v>10</v>
      </c>
      <c r="B23" s="84" t="s">
        <v>205</v>
      </c>
      <c r="C23" s="648" t="s">
        <v>44</v>
      </c>
      <c r="D23" s="649">
        <v>2.35</v>
      </c>
      <c r="E23" s="85">
        <v>800</v>
      </c>
      <c r="F23" s="85"/>
      <c r="G23" s="1401"/>
      <c r="H23" s="1401"/>
      <c r="I23" s="1401"/>
      <c r="J23" s="650"/>
      <c r="K23" s="1402"/>
      <c r="L23" s="1403"/>
      <c r="M23" s="1404"/>
      <c r="N23" s="647" t="e">
        <f t="shared" ref="N23:N28" si="0">J23/(G23+J23)</f>
        <v>#DIV/0!</v>
      </c>
      <c r="O23" s="1348"/>
      <c r="P23" s="1349"/>
      <c r="Q23" s="1349"/>
      <c r="R23" s="1350"/>
      <c r="S23" s="1414"/>
    </row>
    <row r="24" spans="1:19" ht="20.100000000000001" hidden="1" customHeight="1">
      <c r="A24" s="1400"/>
      <c r="B24" s="84" t="s">
        <v>0</v>
      </c>
      <c r="C24" s="648" t="s">
        <v>44</v>
      </c>
      <c r="D24" s="649">
        <v>1.85</v>
      </c>
      <c r="E24" s="85">
        <v>800</v>
      </c>
      <c r="F24" s="85"/>
      <c r="G24" s="1401"/>
      <c r="H24" s="1401"/>
      <c r="I24" s="1401"/>
      <c r="J24" s="650"/>
      <c r="K24" s="1405"/>
      <c r="L24" s="1406"/>
      <c r="M24" s="1407"/>
      <c r="N24" s="647" t="e">
        <f t="shared" si="0"/>
        <v>#DIV/0!</v>
      </c>
      <c r="O24" s="1411"/>
      <c r="P24" s="1412"/>
      <c r="Q24" s="1412"/>
      <c r="R24" s="1413"/>
      <c r="S24" s="1415"/>
    </row>
    <row r="25" spans="1:19" ht="20.100000000000001" hidden="1" customHeight="1">
      <c r="A25" s="1400"/>
      <c r="B25" s="84" t="s">
        <v>205</v>
      </c>
      <c r="C25" s="648" t="s">
        <v>44</v>
      </c>
      <c r="D25" s="649"/>
      <c r="E25" s="85"/>
      <c r="F25" s="85"/>
      <c r="G25" s="1401"/>
      <c r="H25" s="1401"/>
      <c r="I25" s="1401"/>
      <c r="J25" s="650"/>
      <c r="K25" s="1408"/>
      <c r="L25" s="1409"/>
      <c r="M25" s="1410"/>
      <c r="N25" s="647" t="e">
        <f t="shared" si="0"/>
        <v>#DIV/0!</v>
      </c>
      <c r="O25" s="1367"/>
      <c r="P25" s="1368"/>
      <c r="Q25" s="1368"/>
      <c r="R25" s="1369"/>
      <c r="S25" s="1416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2.35</v>
      </c>
      <c r="E26" s="880">
        <v>800</v>
      </c>
      <c r="F26" s="880"/>
      <c r="G26" s="1358"/>
      <c r="H26" s="1358"/>
      <c r="I26" s="1358"/>
      <c r="J26" s="423"/>
      <c r="K26" s="1402"/>
      <c r="L26" s="1403"/>
      <c r="M26" s="1404"/>
      <c r="N26" s="647" t="e">
        <f t="shared" si="0"/>
        <v>#DIV/0!</v>
      </c>
      <c r="O26" s="1348"/>
      <c r="P26" s="1349"/>
      <c r="Q26" s="1349"/>
      <c r="R26" s="1350"/>
      <c r="S26" s="1375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1.75</v>
      </c>
      <c r="E27" s="880">
        <v>715</v>
      </c>
      <c r="F27" s="880"/>
      <c r="G27" s="1358"/>
      <c r="H27" s="1358"/>
      <c r="I27" s="1358"/>
      <c r="J27" s="423"/>
      <c r="K27" s="1405"/>
      <c r="L27" s="1406"/>
      <c r="M27" s="1407"/>
      <c r="N27" s="647" t="e">
        <f t="shared" si="0"/>
        <v>#DIV/0!</v>
      </c>
      <c r="O27" s="1411"/>
      <c r="P27" s="1412"/>
      <c r="Q27" s="1412"/>
      <c r="R27" s="1413"/>
      <c r="S27" s="137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1.6</v>
      </c>
      <c r="E28" s="880">
        <v>715</v>
      </c>
      <c r="F28" s="880"/>
      <c r="G28" s="1358"/>
      <c r="H28" s="1358"/>
      <c r="I28" s="1358"/>
      <c r="J28" s="423"/>
      <c r="K28" s="1408"/>
      <c r="L28" s="1409"/>
      <c r="M28" s="1410"/>
      <c r="N28" s="647" t="e">
        <f t="shared" si="0"/>
        <v>#DIV/0!</v>
      </c>
      <c r="O28" s="1367"/>
      <c r="P28" s="1368"/>
      <c r="Q28" s="1368"/>
      <c r="R28" s="1369"/>
      <c r="S28" s="1377"/>
    </row>
    <row r="29" spans="1:19" s="76" customFormat="1" ht="31.7" customHeight="1">
      <c r="A29" s="56" t="s">
        <v>212</v>
      </c>
      <c r="B29" s="388" t="s">
        <v>193</v>
      </c>
      <c r="C29" s="1378" t="s">
        <v>11</v>
      </c>
      <c r="D29" s="1379"/>
      <c r="E29" s="1380"/>
      <c r="F29" s="409" t="s">
        <v>12</v>
      </c>
      <c r="G29" s="409" t="s">
        <v>13</v>
      </c>
      <c r="H29" s="410" t="s">
        <v>215</v>
      </c>
      <c r="I29" s="411" t="s">
        <v>14</v>
      </c>
      <c r="J29" s="412" t="s">
        <v>15</v>
      </c>
      <c r="K29" s="651" t="s">
        <v>16</v>
      </c>
      <c r="L29" s="652" t="s">
        <v>60</v>
      </c>
      <c r="M29" s="653" t="s">
        <v>17</v>
      </c>
      <c r="N29" s="652" t="s">
        <v>18</v>
      </c>
      <c r="O29" s="1381" t="s">
        <v>29</v>
      </c>
      <c r="P29" s="1381"/>
      <c r="Q29" s="1381"/>
      <c r="R29" s="1381"/>
      <c r="S29" s="383" t="s">
        <v>4</v>
      </c>
    </row>
    <row r="30" spans="1:19" s="132" customFormat="1" ht="16.5" hidden="1" customHeight="1">
      <c r="A30" s="1126" t="s">
        <v>19</v>
      </c>
      <c r="B30" s="134" t="s">
        <v>0</v>
      </c>
      <c r="C30" s="1382"/>
      <c r="D30" s="1383"/>
      <c r="E30" s="1384"/>
      <c r="F30" s="380"/>
      <c r="G30" s="246">
        <f>SUM(G9:G28)</f>
        <v>47889</v>
      </c>
      <c r="H30" s="95"/>
      <c r="I30" s="844" t="e">
        <f>SUM(#REF!)</f>
        <v>#REF!</v>
      </c>
      <c r="J30" s="390"/>
      <c r="K30" s="390"/>
      <c r="L30" s="389"/>
      <c r="M30" s="1385"/>
      <c r="N30" s="654"/>
      <c r="O30" s="1388"/>
      <c r="P30" s="1389"/>
      <c r="Q30" s="1389"/>
      <c r="R30" s="1390"/>
      <c r="S30" s="1397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6"/>
      <c r="N31" s="654"/>
      <c r="O31" s="1391"/>
      <c r="P31" s="1392"/>
      <c r="Q31" s="1392"/>
      <c r="R31" s="1393"/>
      <c r="S31" s="1398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7"/>
      <c r="N32" s="654"/>
      <c r="O32" s="1394"/>
      <c r="P32" s="1395"/>
      <c r="Q32" s="1395"/>
      <c r="R32" s="1396"/>
      <c r="S32" s="1399"/>
    </row>
    <row r="33" spans="1:19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5"/>
      <c r="N33" s="654"/>
      <c r="O33" s="1388"/>
      <c r="P33" s="1389"/>
      <c r="Q33" s="1389"/>
      <c r="R33" s="1390"/>
      <c r="S33" s="1420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7"/>
      <c r="N36" s="654"/>
      <c r="O36" s="1394"/>
      <c r="P36" s="1395"/>
      <c r="Q36" s="1395"/>
      <c r="R36" s="1396"/>
      <c r="S36" s="1422"/>
    </row>
    <row r="37" spans="1:19" ht="18" hidden="1" customHeight="1">
      <c r="A37" s="1426" t="s">
        <v>61</v>
      </c>
      <c r="B37" s="84" t="s">
        <v>205</v>
      </c>
      <c r="C37" s="1382"/>
      <c r="D37" s="1383"/>
      <c r="E37" s="1384"/>
      <c r="F37" s="380"/>
      <c r="G37" s="245"/>
      <c r="H37" s="85"/>
      <c r="I37" s="85"/>
      <c r="J37" s="656"/>
      <c r="K37" s="392"/>
      <c r="L37" s="251"/>
      <c r="M37" s="1385"/>
      <c r="N37" s="428"/>
      <c r="O37" s="1388"/>
      <c r="P37" s="1389"/>
      <c r="Q37" s="1389"/>
      <c r="R37" s="1390"/>
      <c r="S37" s="1423"/>
    </row>
    <row r="38" spans="1:19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6"/>
      <c r="N38" s="654"/>
      <c r="O38" s="1391"/>
      <c r="P38" s="1392"/>
      <c r="Q38" s="1392"/>
      <c r="R38" s="1393"/>
      <c r="S38" s="1424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7"/>
      <c r="N39" s="654"/>
      <c r="O39" s="1394"/>
      <c r="P39" s="1395"/>
      <c r="Q39" s="1395"/>
      <c r="R39" s="1396"/>
      <c r="S39" s="1425"/>
    </row>
    <row r="40" spans="1:19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5"/>
      <c r="N40" s="654"/>
      <c r="O40" s="1388"/>
      <c r="P40" s="1389"/>
      <c r="Q40" s="1389"/>
      <c r="R40" s="1390"/>
      <c r="S40" s="1420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6"/>
      <c r="N41" s="654"/>
      <c r="O41" s="1391"/>
      <c r="P41" s="1392"/>
      <c r="Q41" s="1392"/>
      <c r="R41" s="1393"/>
      <c r="S41" s="1421"/>
    </row>
    <row r="42" spans="1:19" ht="18" hidden="1" customHeight="1">
      <c r="A42" s="1426"/>
      <c r="B42" s="381" t="s">
        <v>207</v>
      </c>
      <c r="C42" s="1417"/>
      <c r="D42" s="1418"/>
      <c r="E42" s="1419"/>
      <c r="F42" s="657"/>
      <c r="G42" s="243"/>
      <c r="H42" s="114"/>
      <c r="I42" s="114"/>
      <c r="J42" s="655"/>
      <c r="K42" s="391"/>
      <c r="L42" s="240"/>
      <c r="M42" s="1387"/>
      <c r="N42" s="428"/>
      <c r="O42" s="1394"/>
      <c r="P42" s="1395"/>
      <c r="Q42" s="1395"/>
      <c r="R42" s="1396"/>
      <c r="S42" s="1422"/>
    </row>
    <row r="43" spans="1:19" ht="18" hidden="1" customHeight="1">
      <c r="A43" s="1260" t="s">
        <v>20</v>
      </c>
      <c r="B43" s="84" t="s">
        <v>205</v>
      </c>
      <c r="C43" s="1382"/>
      <c r="D43" s="1383"/>
      <c r="E43" s="1384"/>
      <c r="F43" s="380"/>
      <c r="G43" s="245"/>
      <c r="H43" s="85"/>
      <c r="I43" s="85"/>
      <c r="J43" s="656"/>
      <c r="K43" s="393"/>
      <c r="L43" s="251"/>
      <c r="M43" s="1385"/>
      <c r="N43" s="428"/>
      <c r="O43" s="1388"/>
      <c r="P43" s="1389"/>
      <c r="Q43" s="1389"/>
      <c r="R43" s="1390"/>
      <c r="S43" s="1423"/>
    </row>
    <row r="44" spans="1:19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6"/>
      <c r="N44" s="654"/>
      <c r="O44" s="1391"/>
      <c r="P44" s="1392"/>
      <c r="Q44" s="1392"/>
      <c r="R44" s="1393"/>
      <c r="S44" s="1424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7"/>
      <c r="N45" s="654"/>
      <c r="O45" s="1394"/>
      <c r="P45" s="1395"/>
      <c r="Q45" s="1395"/>
      <c r="R45" s="1396"/>
      <c r="S45" s="1425"/>
    </row>
    <row r="46" spans="1:19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5"/>
      <c r="N46" s="654"/>
      <c r="O46" s="1388"/>
      <c r="P46" s="1389"/>
      <c r="Q46" s="1389"/>
      <c r="R46" s="1390"/>
      <c r="S46" s="1420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6"/>
      <c r="N47" s="654"/>
      <c r="O47" s="1391"/>
      <c r="P47" s="1392"/>
      <c r="Q47" s="1392"/>
      <c r="R47" s="1393"/>
      <c r="S47" s="1421"/>
    </row>
    <row r="48" spans="1:19" ht="15.75" hidden="1" customHeight="1">
      <c r="A48" s="1260"/>
      <c r="B48" s="381" t="s">
        <v>207</v>
      </c>
      <c r="C48" s="1417"/>
      <c r="D48" s="1418"/>
      <c r="E48" s="1419"/>
      <c r="F48" s="657"/>
      <c r="G48" s="243"/>
      <c r="H48" s="114"/>
      <c r="I48" s="114"/>
      <c r="J48" s="655"/>
      <c r="K48" s="391"/>
      <c r="L48" s="240"/>
      <c r="M48" s="1387"/>
      <c r="N48" s="428"/>
      <c r="O48" s="1394"/>
      <c r="P48" s="1395"/>
      <c r="Q48" s="1395"/>
      <c r="R48" s="1396"/>
      <c r="S48" s="1422"/>
    </row>
    <row r="49" spans="1:24" ht="17.25" customHeight="1">
      <c r="A49" s="1126" t="s">
        <v>21</v>
      </c>
      <c r="B49" s="84" t="s">
        <v>0</v>
      </c>
      <c r="C49" s="1427" t="s">
        <v>633</v>
      </c>
      <c r="D49" s="1427"/>
      <c r="E49" s="1427"/>
      <c r="F49" s="827"/>
      <c r="G49" s="828"/>
      <c r="H49" s="815"/>
      <c r="I49" s="827"/>
      <c r="J49" s="828"/>
      <c r="K49" s="828"/>
      <c r="L49" s="828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27"/>
      <c r="B50" s="881" t="s">
        <v>43</v>
      </c>
      <c r="C50" s="1360" t="e">
        <f>#REF!</f>
        <v>#REF!</v>
      </c>
      <c r="D50" s="1360"/>
      <c r="E50" s="1360"/>
      <c r="F50" s="418" t="s">
        <v>772</v>
      </c>
      <c r="G50" s="660" t="e">
        <f>#REF!</f>
        <v>#REF!</v>
      </c>
      <c r="H50" s="880"/>
      <c r="I50" s="418">
        <v>5</v>
      </c>
      <c r="J50" s="660" t="e">
        <f>#REF!</f>
        <v>#REF!</v>
      </c>
      <c r="K50" s="660" t="e">
        <f>#REF!</f>
        <v>#REF!</v>
      </c>
      <c r="L50" s="660" t="e">
        <f>#REF!</f>
        <v>#REF!</v>
      </c>
      <c r="M50" s="661" t="e">
        <f>#REF!</f>
        <v>#REF!</v>
      </c>
      <c r="N50" s="662" t="e">
        <f>#REF!</f>
        <v>#REF!</v>
      </c>
      <c r="O50" s="1361" t="e">
        <f>#REF!</f>
        <v>#REF!</v>
      </c>
      <c r="P50" s="1361"/>
      <c r="Q50" s="1361"/>
      <c r="R50" s="1361"/>
      <c r="S50" s="822" t="e">
        <f>#REF!</f>
        <v>#REF!</v>
      </c>
      <c r="V50" s="1382" t="s">
        <v>633</v>
      </c>
      <c r="W50" s="1383"/>
      <c r="X50" s="1384"/>
    </row>
    <row r="51" spans="1:24" ht="68.25" customHeight="1">
      <c r="A51" s="1126" t="s">
        <v>22</v>
      </c>
      <c r="B51" s="84" t="s">
        <v>0</v>
      </c>
      <c r="C51" s="1427" t="e">
        <f>#REF!</f>
        <v>#REF!</v>
      </c>
      <c r="D51" s="1427"/>
      <c r="E51" s="1427"/>
      <c r="F51" s="827" t="s">
        <v>824</v>
      </c>
      <c r="G51" s="852" t="e">
        <f>#REF!</f>
        <v>#REF!</v>
      </c>
      <c r="H51" s="815"/>
      <c r="I51" s="827">
        <v>2</v>
      </c>
      <c r="J51" s="852" t="e">
        <f>#REF!</f>
        <v>#REF!</v>
      </c>
      <c r="K51" s="885" t="e">
        <f>#REF!</f>
        <v>#REF!</v>
      </c>
      <c r="L51" s="885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17.25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773</v>
      </c>
      <c r="G52" s="840" t="e">
        <f>#REF!</f>
        <v>#REF!</v>
      </c>
      <c r="H52" s="880"/>
      <c r="I52" s="418">
        <v>3</v>
      </c>
      <c r="J52" s="840" t="e">
        <f>#REF!</f>
        <v>#REF!</v>
      </c>
      <c r="K52" s="890" t="e">
        <f>#REF!</f>
        <v>#REF!</v>
      </c>
      <c r="L52" s="890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36" customHeight="1">
      <c r="A53" s="1428" t="s">
        <v>23</v>
      </c>
      <c r="B53" s="84" t="s">
        <v>0</v>
      </c>
      <c r="C53" s="1427" t="e">
        <f>#REF!</f>
        <v>#REF!</v>
      </c>
      <c r="D53" s="1427"/>
      <c r="E53" s="1427"/>
      <c r="F53" s="827" t="s">
        <v>724</v>
      </c>
      <c r="G53" s="828" t="e">
        <f>#REF!</f>
        <v>#REF!</v>
      </c>
      <c r="H53" s="815"/>
      <c r="I53" s="827">
        <v>3</v>
      </c>
      <c r="J53" s="828" t="e">
        <f>#REF!</f>
        <v>#REF!</v>
      </c>
      <c r="K53" s="828" t="e">
        <f>#REF!</f>
        <v>#REF!</v>
      </c>
      <c r="L53" s="828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429"/>
      <c r="B54" s="381" t="s">
        <v>43</v>
      </c>
      <c r="C54" s="1360" t="e">
        <f>#REF!</f>
        <v>#REF!</v>
      </c>
      <c r="D54" s="1360"/>
      <c r="E54" s="1360"/>
      <c r="F54" s="418" t="s">
        <v>724</v>
      </c>
      <c r="G54" s="660" t="e">
        <f>#REF!</f>
        <v>#REF!</v>
      </c>
      <c r="H54" s="880"/>
      <c r="I54" s="418">
        <v>3</v>
      </c>
      <c r="J54" s="660" t="e">
        <f>#REF!</f>
        <v>#REF!</v>
      </c>
      <c r="K54" s="660" t="e">
        <f>#REF!</f>
        <v>#REF!</v>
      </c>
      <c r="L54" s="660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17.25" customHeight="1">
      <c r="A55" s="1126" t="s">
        <v>24</v>
      </c>
      <c r="B55" s="84" t="s">
        <v>0</v>
      </c>
      <c r="C55" s="1427" t="s">
        <v>633</v>
      </c>
      <c r="D55" s="1427"/>
      <c r="E55" s="1427"/>
      <c r="F55" s="827"/>
      <c r="G55" s="828"/>
      <c r="H55" s="815"/>
      <c r="I55" s="827"/>
      <c r="J55" s="828"/>
      <c r="K55" s="828"/>
      <c r="L55" s="828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7"/>
      <c r="B56" s="381" t="s">
        <v>43</v>
      </c>
      <c r="C56" s="1360" t="s">
        <v>633</v>
      </c>
      <c r="D56" s="1360"/>
      <c r="E56" s="1360"/>
      <c r="F56" s="418"/>
      <c r="G56" s="660"/>
      <c r="H56" s="880"/>
      <c r="I56" s="418"/>
      <c r="J56" s="660"/>
      <c r="K56" s="660"/>
      <c r="L56" s="660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260" t="s">
        <v>634</v>
      </c>
      <c r="B57" s="84" t="s">
        <v>0</v>
      </c>
      <c r="C57" s="1427" t="s">
        <v>633</v>
      </c>
      <c r="D57" s="1427"/>
      <c r="E57" s="1427"/>
      <c r="F57" s="827"/>
      <c r="G57" s="828"/>
      <c r="H57" s="815"/>
      <c r="I57" s="827"/>
      <c r="J57" s="828"/>
      <c r="K57" s="828"/>
      <c r="L57" s="828"/>
      <c r="M57" s="816"/>
      <c r="N57" s="817"/>
      <c r="O57" s="1430"/>
      <c r="P57" s="1431"/>
      <c r="Q57" s="1431"/>
      <c r="R57" s="1432"/>
      <c r="S57" s="822"/>
    </row>
    <row r="58" spans="1:24" ht="17.25" customHeight="1">
      <c r="A58" s="1260"/>
      <c r="B58" s="381" t="s">
        <v>43</v>
      </c>
      <c r="C58" s="1360" t="s">
        <v>633</v>
      </c>
      <c r="D58" s="1360"/>
      <c r="E58" s="1360"/>
      <c r="F58" s="418"/>
      <c r="G58" s="660"/>
      <c r="H58" s="880"/>
      <c r="I58" s="418"/>
      <c r="J58" s="660"/>
      <c r="K58" s="660"/>
      <c r="L58" s="660"/>
      <c r="M58" s="816"/>
      <c r="N58" s="817"/>
      <c r="O58" s="1430"/>
      <c r="P58" s="1431"/>
      <c r="Q58" s="1431"/>
      <c r="R58" s="1432"/>
      <c r="S58" s="822"/>
    </row>
    <row r="59" spans="1:24" ht="36" customHeight="1">
      <c r="A59" s="1126" t="s">
        <v>416</v>
      </c>
      <c r="B59" s="84" t="s">
        <v>0</v>
      </c>
      <c r="C59" s="1427" t="e">
        <f>#REF!</f>
        <v>#REF!</v>
      </c>
      <c r="D59" s="1427"/>
      <c r="E59" s="1427"/>
      <c r="F59" s="827" t="s">
        <v>776</v>
      </c>
      <c r="G59" s="828" t="e">
        <f>#REF!</f>
        <v>#REF!</v>
      </c>
      <c r="H59" s="815"/>
      <c r="I59" s="827">
        <v>4</v>
      </c>
      <c r="J59" s="828" t="e">
        <f>#REF!</f>
        <v>#REF!</v>
      </c>
      <c r="K59" s="828" t="e">
        <f>#REF!</f>
        <v>#REF!</v>
      </c>
      <c r="L59" s="828" t="e">
        <f>#REF!</f>
        <v>#REF!</v>
      </c>
      <c r="M59" s="816" t="e">
        <f>#REF!</f>
        <v>#REF!</v>
      </c>
      <c r="N59" s="818" t="e">
        <f>#REF!</f>
        <v>#REF!</v>
      </c>
      <c r="O59" s="1333" t="e">
        <f>#REF!</f>
        <v>#REF!</v>
      </c>
      <c r="P59" s="1334"/>
      <c r="Q59" s="1334"/>
      <c r="R59" s="1335"/>
      <c r="S59" s="855" t="e">
        <f>#REF!</f>
        <v>#REF!</v>
      </c>
    </row>
    <row r="60" spans="1:24" ht="51.75" customHeight="1">
      <c r="A60" s="1127"/>
      <c r="B60" s="381" t="s">
        <v>43</v>
      </c>
      <c r="C60" s="1360" t="e">
        <f>#REF!</f>
        <v>#REF!</v>
      </c>
      <c r="D60" s="1360"/>
      <c r="E60" s="1360"/>
      <c r="F60" s="418" t="s">
        <v>825</v>
      </c>
      <c r="G60" s="660" t="e">
        <f>#REF!</f>
        <v>#REF!</v>
      </c>
      <c r="H60" s="880"/>
      <c r="I60" s="418">
        <v>3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8" t="e">
        <f>#REF!</f>
        <v>#REF!</v>
      </c>
      <c r="O60" s="1333" t="e">
        <f>#REF!</f>
        <v>#REF!</v>
      </c>
      <c r="P60" s="1334"/>
      <c r="Q60" s="1334"/>
      <c r="R60" s="1335"/>
      <c r="S60" s="855" t="e">
        <f>#REF!</f>
        <v>#REF!</v>
      </c>
    </row>
    <row r="61" spans="1:24" ht="17.25" customHeight="1">
      <c r="A61" s="1126" t="s">
        <v>635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27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7"/>
      <c r="O62" s="1436"/>
      <c r="P62" s="1436"/>
      <c r="Q62" s="1436"/>
      <c r="R62" s="1436"/>
      <c r="S62" s="848"/>
    </row>
    <row r="63" spans="1:24" ht="51.75" customHeight="1">
      <c r="A63" s="1126" t="s">
        <v>636</v>
      </c>
      <c r="B63" s="84" t="s">
        <v>0</v>
      </c>
      <c r="C63" s="1427" t="e">
        <f>#REF!</f>
        <v>#REF!</v>
      </c>
      <c r="D63" s="1427"/>
      <c r="E63" s="1427"/>
      <c r="F63" s="827" t="s">
        <v>694</v>
      </c>
      <c r="G63" s="828" t="e">
        <f>#REF!</f>
        <v>#REF!</v>
      </c>
      <c r="H63" s="815"/>
      <c r="I63" s="827">
        <v>3</v>
      </c>
      <c r="J63" s="828" t="e">
        <f>#REF!</f>
        <v>#REF!</v>
      </c>
      <c r="K63" s="828" t="e">
        <f>#REF!</f>
        <v>#REF!</v>
      </c>
      <c r="L63" s="828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21" t="e">
        <f>#REF!</f>
        <v>#REF!</v>
      </c>
    </row>
    <row r="64" spans="1:24" ht="17.25" customHeight="1">
      <c r="A64" s="1127"/>
      <c r="B64" s="381" t="s">
        <v>43</v>
      </c>
      <c r="C64" s="1360" t="s">
        <v>633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21"/>
    </row>
    <row r="65" spans="1:79" ht="17.25" customHeight="1">
      <c r="A65" s="831"/>
      <c r="B65" s="841"/>
      <c r="C65" s="882"/>
      <c r="D65" s="883"/>
      <c r="E65" s="884"/>
      <c r="F65" s="827"/>
      <c r="G65" s="828"/>
      <c r="H65" s="815"/>
      <c r="I65" s="827"/>
      <c r="J65" s="832" t="s">
        <v>666</v>
      </c>
      <c r="K65" s="836" t="e">
        <f>SUM(K49:K63)</f>
        <v>#REF!</v>
      </c>
      <c r="L65" s="839"/>
      <c r="M65" s="816"/>
      <c r="N65" s="817"/>
      <c r="O65" s="1433"/>
      <c r="P65" s="1434"/>
      <c r="Q65" s="1434"/>
      <c r="R65" s="1435"/>
      <c r="S65" s="811"/>
    </row>
    <row r="66" spans="1:79" ht="17.25" customHeight="1">
      <c r="A66" s="1400" t="s">
        <v>25</v>
      </c>
      <c r="B66" s="84" t="s">
        <v>0</v>
      </c>
      <c r="C66" s="1427" t="s">
        <v>633</v>
      </c>
      <c r="D66" s="1427"/>
      <c r="E66" s="1427"/>
      <c r="F66" s="827"/>
      <c r="G66" s="828"/>
      <c r="H66" s="815"/>
      <c r="I66" s="827"/>
      <c r="J66" s="828"/>
      <c r="K66" s="828"/>
      <c r="L66" s="828"/>
      <c r="M66" s="659"/>
      <c r="N66" s="415"/>
      <c r="O66" s="1437"/>
      <c r="P66" s="1438"/>
      <c r="Q66" s="1438"/>
      <c r="R66" s="1439"/>
      <c r="S66" s="876"/>
    </row>
    <row r="67" spans="1:79" ht="34.5" customHeight="1">
      <c r="A67" s="1400"/>
      <c r="B67" s="381" t="s">
        <v>43</v>
      </c>
      <c r="C67" s="1360" t="e">
        <f>#REF!</f>
        <v>#REF!</v>
      </c>
      <c r="D67" s="1360"/>
      <c r="E67" s="1360"/>
      <c r="F67" s="418" t="s">
        <v>729</v>
      </c>
      <c r="G67" s="660" t="e">
        <f>#REF!</f>
        <v>#REF!</v>
      </c>
      <c r="H67" s="880"/>
      <c r="I67" s="418">
        <v>3</v>
      </c>
      <c r="J67" s="660" t="e">
        <f>#REF!</f>
        <v>#REF!</v>
      </c>
      <c r="K67" s="660" t="e">
        <f>#REF!</f>
        <v>#REF!</v>
      </c>
      <c r="L67" s="660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76" t="e">
        <f>#REF!</f>
        <v>#REF!</v>
      </c>
    </row>
    <row r="68" spans="1:79" ht="17.25" customHeight="1">
      <c r="A68" s="1260" t="s">
        <v>62</v>
      </c>
      <c r="B68" s="84" t="s">
        <v>0</v>
      </c>
      <c r="C68" s="1427" t="s">
        <v>633</v>
      </c>
      <c r="D68" s="1427"/>
      <c r="E68" s="1427"/>
      <c r="F68" s="827"/>
      <c r="G68" s="828"/>
      <c r="H68" s="815"/>
      <c r="I68" s="827"/>
      <c r="J68" s="828"/>
      <c r="K68" s="828"/>
      <c r="L68" s="828"/>
      <c r="M68" s="659"/>
      <c r="N68" s="415"/>
      <c r="O68" s="1437"/>
      <c r="P68" s="1438"/>
      <c r="Q68" s="1438"/>
      <c r="R68" s="1439"/>
      <c r="S68" s="861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260"/>
      <c r="B69" s="381" t="s">
        <v>43</v>
      </c>
      <c r="C69" s="1360" t="s">
        <v>633</v>
      </c>
      <c r="D69" s="1360"/>
      <c r="E69" s="1360"/>
      <c r="F69" s="418"/>
      <c r="G69" s="660"/>
      <c r="H69" s="880"/>
      <c r="I69" s="418"/>
      <c r="J69" s="660"/>
      <c r="K69" s="660"/>
      <c r="L69" s="660"/>
      <c r="M69" s="659"/>
      <c r="N69" s="415"/>
      <c r="O69" s="1437"/>
      <c r="P69" s="1438"/>
      <c r="Q69" s="1438"/>
      <c r="R69" s="1439"/>
      <c r="S69" s="861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35.25" customHeight="1">
      <c r="A70" s="1126" t="s">
        <v>640</v>
      </c>
      <c r="B70" s="84" t="s">
        <v>0</v>
      </c>
      <c r="C70" s="1427" t="e">
        <f>#REF!</f>
        <v>#REF!</v>
      </c>
      <c r="D70" s="1427"/>
      <c r="E70" s="1427"/>
      <c r="F70" s="827" t="s">
        <v>826</v>
      </c>
      <c r="G70" s="828" t="e">
        <f>#REF!</f>
        <v>#REF!</v>
      </c>
      <c r="H70" s="815"/>
      <c r="I70" s="827">
        <v>3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17.25" customHeight="1">
      <c r="A71" s="1127"/>
      <c r="B71" s="881" t="s">
        <v>43</v>
      </c>
      <c r="C71" s="1360" t="e">
        <f>#REF!</f>
        <v>#REF!</v>
      </c>
      <c r="D71" s="1360"/>
      <c r="E71" s="1360"/>
      <c r="F71" s="418" t="s">
        <v>827</v>
      </c>
      <c r="G71" s="660" t="e">
        <f>#REF!</f>
        <v>#REF!</v>
      </c>
      <c r="H71" s="880"/>
      <c r="I71" s="418">
        <v>2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17.25" customHeight="1">
      <c r="A72" s="1440" t="s">
        <v>26</v>
      </c>
      <c r="B72" s="84" t="s">
        <v>0</v>
      </c>
      <c r="C72" s="1382" t="e">
        <f>#REF!</f>
        <v>#REF!</v>
      </c>
      <c r="D72" s="1383"/>
      <c r="E72" s="1384"/>
      <c r="F72" s="827" t="s">
        <v>732</v>
      </c>
      <c r="G72" s="828" t="e">
        <f>#REF!</f>
        <v>#REF!</v>
      </c>
      <c r="H72" s="815"/>
      <c r="I72" s="827">
        <v>2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547"/>
      <c r="B73" s="881" t="s">
        <v>43</v>
      </c>
      <c r="C73" s="1417" t="e">
        <f>#REF!</f>
        <v>#REF!</v>
      </c>
      <c r="D73" s="1418"/>
      <c r="E73" s="1419"/>
      <c r="F73" s="418" t="s">
        <v>732</v>
      </c>
      <c r="G73" s="660" t="e">
        <f>#REF!</f>
        <v>#REF!</v>
      </c>
      <c r="H73" s="880"/>
      <c r="I73" s="418">
        <v>3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e">
        <f>#REF!</f>
        <v>#REF!</v>
      </c>
      <c r="D74" s="1427"/>
      <c r="E74" s="1427"/>
      <c r="F74" s="827" t="s">
        <v>734</v>
      </c>
      <c r="G74" s="828" t="e">
        <f>#REF!</f>
        <v>#REF!</v>
      </c>
      <c r="H74" s="815"/>
      <c r="I74" s="827">
        <v>5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52.5" customHeight="1">
      <c r="A75" s="1547"/>
      <c r="B75" s="881" t="s">
        <v>43</v>
      </c>
      <c r="C75" s="1360" t="e">
        <f>#REF!</f>
        <v>#REF!</v>
      </c>
      <c r="D75" s="1360"/>
      <c r="E75" s="1360"/>
      <c r="F75" s="418" t="s">
        <v>734</v>
      </c>
      <c r="G75" s="660" t="e">
        <f>#REF!</f>
        <v>#REF!</v>
      </c>
      <c r="H75" s="880"/>
      <c r="I75" s="418">
        <v>2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1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e">
        <f>#REF!</f>
        <v>#REF!</v>
      </c>
      <c r="D78" s="1427"/>
      <c r="E78" s="1427"/>
      <c r="F78" s="827" t="s">
        <v>779</v>
      </c>
      <c r="G78" s="828" t="e">
        <f>#REF!</f>
        <v>#REF!</v>
      </c>
      <c r="H78" s="815"/>
      <c r="I78" s="827"/>
      <c r="J78" s="828" t="e">
        <f>#REF!</f>
        <v>#REF!</v>
      </c>
      <c r="K78" s="828" t="e">
        <f>#REF!</f>
        <v>#REF!</v>
      </c>
      <c r="L78" s="828" t="e">
        <f>#REF!</f>
        <v>#REF!</v>
      </c>
      <c r="M78" s="816" t="e">
        <f>#REF!</f>
        <v>#REF!</v>
      </c>
      <c r="N78" s="415" t="e">
        <f>#REF!</f>
        <v>#REF!</v>
      </c>
      <c r="O78" s="1437" t="e">
        <f>#REF!</f>
        <v>#REF!</v>
      </c>
      <c r="P78" s="1438"/>
      <c r="Q78" s="1438"/>
      <c r="R78" s="1439"/>
      <c r="S78" s="823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89"/>
      <c r="B79" s="881" t="s">
        <v>43</v>
      </c>
      <c r="C79" s="1360" t="e">
        <f>#REF!</f>
        <v>#REF!</v>
      </c>
      <c r="D79" s="1360"/>
      <c r="E79" s="1360"/>
      <c r="F79" s="418" t="s">
        <v>779</v>
      </c>
      <c r="G79" s="660" t="e">
        <f>#REF!</f>
        <v>#REF!</v>
      </c>
      <c r="H79" s="880"/>
      <c r="I79" s="418"/>
      <c r="J79" s="660" t="e">
        <f>#REF!</f>
        <v>#REF!</v>
      </c>
      <c r="K79" s="660" t="e">
        <f>#REF!</f>
        <v>#REF!</v>
      </c>
      <c r="L79" s="660" t="e">
        <f>#REF!</f>
        <v>#REF!</v>
      </c>
      <c r="M79" s="816" t="e">
        <f>#REF!</f>
        <v>#REF!</v>
      </c>
      <c r="N79" s="415" t="e">
        <f>#REF!</f>
        <v>#REF!</v>
      </c>
      <c r="O79" s="1437" t="e">
        <f>#REF!</f>
        <v>#REF!</v>
      </c>
      <c r="P79" s="1438"/>
      <c r="Q79" s="1438"/>
      <c r="R79" s="1439"/>
      <c r="S79" s="823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57.75" customHeight="1">
      <c r="A80" s="1260" t="s">
        <v>643</v>
      </c>
      <c r="B80" s="84" t="s">
        <v>0</v>
      </c>
      <c r="C80" s="1427" t="e">
        <f>#REF!</f>
        <v>#REF!</v>
      </c>
      <c r="D80" s="1427"/>
      <c r="E80" s="1427"/>
      <c r="F80" s="827" t="s">
        <v>735</v>
      </c>
      <c r="G80" s="828" t="e">
        <f>#REF!</f>
        <v>#REF!</v>
      </c>
      <c r="H80" s="815"/>
      <c r="I80" s="827">
        <v>10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659" t="e">
        <f>#REF!</f>
        <v>#REF!</v>
      </c>
      <c r="N80" s="415" t="e">
        <f>#REF!</f>
        <v>#REF!</v>
      </c>
      <c r="O80" s="1437"/>
      <c r="P80" s="1438"/>
      <c r="Q80" s="1438"/>
      <c r="R80" s="1439"/>
      <c r="S80" s="848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260"/>
      <c r="B81" s="881" t="s">
        <v>43</v>
      </c>
      <c r="C81" s="1360" t="e">
        <f>#REF!</f>
        <v>#REF!</v>
      </c>
      <c r="D81" s="1360"/>
      <c r="E81" s="1360"/>
      <c r="F81" s="418" t="s">
        <v>735</v>
      </c>
      <c r="G81" s="660" t="e">
        <f>#REF!</f>
        <v>#REF!</v>
      </c>
      <c r="H81" s="880"/>
      <c r="I81" s="418">
        <v>11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659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48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 t="s">
        <v>651</v>
      </c>
      <c r="B82" s="84" t="s">
        <v>0</v>
      </c>
      <c r="C82" s="1427" t="s">
        <v>633</v>
      </c>
      <c r="D82" s="1427"/>
      <c r="E82" s="1427"/>
      <c r="F82" s="827"/>
      <c r="G82" s="828"/>
      <c r="H82" s="815"/>
      <c r="I82" s="827"/>
      <c r="J82" s="828"/>
      <c r="K82" s="828"/>
      <c r="L82" s="828"/>
      <c r="M82" s="659"/>
      <c r="N82" s="415"/>
      <c r="O82" s="1437"/>
      <c r="P82" s="1438"/>
      <c r="Q82" s="1438"/>
      <c r="R82" s="1439"/>
      <c r="S82" s="82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/>
      <c r="B83" s="881" t="s">
        <v>43</v>
      </c>
      <c r="C83" s="1360" t="e">
        <f>#REF!</f>
        <v>#REF!</v>
      </c>
      <c r="D83" s="1360"/>
      <c r="E83" s="1360"/>
      <c r="F83" s="418" t="s">
        <v>828</v>
      </c>
      <c r="G83" s="660" t="e">
        <f>#REF!</f>
        <v>#REF!</v>
      </c>
      <c r="H83" s="880"/>
      <c r="I83" s="418">
        <v>2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23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837"/>
      <c r="B84" s="841"/>
      <c r="C84" s="882"/>
      <c r="D84" s="883"/>
      <c r="E84" s="883"/>
      <c r="F84" s="845"/>
      <c r="G84" s="846"/>
      <c r="H84" s="815"/>
      <c r="I84" s="827"/>
      <c r="J84" s="834" t="s">
        <v>666</v>
      </c>
      <c r="K84" s="847" t="e">
        <f>SUM(K66:K83)</f>
        <v>#REF!</v>
      </c>
      <c r="L84" s="829"/>
      <c r="M84" s="659"/>
      <c r="N84" s="415"/>
      <c r="O84" s="1437"/>
      <c r="P84" s="1438"/>
      <c r="Q84" s="1438"/>
      <c r="R84" s="1439"/>
      <c r="S84" s="862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s="76" customFormat="1" ht="39" customHeight="1">
      <c r="A85" s="400" t="s">
        <v>63</v>
      </c>
      <c r="B85" s="400" t="s">
        <v>193</v>
      </c>
      <c r="C85" s="1445" t="s">
        <v>11</v>
      </c>
      <c r="D85" s="1446"/>
      <c r="E85" s="1446"/>
      <c r="F85" s="1446"/>
      <c r="G85" s="1447"/>
      <c r="H85" s="242" t="s">
        <v>216</v>
      </c>
      <c r="I85" s="242" t="s">
        <v>12</v>
      </c>
      <c r="J85" s="242" t="s">
        <v>13</v>
      </c>
      <c r="K85" s="405" t="s">
        <v>218</v>
      </c>
      <c r="L85" s="416" t="s">
        <v>60</v>
      </c>
      <c r="M85" s="257" t="s">
        <v>28</v>
      </c>
      <c r="N85" s="257" t="s">
        <v>45</v>
      </c>
      <c r="O85" s="1448" t="s">
        <v>29</v>
      </c>
      <c r="P85" s="1449"/>
      <c r="Q85" s="1449"/>
      <c r="R85" s="1450"/>
      <c r="S85" s="417" t="s">
        <v>57</v>
      </c>
    </row>
    <row r="86" spans="1:79" ht="18" customHeight="1">
      <c r="A86" s="1199">
        <v>401</v>
      </c>
      <c r="B86" s="84" t="s">
        <v>0</v>
      </c>
      <c r="C86" s="1557">
        <f>印401!I21</f>
        <v>0</v>
      </c>
      <c r="D86" s="1557"/>
      <c r="E86" s="1557"/>
      <c r="F86" s="1557"/>
      <c r="G86" s="1557"/>
      <c r="H86" s="849"/>
      <c r="I86" s="849">
        <f>印401!R21</f>
        <v>0</v>
      </c>
      <c r="J86" s="852">
        <f>印401!S21</f>
        <v>0</v>
      </c>
      <c r="K86" s="872">
        <f>印401!L21</f>
        <v>0</v>
      </c>
      <c r="L86" s="873">
        <f>印401!N21</f>
        <v>0</v>
      </c>
      <c r="M86" s="852">
        <f>印401!P21</f>
        <v>0</v>
      </c>
      <c r="N86" s="853">
        <f>印401!Q21</f>
        <v>0</v>
      </c>
      <c r="O86" s="1451"/>
      <c r="P86" s="1452"/>
      <c r="Q86" s="1452"/>
      <c r="R86" s="1453"/>
      <c r="S86" s="874">
        <f>印401!AB21</f>
        <v>0</v>
      </c>
    </row>
    <row r="87" spans="1:79" ht="18" customHeight="1">
      <c r="A87" s="1165"/>
      <c r="B87" s="881" t="s">
        <v>43</v>
      </c>
      <c r="C87" s="1454" t="s">
        <v>633</v>
      </c>
      <c r="D87" s="1454"/>
      <c r="E87" s="1454"/>
      <c r="F87" s="1454"/>
      <c r="G87" s="1454"/>
      <c r="H87" s="664"/>
      <c r="I87" s="664"/>
      <c r="J87" s="840"/>
      <c r="K87" s="424"/>
      <c r="L87" s="830"/>
      <c r="M87" s="840"/>
      <c r="N87" s="672"/>
      <c r="O87" s="1455"/>
      <c r="P87" s="1456"/>
      <c r="Q87" s="1456"/>
      <c r="R87" s="1457"/>
      <c r="S87" s="810"/>
    </row>
    <row r="88" spans="1:79" ht="18" customHeight="1">
      <c r="A88" s="1461">
        <v>402</v>
      </c>
      <c r="B88" s="84" t="s">
        <v>205</v>
      </c>
      <c r="C88" s="1557" t="e">
        <f>#REF!</f>
        <v>#REF!</v>
      </c>
      <c r="D88" s="1557"/>
      <c r="E88" s="1557"/>
      <c r="F88" s="1557"/>
      <c r="G88" s="1557"/>
      <c r="H88" s="849"/>
      <c r="I88" s="849" t="e">
        <f>#REF!</f>
        <v>#REF!</v>
      </c>
      <c r="J88" s="852" t="e">
        <f>#REF!</f>
        <v>#REF!</v>
      </c>
      <c r="K88" s="872" t="e">
        <f>#REF!</f>
        <v>#REF!</v>
      </c>
      <c r="L88" s="873" t="e">
        <f>#REF!</f>
        <v>#REF!</v>
      </c>
      <c r="M88" s="852" t="e">
        <f>#REF!</f>
        <v>#REF!</v>
      </c>
      <c r="N88" s="853" t="e">
        <f>#REF!</f>
        <v>#REF!</v>
      </c>
      <c r="O88" s="1451"/>
      <c r="P88" s="1452"/>
      <c r="Q88" s="1452"/>
      <c r="R88" s="1453"/>
      <c r="S88" s="874" t="e">
        <f>#REF!</f>
        <v>#REF!</v>
      </c>
    </row>
    <row r="89" spans="1:79" ht="18" customHeight="1">
      <c r="A89" s="1462"/>
      <c r="B89" s="881" t="s">
        <v>43</v>
      </c>
      <c r="C89" s="1454" t="s">
        <v>633</v>
      </c>
      <c r="D89" s="1454"/>
      <c r="E89" s="1454"/>
      <c r="F89" s="1454"/>
      <c r="G89" s="1454"/>
      <c r="H89" s="664"/>
      <c r="I89" s="664"/>
      <c r="J89" s="840"/>
      <c r="K89" s="424"/>
      <c r="L89" s="830"/>
      <c r="M89" s="840"/>
      <c r="N89" s="672"/>
      <c r="O89" s="1455"/>
      <c r="P89" s="1456"/>
      <c r="Q89" s="1456"/>
      <c r="R89" s="1457"/>
      <c r="S89" s="810"/>
    </row>
    <row r="90" spans="1:79" ht="17.25" customHeight="1">
      <c r="A90" s="1466">
        <v>403</v>
      </c>
      <c r="B90" s="244" t="s">
        <v>0</v>
      </c>
      <c r="C90" s="1290" t="e">
        <f>#REF!</f>
        <v>#REF!</v>
      </c>
      <c r="D90" s="1290"/>
      <c r="E90" s="1290"/>
      <c r="F90" s="1290"/>
      <c r="G90" s="1290"/>
      <c r="H90" s="849"/>
      <c r="I90" s="849" t="e">
        <f>#REF!</f>
        <v>#REF!</v>
      </c>
      <c r="J90" s="852" t="e">
        <f>#REF!</f>
        <v>#REF!</v>
      </c>
      <c r="K90" s="872" t="e">
        <f>#REF!</f>
        <v>#REF!</v>
      </c>
      <c r="L90" s="852" t="e">
        <f>#REF!</f>
        <v>#REF!</v>
      </c>
      <c r="M90" s="852" t="e">
        <f>#REF!</f>
        <v>#REF!</v>
      </c>
      <c r="N90" s="853" t="e">
        <f>#REF!</f>
        <v>#REF!</v>
      </c>
      <c r="O90" s="1451"/>
      <c r="P90" s="1452"/>
      <c r="Q90" s="1452"/>
      <c r="R90" s="1453"/>
      <c r="S90" s="874" t="e">
        <f>#REF!</f>
        <v>#REF!</v>
      </c>
    </row>
    <row r="91" spans="1:79" ht="17.25" customHeight="1">
      <c r="A91" s="1467"/>
      <c r="B91" s="881" t="s">
        <v>43</v>
      </c>
      <c r="C91" s="1454" t="e">
        <f>#REF!</f>
        <v>#REF!</v>
      </c>
      <c r="D91" s="1454"/>
      <c r="E91" s="1454"/>
      <c r="F91" s="1454"/>
      <c r="G91" s="1454"/>
      <c r="H91" s="664"/>
      <c r="I91" s="664" t="e">
        <f>#REF!</f>
        <v>#REF!</v>
      </c>
      <c r="J91" s="840" t="e">
        <f>#REF!</f>
        <v>#REF!</v>
      </c>
      <c r="K91" s="424" t="e">
        <f>#REF!</f>
        <v>#REF!</v>
      </c>
      <c r="L91" s="840" t="e">
        <f>#REF!</f>
        <v>#REF!</v>
      </c>
      <c r="M91" s="840" t="e">
        <f>#REF!</f>
        <v>#REF!</v>
      </c>
      <c r="N91" s="672" t="e">
        <f>#REF!</f>
        <v>#REF!</v>
      </c>
      <c r="O91" s="1455"/>
      <c r="P91" s="1456"/>
      <c r="Q91" s="1456"/>
      <c r="R91" s="1457"/>
      <c r="S91" s="810" t="e">
        <f>#REF!</f>
        <v>#REF!</v>
      </c>
    </row>
    <row r="92" spans="1:79" ht="18" customHeight="1">
      <c r="A92" s="1199">
        <v>405</v>
      </c>
      <c r="B92" s="8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216"/>
      <c r="B93" s="8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8" customHeight="1">
      <c r="A94" s="1165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314"/>
      <c r="B95" s="841"/>
      <c r="C95" s="1458"/>
      <c r="D95" s="1459"/>
      <c r="E95" s="1459"/>
      <c r="F95" s="1459"/>
      <c r="G95" s="1460"/>
      <c r="H95" s="849"/>
      <c r="I95" s="849"/>
      <c r="J95" s="834" t="s">
        <v>666</v>
      </c>
      <c r="K95" s="835" t="e">
        <f>SUM(K86:K94)</f>
        <v>#REF!</v>
      </c>
      <c r="L95" s="852"/>
      <c r="M95" s="852"/>
      <c r="N95" s="853"/>
      <c r="O95" s="886"/>
      <c r="P95" s="887"/>
      <c r="Q95" s="887"/>
      <c r="R95" s="888"/>
      <c r="S95" s="854"/>
    </row>
    <row r="96" spans="1:79" s="76" customFormat="1" ht="31.7" hidden="1" customHeight="1">
      <c r="A96" s="400" t="s">
        <v>425</v>
      </c>
      <c r="B96" s="400" t="s">
        <v>193</v>
      </c>
      <c r="C96" s="1282" t="e">
        <f>[1]印403!J91</f>
        <v>#REF!</v>
      </c>
      <c r="D96" s="1283"/>
      <c r="E96" s="1283"/>
      <c r="F96" s="1283"/>
      <c r="G96" s="1468"/>
      <c r="H96" s="242" t="s">
        <v>216</v>
      </c>
      <c r="I96" s="242" t="s">
        <v>12</v>
      </c>
      <c r="J96" s="242" t="s">
        <v>13</v>
      </c>
      <c r="K96" s="405" t="s">
        <v>218</v>
      </c>
      <c r="L96" s="427" t="s">
        <v>60</v>
      </c>
      <c r="M96" s="399" t="e">
        <f>[1]印403!O90</f>
        <v>#REF!</v>
      </c>
      <c r="N96" s="257" t="s">
        <v>45</v>
      </c>
      <c r="O96" s="1448" t="s">
        <v>29</v>
      </c>
      <c r="P96" s="1449"/>
      <c r="Q96" s="1449"/>
      <c r="R96" s="1450"/>
      <c r="S96" s="417" t="s">
        <v>57</v>
      </c>
    </row>
    <row r="97" spans="1:19" ht="15" hidden="1" customHeight="1">
      <c r="A97" s="1199" t="s">
        <v>426</v>
      </c>
      <c r="B97" s="84" t="s">
        <v>205</v>
      </c>
      <c r="C97" s="1282" t="e">
        <f>[1]印403!J92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[1]印403!O91</f>
        <v>#REF!</v>
      </c>
      <c r="N97" s="399"/>
      <c r="O97" s="1469"/>
      <c r="P97" s="1245"/>
      <c r="Q97" s="1245"/>
      <c r="R97" s="1246"/>
      <c r="S97" s="1470"/>
    </row>
    <row r="98" spans="1:19" ht="13.7" hidden="1" customHeight="1">
      <c r="A98" s="1216"/>
      <c r="B98" s="84" t="s">
        <v>205</v>
      </c>
      <c r="C98" s="1282" t="e">
        <f>[1]印403!J93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[1]印403!O92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[1]印403!J94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[1]印403!O93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[1]印403!J95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[1]印403!O94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[1]印403!J96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[1]印403!O95</f>
        <v>#REF!</v>
      </c>
      <c r="N101" s="425"/>
      <c r="O101" s="669"/>
      <c r="P101" s="670"/>
      <c r="Q101" s="670"/>
      <c r="R101" s="671"/>
      <c r="S101" s="1471"/>
    </row>
    <row r="102" spans="1:19" ht="16.5" hidden="1" customHeight="1">
      <c r="A102" s="1216"/>
      <c r="B102" s="881" t="s">
        <v>43</v>
      </c>
      <c r="C102" s="1282" t="e">
        <f>[1]印403!J97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[1]印403!O96</f>
        <v>#REF!</v>
      </c>
      <c r="N102" s="672"/>
      <c r="O102" s="1476"/>
      <c r="P102" s="1477"/>
      <c r="Q102" s="1477"/>
      <c r="R102" s="1478"/>
      <c r="S102" s="1485"/>
    </row>
    <row r="103" spans="1:19" ht="15" hidden="1" customHeight="1">
      <c r="A103" s="1216"/>
      <c r="B103" s="881" t="s">
        <v>43</v>
      </c>
      <c r="C103" s="1282" t="e">
        <f>[1]印403!J98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[1]印403!O97</f>
        <v>#REF!</v>
      </c>
      <c r="N103" s="672"/>
      <c r="O103" s="1479"/>
      <c r="P103" s="1480"/>
      <c r="Q103" s="1480"/>
      <c r="R103" s="1481"/>
      <c r="S103" s="1485"/>
    </row>
    <row r="104" spans="1:19" ht="15" hidden="1" customHeight="1">
      <c r="A104" s="1216"/>
      <c r="B104" s="881" t="s">
        <v>43</v>
      </c>
      <c r="C104" s="1282" t="e">
        <f>[1]印403!J99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[1]印403!O98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165"/>
      <c r="B105" s="881" t="s">
        <v>43</v>
      </c>
      <c r="C105" s="1282" t="e">
        <f>[1]印403!J100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[1]印403!O99</f>
        <v>#REF!</v>
      </c>
      <c r="N105" s="672"/>
      <c r="O105" s="1482"/>
      <c r="P105" s="1483"/>
      <c r="Q105" s="1483"/>
      <c r="R105" s="1484"/>
      <c r="S105" s="1486"/>
    </row>
    <row r="106" spans="1:19" ht="6" customHeight="1">
      <c r="A106" s="248"/>
      <c r="C106" s="249"/>
    </row>
    <row r="107" spans="1:19" ht="6" customHeight="1" thickBot="1">
      <c r="A107" s="248"/>
      <c r="C107" s="249"/>
    </row>
    <row r="108" spans="1:19" ht="15" customHeight="1" thickTop="1">
      <c r="A108" s="1472" t="s">
        <v>30</v>
      </c>
      <c r="B108" s="1473"/>
      <c r="C108" s="1473"/>
      <c r="D108" s="1473"/>
      <c r="E108" s="376">
        <v>250400</v>
      </c>
      <c r="F108" s="75" t="s">
        <v>64</v>
      </c>
      <c r="G108" s="1472" t="s">
        <v>31</v>
      </c>
      <c r="H108" s="1473"/>
      <c r="I108" s="1473"/>
      <c r="J108" s="1473"/>
      <c r="K108" s="1473"/>
      <c r="L108" s="377">
        <v>115000</v>
      </c>
      <c r="M108" s="75" t="s">
        <v>64</v>
      </c>
      <c r="N108" s="1472" t="s">
        <v>32</v>
      </c>
      <c r="O108" s="1473"/>
      <c r="P108" s="1473"/>
      <c r="Q108" s="377">
        <v>210000</v>
      </c>
      <c r="R108" s="75" t="s">
        <v>64</v>
      </c>
      <c r="S108" s="75"/>
    </row>
    <row r="109" spans="1:19" ht="15" customHeight="1" thickBot="1">
      <c r="A109" s="1474" t="s">
        <v>66</v>
      </c>
      <c r="B109" s="1475"/>
      <c r="C109" s="1475"/>
      <c r="D109" s="1475"/>
      <c r="E109" s="674">
        <f>50*1000</f>
        <v>50000</v>
      </c>
      <c r="G109" s="1474" t="s">
        <v>66</v>
      </c>
      <c r="H109" s="1475"/>
      <c r="I109" s="1475"/>
      <c r="J109" s="1475"/>
      <c r="K109" s="1475"/>
      <c r="L109" s="674">
        <f>45*1000</f>
        <v>45000</v>
      </c>
      <c r="N109" s="1474" t="s">
        <v>33</v>
      </c>
      <c r="O109" s="1475"/>
      <c r="P109" s="1475"/>
      <c r="Q109" s="674">
        <f>(180+216)*500</f>
        <v>198000</v>
      </c>
      <c r="R109" s="75"/>
      <c r="S109" s="75"/>
    </row>
    <row r="110" spans="1:19" ht="15" customHeight="1" thickTop="1" thickBot="1">
      <c r="A110" s="1487" t="s">
        <v>34</v>
      </c>
      <c r="B110" s="1488"/>
      <c r="C110" s="1488"/>
      <c r="D110" s="1488"/>
      <c r="E110" s="378">
        <f>E108+E109</f>
        <v>300400</v>
      </c>
      <c r="F110" s="75" t="s">
        <v>64</v>
      </c>
      <c r="G110" s="1487" t="s">
        <v>35</v>
      </c>
      <c r="H110" s="1488"/>
      <c r="I110" s="1488"/>
      <c r="J110" s="1488"/>
      <c r="K110" s="1488"/>
      <c r="L110" s="379">
        <f>L108+L109</f>
        <v>160000</v>
      </c>
      <c r="M110" s="75" t="s">
        <v>64</v>
      </c>
      <c r="N110" s="1487" t="s">
        <v>36</v>
      </c>
      <c r="O110" s="1488"/>
      <c r="P110" s="1488"/>
      <c r="Q110" s="379">
        <f>Q108+Q109</f>
        <v>408000</v>
      </c>
      <c r="R110" s="75" t="s">
        <v>64</v>
      </c>
      <c r="S110" s="75"/>
    </row>
    <row r="111" spans="1:19" ht="15" customHeight="1" thickTop="1" thickBot="1">
      <c r="E111" s="252">
        <f>印401!M64</f>
        <v>0</v>
      </c>
      <c r="L111" s="675" t="e">
        <f>#REF!</f>
        <v>#REF!</v>
      </c>
      <c r="O111" s="75"/>
      <c r="P111" s="75"/>
      <c r="Q111" s="675" t="e">
        <f>#REF!</f>
        <v>#REF!</v>
      </c>
      <c r="R111" s="75"/>
      <c r="S111" s="75"/>
    </row>
    <row r="112" spans="1:19" ht="15" customHeight="1" thickBot="1">
      <c r="A112" s="676" t="s">
        <v>37</v>
      </c>
      <c r="B112" s="677"/>
      <c r="C112" s="677"/>
      <c r="D112" s="678"/>
      <c r="E112" s="253">
        <f>印401!P64</f>
        <v>0</v>
      </c>
      <c r="F112" s="75" t="s">
        <v>64</v>
      </c>
      <c r="G112" s="676" t="s">
        <v>38</v>
      </c>
      <c r="H112" s="677"/>
      <c r="I112" s="677"/>
      <c r="J112" s="677"/>
      <c r="K112" s="677"/>
      <c r="L112" s="384" t="e">
        <f>#REF!</f>
        <v>#REF!</v>
      </c>
      <c r="M112" s="75" t="s">
        <v>64</v>
      </c>
      <c r="N112" s="676" t="s">
        <v>39</v>
      </c>
      <c r="O112" s="677"/>
      <c r="P112" s="677"/>
      <c r="Q112" s="384" t="e">
        <f>#REF!</f>
        <v>#REF!</v>
      </c>
      <c r="R112" s="75" t="s">
        <v>64</v>
      </c>
      <c r="S112" s="75"/>
    </row>
    <row r="113" spans="2:20" ht="3" customHeight="1" thickBot="1">
      <c r="J113" s="255"/>
      <c r="K113" s="256"/>
    </row>
    <row r="114" spans="2:20" ht="15" customHeight="1" thickTop="1">
      <c r="B114" s="1509" t="s">
        <v>69</v>
      </c>
      <c r="C114" s="1510"/>
      <c r="D114" s="1511" t="s">
        <v>305</v>
      </c>
      <c r="E114" s="1512"/>
      <c r="F114" s="1489" t="s">
        <v>306</v>
      </c>
      <c r="G114" s="1490"/>
      <c r="H114" s="1491" t="s">
        <v>307</v>
      </c>
      <c r="I114" s="1492"/>
      <c r="J114" s="1492"/>
      <c r="K114" s="1493"/>
      <c r="L114" s="1472" t="s">
        <v>657</v>
      </c>
      <c r="M114" s="1473"/>
      <c r="N114" s="1473"/>
      <c r="O114" s="377">
        <v>964000</v>
      </c>
      <c r="P114" s="75" t="s">
        <v>64</v>
      </c>
      <c r="Q114" s="1496" t="s">
        <v>65</v>
      </c>
      <c r="R114" s="1497"/>
      <c r="S114" s="385">
        <v>7270158</v>
      </c>
    </row>
    <row r="115" spans="2:20" ht="15" customHeight="1" thickBot="1">
      <c r="B115" s="1498" t="s">
        <v>308</v>
      </c>
      <c r="C115" s="1499"/>
      <c r="D115" s="1500" t="e">
        <f>總表!D20</f>
        <v>#REF!</v>
      </c>
      <c r="E115" s="1501"/>
      <c r="F115" s="1502">
        <f>總表!E20</f>
        <v>1316871</v>
      </c>
      <c r="G115" s="1503"/>
      <c r="H115" s="1504" t="e">
        <f>(D115-F115)/D115</f>
        <v>#REF!</v>
      </c>
      <c r="I115" s="1505"/>
      <c r="J115" s="1505"/>
      <c r="K115" s="1506"/>
      <c r="L115" s="1474" t="s">
        <v>33</v>
      </c>
      <c r="M115" s="1475"/>
      <c r="N115" s="1475"/>
      <c r="O115" s="674">
        <f>(50+70)*600</f>
        <v>72000</v>
      </c>
      <c r="P115" s="75"/>
      <c r="Q115" s="1507" t="s">
        <v>67</v>
      </c>
      <c r="R115" s="1508"/>
      <c r="S115" s="386" t="e">
        <f>SUM(L49:L83,L86:L94)</f>
        <v>#REF!</v>
      </c>
    </row>
    <row r="116" spans="2:20" ht="15" customHeight="1" thickTop="1" thickBot="1">
      <c r="B116" s="1513" t="s">
        <v>309</v>
      </c>
      <c r="C116" s="1514"/>
      <c r="D116" s="1515" t="e">
        <f>總表!C43</f>
        <v>#REF!</v>
      </c>
      <c r="E116" s="1516"/>
      <c r="F116" s="1502" t="e">
        <f>總表!F43</f>
        <v>#REF!</v>
      </c>
      <c r="G116" s="1503"/>
      <c r="H116" s="1504" t="e">
        <f>(D116-F116)/D116</f>
        <v>#REF!</v>
      </c>
      <c r="I116" s="1505"/>
      <c r="J116" s="1505"/>
      <c r="K116" s="1506"/>
      <c r="L116" s="1487" t="s">
        <v>658</v>
      </c>
      <c r="M116" s="1488"/>
      <c r="N116" s="1488"/>
      <c r="O116" s="379">
        <f>O114+O115</f>
        <v>1036000</v>
      </c>
      <c r="P116" s="75" t="s">
        <v>64</v>
      </c>
      <c r="Q116" s="1494" t="s">
        <v>68</v>
      </c>
      <c r="R116" s="1495"/>
      <c r="S116" s="387" t="e">
        <f>S114+S115</f>
        <v>#REF!</v>
      </c>
    </row>
    <row r="117" spans="2:20" ht="14.1" customHeight="1" thickTop="1" thickBot="1">
      <c r="B117" s="250" t="s">
        <v>310</v>
      </c>
      <c r="C117" s="250"/>
      <c r="D117" s="250"/>
      <c r="E117" s="233"/>
      <c r="O117" s="675" t="e">
        <f>#REF!</f>
        <v>#REF!</v>
      </c>
      <c r="P117" s="75"/>
      <c r="Q117" s="75"/>
      <c r="R117" s="254" t="e">
        <f>總表!E43+總表!E52</f>
        <v>#REF!</v>
      </c>
      <c r="S117" s="254" t="e">
        <f>R117-S116</f>
        <v>#REF!</v>
      </c>
    </row>
    <row r="118" spans="2:20" ht="17.25" customHeight="1" thickBot="1">
      <c r="B118" s="250" t="s">
        <v>40</v>
      </c>
      <c r="C118" s="233"/>
      <c r="D118" s="233"/>
      <c r="E118" s="233"/>
      <c r="F118" s="233"/>
      <c r="L118" s="676" t="s">
        <v>659</v>
      </c>
      <c r="M118" s="677"/>
      <c r="N118" s="677"/>
      <c r="O118" s="384" t="e">
        <f>#REF!</f>
        <v>#REF!</v>
      </c>
      <c r="P118" s="75" t="s">
        <v>64</v>
      </c>
      <c r="T118" s="233"/>
    </row>
    <row r="119" spans="2:20" ht="15.75" customHeight="1">
      <c r="B119" s="75" t="s">
        <v>41</v>
      </c>
      <c r="N119" s="233"/>
      <c r="S119" s="75"/>
    </row>
  </sheetData>
  <mergeCells count="285">
    <mergeCell ref="C59:E59"/>
    <mergeCell ref="O59:R59"/>
    <mergeCell ref="C60:E60"/>
    <mergeCell ref="O60:R60"/>
    <mergeCell ref="C87:G87"/>
    <mergeCell ref="O87:R87"/>
    <mergeCell ref="K10:M10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K11:M12"/>
    <mergeCell ref="L5:M5"/>
    <mergeCell ref="N5:P5"/>
    <mergeCell ref="Q5:R5"/>
    <mergeCell ref="G6:I6"/>
    <mergeCell ref="K6:M6"/>
    <mergeCell ref="O6:R6"/>
    <mergeCell ref="G11:I11"/>
    <mergeCell ref="O11:R11"/>
    <mergeCell ref="A20:A21"/>
    <mergeCell ref="G20:I20"/>
    <mergeCell ref="K20:M20"/>
    <mergeCell ref="O20:R20"/>
    <mergeCell ref="G21:I21"/>
    <mergeCell ref="K21:M21"/>
    <mergeCell ref="O21:R21"/>
    <mergeCell ref="A14:A15"/>
    <mergeCell ref="G14:I14"/>
    <mergeCell ref="K14:M14"/>
    <mergeCell ref="O14:R14"/>
    <mergeCell ref="G15:I15"/>
    <mergeCell ref="K15:M15"/>
    <mergeCell ref="O15:R15"/>
    <mergeCell ref="A18:A19"/>
    <mergeCell ref="G18:I18"/>
    <mergeCell ref="K18:M18"/>
    <mergeCell ref="O18:R18"/>
    <mergeCell ref="G19:I19"/>
    <mergeCell ref="K19:M19"/>
    <mergeCell ref="O19:R19"/>
    <mergeCell ref="A49:A50"/>
    <mergeCell ref="C71:E71"/>
    <mergeCell ref="O71:R71"/>
    <mergeCell ref="C75:E75"/>
    <mergeCell ref="O75:R75"/>
    <mergeCell ref="C90:G90"/>
    <mergeCell ref="O90:R90"/>
    <mergeCell ref="A90:A91"/>
    <mergeCell ref="C49:E49"/>
    <mergeCell ref="O49:R49"/>
    <mergeCell ref="C51:E51"/>
    <mergeCell ref="O51:R51"/>
    <mergeCell ref="C52:E52"/>
    <mergeCell ref="O52:R52"/>
    <mergeCell ref="A51:A52"/>
    <mergeCell ref="C70:E70"/>
    <mergeCell ref="O70:R70"/>
    <mergeCell ref="A70:A71"/>
    <mergeCell ref="A53:A54"/>
    <mergeCell ref="C53:E53"/>
    <mergeCell ref="O53:R53"/>
    <mergeCell ref="C54:E54"/>
    <mergeCell ref="O54:R54"/>
    <mergeCell ref="A59:A60"/>
    <mergeCell ref="V49:X49"/>
    <mergeCell ref="C50:E50"/>
    <mergeCell ref="O50:R50"/>
    <mergeCell ref="V50:X50"/>
    <mergeCell ref="K22:M22"/>
    <mergeCell ref="O22:R22"/>
    <mergeCell ref="S26:S28"/>
    <mergeCell ref="G27:I27"/>
    <mergeCell ref="G28:I28"/>
    <mergeCell ref="C29:E29"/>
    <mergeCell ref="O29:R29"/>
    <mergeCell ref="C39:E39"/>
    <mergeCell ref="C40:E40"/>
    <mergeCell ref="A23:A28"/>
    <mergeCell ref="G23:I23"/>
    <mergeCell ref="K23:M25"/>
    <mergeCell ref="O23:R25"/>
    <mergeCell ref="S23:S25"/>
    <mergeCell ref="G24:I24"/>
    <mergeCell ref="G25:I25"/>
    <mergeCell ref="G26:I26"/>
    <mergeCell ref="K26:M28"/>
    <mergeCell ref="O26:R28"/>
    <mergeCell ref="A30:A36"/>
    <mergeCell ref="C30:E30"/>
    <mergeCell ref="M30:M32"/>
    <mergeCell ref="O30:R32"/>
    <mergeCell ref="S30:S32"/>
    <mergeCell ref="C31:E31"/>
    <mergeCell ref="C32:E32"/>
    <mergeCell ref="C33:E33"/>
    <mergeCell ref="M33:M36"/>
    <mergeCell ref="O33:R36"/>
    <mergeCell ref="S33:S36"/>
    <mergeCell ref="C34:E34"/>
    <mergeCell ref="C35:E35"/>
    <mergeCell ref="C36:E36"/>
    <mergeCell ref="A37:A42"/>
    <mergeCell ref="C37:E37"/>
    <mergeCell ref="M37:M39"/>
    <mergeCell ref="O37:R39"/>
    <mergeCell ref="S37:S39"/>
    <mergeCell ref="C38:E38"/>
    <mergeCell ref="M40:M42"/>
    <mergeCell ref="O40:R42"/>
    <mergeCell ref="S40:S42"/>
    <mergeCell ref="C41:E41"/>
    <mergeCell ref="C42:E42"/>
    <mergeCell ref="A43:A48"/>
    <mergeCell ref="C43:E43"/>
    <mergeCell ref="M43:M45"/>
    <mergeCell ref="O43:R45"/>
    <mergeCell ref="S43:S45"/>
    <mergeCell ref="C44:E44"/>
    <mergeCell ref="C45:E45"/>
    <mergeCell ref="C46:E46"/>
    <mergeCell ref="M46:M48"/>
    <mergeCell ref="O46:R48"/>
    <mergeCell ref="S46:S48"/>
    <mergeCell ref="C47:E47"/>
    <mergeCell ref="C48:E48"/>
    <mergeCell ref="A55:A56"/>
    <mergeCell ref="C55:E55"/>
    <mergeCell ref="O55:R55"/>
    <mergeCell ref="C56:E56"/>
    <mergeCell ref="O56:R56"/>
    <mergeCell ref="A57:A58"/>
    <mergeCell ref="C57:E57"/>
    <mergeCell ref="O57:R57"/>
    <mergeCell ref="C58:E58"/>
    <mergeCell ref="O58:R58"/>
    <mergeCell ref="A61:A62"/>
    <mergeCell ref="C61:E61"/>
    <mergeCell ref="O61:R61"/>
    <mergeCell ref="C62:E62"/>
    <mergeCell ref="O62:R62"/>
    <mergeCell ref="O64:R64"/>
    <mergeCell ref="C64:E64"/>
    <mergeCell ref="O65:R65"/>
    <mergeCell ref="A63:A64"/>
    <mergeCell ref="C63:E63"/>
    <mergeCell ref="O63:R63"/>
    <mergeCell ref="A66:A67"/>
    <mergeCell ref="O66:R66"/>
    <mergeCell ref="C67:E67"/>
    <mergeCell ref="O67:R67"/>
    <mergeCell ref="C66:E66"/>
    <mergeCell ref="A68:A69"/>
    <mergeCell ref="C68:E68"/>
    <mergeCell ref="O68:R68"/>
    <mergeCell ref="C69:E69"/>
    <mergeCell ref="O69:R69"/>
    <mergeCell ref="A72:A73"/>
    <mergeCell ref="C72:E72"/>
    <mergeCell ref="O72:R72"/>
    <mergeCell ref="C73:E73"/>
    <mergeCell ref="O73:R73"/>
    <mergeCell ref="C74:E74"/>
    <mergeCell ref="O74:R74"/>
    <mergeCell ref="A74:A75"/>
    <mergeCell ref="C79:E79"/>
    <mergeCell ref="O79:R79"/>
    <mergeCell ref="A80:A81"/>
    <mergeCell ref="C80:E80"/>
    <mergeCell ref="O80:R80"/>
    <mergeCell ref="C81:E81"/>
    <mergeCell ref="O81:R81"/>
    <mergeCell ref="A76:A77"/>
    <mergeCell ref="C76:E76"/>
    <mergeCell ref="O76:R76"/>
    <mergeCell ref="C77:E77"/>
    <mergeCell ref="O77:R77"/>
    <mergeCell ref="A78:A79"/>
    <mergeCell ref="C78:E78"/>
    <mergeCell ref="O78:R78"/>
    <mergeCell ref="A92:A94"/>
    <mergeCell ref="O84:R84"/>
    <mergeCell ref="C85:G85"/>
    <mergeCell ref="O85:R85"/>
    <mergeCell ref="A88:A89"/>
    <mergeCell ref="C88:G88"/>
    <mergeCell ref="O88:R88"/>
    <mergeCell ref="O89:R89"/>
    <mergeCell ref="A82:A83"/>
    <mergeCell ref="C82:E82"/>
    <mergeCell ref="O82:R82"/>
    <mergeCell ref="C83:E83"/>
    <mergeCell ref="O83:R83"/>
    <mergeCell ref="C86:G86"/>
    <mergeCell ref="O86:R86"/>
    <mergeCell ref="A86:A87"/>
    <mergeCell ref="C89:G89"/>
    <mergeCell ref="C91:G91"/>
    <mergeCell ref="O91:R91"/>
    <mergeCell ref="C95:G95"/>
    <mergeCell ref="C96:G96"/>
    <mergeCell ref="O96:R96"/>
    <mergeCell ref="C92:G92"/>
    <mergeCell ref="O92:R92"/>
    <mergeCell ref="C93:G93"/>
    <mergeCell ref="O93:R93"/>
    <mergeCell ref="C94:G94"/>
    <mergeCell ref="S97:S101"/>
    <mergeCell ref="C98:G98"/>
    <mergeCell ref="C99:G99"/>
    <mergeCell ref="C100:G100"/>
    <mergeCell ref="C101:G101"/>
    <mergeCell ref="O94:R94"/>
    <mergeCell ref="F115:G115"/>
    <mergeCell ref="H115:K115"/>
    <mergeCell ref="L115:N115"/>
    <mergeCell ref="C102:G102"/>
    <mergeCell ref="O102:R105"/>
    <mergeCell ref="S102:S105"/>
    <mergeCell ref="C103:G103"/>
    <mergeCell ref="C104:G104"/>
    <mergeCell ref="C105:G105"/>
    <mergeCell ref="A108:D108"/>
    <mergeCell ref="G108:K108"/>
    <mergeCell ref="N108:P108"/>
    <mergeCell ref="A97:A105"/>
    <mergeCell ref="C97:G97"/>
    <mergeCell ref="O97:R97"/>
    <mergeCell ref="B116:C116"/>
    <mergeCell ref="D116:E116"/>
    <mergeCell ref="F116:G116"/>
    <mergeCell ref="H116:K116"/>
    <mergeCell ref="L116:N116"/>
    <mergeCell ref="Q116:R116"/>
    <mergeCell ref="B115:C115"/>
    <mergeCell ref="D115:E115"/>
    <mergeCell ref="G13:I13"/>
    <mergeCell ref="K13:M13"/>
    <mergeCell ref="O13:R13"/>
    <mergeCell ref="Q115:R115"/>
    <mergeCell ref="B114:C114"/>
    <mergeCell ref="D114:E114"/>
    <mergeCell ref="F114:G114"/>
    <mergeCell ref="H114:K114"/>
    <mergeCell ref="L114:N114"/>
    <mergeCell ref="Q114:R114"/>
    <mergeCell ref="A109:D109"/>
    <mergeCell ref="G109:K109"/>
    <mergeCell ref="N109:P109"/>
    <mergeCell ref="A110:D110"/>
    <mergeCell ref="G110:K110"/>
    <mergeCell ref="N110:P110"/>
    <mergeCell ref="A7:A8"/>
    <mergeCell ref="G7:I7"/>
    <mergeCell ref="K7:M7"/>
    <mergeCell ref="O7:R7"/>
    <mergeCell ref="G8:I8"/>
    <mergeCell ref="S11:S12"/>
    <mergeCell ref="A16:A17"/>
    <mergeCell ref="G16:I16"/>
    <mergeCell ref="K16:M16"/>
    <mergeCell ref="O16:R16"/>
    <mergeCell ref="G17:I17"/>
    <mergeCell ref="K17:M17"/>
    <mergeCell ref="O17:R17"/>
    <mergeCell ref="G12:I12"/>
    <mergeCell ref="O12:R12"/>
    <mergeCell ref="K8:M8"/>
    <mergeCell ref="O8:R8"/>
    <mergeCell ref="A9:A10"/>
    <mergeCell ref="G9:I9"/>
    <mergeCell ref="K9:M9"/>
    <mergeCell ref="O9:R9"/>
    <mergeCell ref="G10:I10"/>
    <mergeCell ref="O10:R10"/>
    <mergeCell ref="A11:A13"/>
  </mergeCells>
  <phoneticPr fontId="26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A119"/>
  <sheetViews>
    <sheetView topLeftCell="L92" workbookViewId="0">
      <selection activeCell="S116" sqref="S116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7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832</v>
      </c>
      <c r="O2" s="1319"/>
      <c r="P2" s="1320"/>
      <c r="Q2" s="1318" t="s">
        <v>833</v>
      </c>
      <c r="R2" s="1320"/>
      <c r="S2" s="642" t="s">
        <v>801</v>
      </c>
    </row>
    <row r="3" spans="1:23" ht="1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831</v>
      </c>
      <c r="O3" s="1319"/>
      <c r="P3" s="1320"/>
      <c r="Q3" s="1318" t="s">
        <v>830</v>
      </c>
      <c r="R3" s="1320"/>
      <c r="S3" s="85"/>
    </row>
    <row r="4" spans="1:23" ht="17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831</v>
      </c>
      <c r="O4" s="1319"/>
      <c r="P4" s="1320"/>
      <c r="Q4" s="1318" t="s">
        <v>830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45235</v>
      </c>
      <c r="D5" s="419" t="s">
        <v>829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>
        <v>1.2</v>
      </c>
      <c r="E7" s="856">
        <v>715</v>
      </c>
      <c r="F7" s="858">
        <f>'101'!O12</f>
        <v>500</v>
      </c>
      <c r="G7" s="1342">
        <f>'101'!K12</f>
        <v>5600</v>
      </c>
      <c r="H7" s="1343"/>
      <c r="I7" s="1344"/>
      <c r="J7" s="859">
        <f>'101'!L12</f>
        <v>0</v>
      </c>
      <c r="K7" s="1345">
        <f>'101'!P12</f>
        <v>0.93333333333333335</v>
      </c>
      <c r="L7" s="1346"/>
      <c r="M7" s="1347"/>
      <c r="N7" s="820">
        <f>J7/(G7+J7)</f>
        <v>0</v>
      </c>
      <c r="O7" s="1348" t="str">
        <f>'101'!U12</f>
        <v>19:16最後一支交接班</v>
      </c>
      <c r="P7" s="1349"/>
      <c r="Q7" s="1349"/>
      <c r="R7" s="1350"/>
      <c r="S7" s="875" t="str">
        <f>'101'!V12</f>
        <v>潘文銅</v>
      </c>
    </row>
    <row r="8" spans="1:23" s="76" customFormat="1" ht="17.25" customHeight="1">
      <c r="A8" s="1548"/>
      <c r="B8" s="881" t="s">
        <v>43</v>
      </c>
      <c r="C8" s="824" t="s">
        <v>42</v>
      </c>
      <c r="D8" s="421">
        <v>1.2</v>
      </c>
      <c r="E8" s="646">
        <v>715</v>
      </c>
      <c r="F8" s="825">
        <f>'101'!O13</f>
        <v>500</v>
      </c>
      <c r="G8" s="1351">
        <f>'101'!K13</f>
        <v>6027</v>
      </c>
      <c r="H8" s="1352"/>
      <c r="I8" s="1353"/>
      <c r="J8" s="826">
        <f>'101'!L13</f>
        <v>0</v>
      </c>
      <c r="K8" s="1345">
        <f>'101'!P13</f>
        <v>1.0044999999999999</v>
      </c>
      <c r="L8" s="1346"/>
      <c r="M8" s="1347"/>
      <c r="N8" s="820">
        <f>J8/(G8+J8)</f>
        <v>0</v>
      </c>
      <c r="O8" s="1348" t="str">
        <f>'101'!U13</f>
        <v>07:16最後一支交接班</v>
      </c>
      <c r="P8" s="1349"/>
      <c r="Q8" s="1349"/>
      <c r="R8" s="1350"/>
      <c r="S8" s="875" t="str">
        <f>'101'!V13</f>
        <v>阮宏山</v>
      </c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'102'!O12</f>
        <v>750</v>
      </c>
      <c r="G9" s="1311">
        <f>'102'!K12</f>
        <v>8400</v>
      </c>
      <c r="H9" s="1312"/>
      <c r="I9" s="1313"/>
      <c r="J9" s="814">
        <f>'102'!L12</f>
        <v>0</v>
      </c>
      <c r="K9" s="1314">
        <f>'102'!P12</f>
        <v>0.93333333333333335</v>
      </c>
      <c r="L9" s="1315"/>
      <c r="M9" s="1316"/>
      <c r="N9" s="820">
        <f>J9/(G9+J9)</f>
        <v>0</v>
      </c>
      <c r="O9" s="1308" t="str">
        <f>'102'!U12</f>
        <v>20:15最後一支交接班</v>
      </c>
      <c r="P9" s="1309"/>
      <c r="Q9" s="1309"/>
      <c r="R9" s="1310"/>
      <c r="S9" s="878" t="str">
        <f>'102'!V12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314"/>
      <c r="L10" s="1315"/>
      <c r="M10" s="1316"/>
      <c r="N10" s="820"/>
      <c r="O10" s="1308"/>
      <c r="P10" s="1309"/>
      <c r="Q10" s="1309"/>
      <c r="R10" s="1310"/>
      <c r="S10" s="878"/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0.28000000000000003</v>
      </c>
      <c r="E11" s="815">
        <v>900</v>
      </c>
      <c r="F11" s="815">
        <f>'103'!O14</f>
        <v>350</v>
      </c>
      <c r="G11" s="1311">
        <f>'103'!K14</f>
        <v>4020</v>
      </c>
      <c r="H11" s="1312"/>
      <c r="I11" s="1313"/>
      <c r="J11" s="814">
        <f>'103'!L14</f>
        <v>0</v>
      </c>
      <c r="K11" s="1314">
        <f>'103'!P14</f>
        <v>0.95714285714285718</v>
      </c>
      <c r="L11" s="1315"/>
      <c r="M11" s="1316"/>
      <c r="N11" s="820">
        <f>J11/(G11+J11)</f>
        <v>0</v>
      </c>
      <c r="O11" s="1308" t="str">
        <f>'103'!U14</f>
        <v>19:00最後一支交接班</v>
      </c>
      <c r="P11" s="1309"/>
      <c r="Q11" s="1309"/>
      <c r="R11" s="1310"/>
      <c r="S11" s="822" t="str">
        <f>'103'!V14</f>
        <v>黎庭全</v>
      </c>
    </row>
    <row r="12" spans="1:23" ht="17.25" customHeight="1">
      <c r="A12" s="1336"/>
      <c r="B12" s="881" t="s">
        <v>207</v>
      </c>
      <c r="C12" s="422" t="s">
        <v>42</v>
      </c>
      <c r="D12" s="421">
        <v>0.28000000000000003</v>
      </c>
      <c r="E12" s="880">
        <v>900</v>
      </c>
      <c r="F12" s="880">
        <f>'103'!O15</f>
        <v>350</v>
      </c>
      <c r="G12" s="1327">
        <f>'103'!K15</f>
        <v>3013</v>
      </c>
      <c r="H12" s="1328"/>
      <c r="I12" s="1329"/>
      <c r="J12" s="423">
        <f>'103'!L15</f>
        <v>31</v>
      </c>
      <c r="K12" s="1524">
        <f>'103'!P15+'103'!P16</f>
        <v>0.95619047619047615</v>
      </c>
      <c r="L12" s="1525"/>
      <c r="M12" s="1526"/>
      <c r="N12" s="820">
        <f>J12/(G12+J12)</f>
        <v>1.0183968462549276E-2</v>
      </c>
      <c r="O12" s="1521" t="str">
        <f>'103'!U15</f>
        <v>04:08改規格0.25*840,NG  31KG</v>
      </c>
      <c r="P12" s="1522"/>
      <c r="Q12" s="1522"/>
      <c r="R12" s="1523"/>
      <c r="S12" s="1517" t="str">
        <f>'103'!V15</f>
        <v>阮庭平</v>
      </c>
    </row>
    <row r="13" spans="1:23" ht="17.25" customHeight="1">
      <c r="A13" s="1326"/>
      <c r="B13" s="881" t="s">
        <v>207</v>
      </c>
      <c r="C13" s="422" t="s">
        <v>42</v>
      </c>
      <c r="D13" s="421">
        <v>0.28000000000000003</v>
      </c>
      <c r="E13" s="880">
        <v>900</v>
      </c>
      <c r="F13" s="880">
        <f>'103'!O16</f>
        <v>350</v>
      </c>
      <c r="G13" s="1327">
        <f>'103'!K16</f>
        <v>1003</v>
      </c>
      <c r="H13" s="1328"/>
      <c r="I13" s="1329"/>
      <c r="J13" s="423">
        <f>'103'!L16</f>
        <v>0</v>
      </c>
      <c r="K13" s="1527"/>
      <c r="L13" s="1528"/>
      <c r="M13" s="1529"/>
      <c r="N13" s="820">
        <f>J13/(G13+J13)</f>
        <v>0</v>
      </c>
      <c r="O13" s="1530" t="str">
        <f>'103'!U16</f>
        <v>07:32最後一支交接班</v>
      </c>
      <c r="P13" s="1531"/>
      <c r="Q13" s="1531"/>
      <c r="R13" s="1532"/>
      <c r="S13" s="1518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649" t="s">
        <v>633</v>
      </c>
      <c r="E16" s="815"/>
      <c r="F16" s="815"/>
      <c r="G16" s="1311"/>
      <c r="H16" s="1312"/>
      <c r="I16" s="1313"/>
      <c r="J16" s="814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102"/>
      <c r="B17" s="881" t="s">
        <v>43</v>
      </c>
      <c r="C17" s="422" t="s">
        <v>44</v>
      </c>
      <c r="D17" s="421" t="s">
        <v>633</v>
      </c>
      <c r="E17" s="880"/>
      <c r="F17" s="880"/>
      <c r="G17" s="1327"/>
      <c r="H17" s="1328"/>
      <c r="I17" s="1329"/>
      <c r="J17" s="423"/>
      <c r="K17" s="1330"/>
      <c r="L17" s="1331"/>
      <c r="M17" s="1332"/>
      <c r="N17" s="871"/>
      <c r="O17" s="1333"/>
      <c r="P17" s="1334"/>
      <c r="Q17" s="1334"/>
      <c r="R17" s="1335"/>
      <c r="S17" s="860"/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1.38</v>
      </c>
      <c r="E18" s="815">
        <v>805</v>
      </c>
      <c r="F18" s="815">
        <f>'106'!O12</f>
        <v>1185</v>
      </c>
      <c r="G18" s="1311">
        <f>'106'!K12</f>
        <v>13145</v>
      </c>
      <c r="H18" s="1312"/>
      <c r="I18" s="1313"/>
      <c r="J18" s="814">
        <f>'106'!L12</f>
        <v>0</v>
      </c>
      <c r="K18" s="1330">
        <f>'106'!P12</f>
        <v>0.92440225035161749</v>
      </c>
      <c r="L18" s="1331"/>
      <c r="M18" s="1332"/>
      <c r="N18" s="871">
        <f>J18/(G18+J18)</f>
        <v>0</v>
      </c>
      <c r="O18" s="1364" t="str">
        <f>'106'!U12</f>
        <v>19:38最後一支交接班</v>
      </c>
      <c r="P18" s="1365"/>
      <c r="Q18" s="1365"/>
      <c r="R18" s="1366"/>
      <c r="S18" s="822" t="str">
        <f>'106'!V12</f>
        <v>黎文中.史豐銘</v>
      </c>
    </row>
    <row r="19" spans="1:19" ht="17.25" customHeight="1">
      <c r="A19" s="1371"/>
      <c r="B19" s="881" t="s">
        <v>43</v>
      </c>
      <c r="C19" s="422" t="s">
        <v>42</v>
      </c>
      <c r="D19" s="421">
        <v>1.38</v>
      </c>
      <c r="E19" s="880">
        <v>805</v>
      </c>
      <c r="F19" s="880">
        <f>'106'!O13</f>
        <v>1185</v>
      </c>
      <c r="G19" s="1327">
        <f>'106'!K13</f>
        <v>13113</v>
      </c>
      <c r="H19" s="1328"/>
      <c r="I19" s="1329"/>
      <c r="J19" s="423">
        <f>'106'!L13</f>
        <v>0</v>
      </c>
      <c r="K19" s="1330">
        <f>'106'!P13</f>
        <v>0.92215189873417724</v>
      </c>
      <c r="L19" s="1331"/>
      <c r="M19" s="1332"/>
      <c r="N19" s="871">
        <f>J19/(G19+J19)</f>
        <v>0</v>
      </c>
      <c r="O19" s="1364" t="str">
        <f>'106'!U13</f>
        <v>07:31最後一支交接班</v>
      </c>
      <c r="P19" s="1365"/>
      <c r="Q19" s="1365"/>
      <c r="R19" s="1366"/>
      <c r="S19" s="822" t="str">
        <f>'106'!V13</f>
        <v>阮功體</v>
      </c>
    </row>
    <row r="20" spans="1:19" ht="17.25" customHeight="1">
      <c r="A20" s="1362" t="s">
        <v>418</v>
      </c>
      <c r="B20" s="84" t="s">
        <v>205</v>
      </c>
      <c r="C20" s="850" t="s">
        <v>433</v>
      </c>
      <c r="D20" s="851">
        <v>0.6</v>
      </c>
      <c r="E20" s="815">
        <v>830</v>
      </c>
      <c r="F20" s="815">
        <f>'107'!O13</f>
        <v>450</v>
      </c>
      <c r="G20" s="1311">
        <f>'107'!K13</f>
        <v>4521</v>
      </c>
      <c r="H20" s="1312"/>
      <c r="I20" s="1313"/>
      <c r="J20" s="814">
        <f>'107'!L13</f>
        <v>44</v>
      </c>
      <c r="K20" s="1314">
        <f>'107'!P13</f>
        <v>0.8372222222222222</v>
      </c>
      <c r="L20" s="1315"/>
      <c r="M20" s="1316"/>
      <c r="N20" s="871">
        <f>J20/(G20+J20)</f>
        <v>9.6385542168674707E-3</v>
      </c>
      <c r="O20" s="1367" t="str">
        <f>'107'!U13</f>
        <v>19:16最後一支交接班
08:00-08:55預熱開機,NG  44KG</v>
      </c>
      <c r="P20" s="1368"/>
      <c r="Q20" s="1368"/>
      <c r="R20" s="1369"/>
      <c r="S20" s="822" t="str">
        <f>'107'!V13</f>
        <v>吉內思</v>
      </c>
    </row>
    <row r="21" spans="1:19" ht="17.25" customHeight="1">
      <c r="A21" s="1540"/>
      <c r="B21" s="881" t="s">
        <v>43</v>
      </c>
      <c r="C21" s="422" t="s">
        <v>433</v>
      </c>
      <c r="D21" s="421">
        <v>0.6</v>
      </c>
      <c r="E21" s="880">
        <v>830</v>
      </c>
      <c r="F21" s="880">
        <f>'107'!O14</f>
        <v>450</v>
      </c>
      <c r="G21" s="1327">
        <f>'107'!K14</f>
        <v>4028</v>
      </c>
      <c r="H21" s="1328"/>
      <c r="I21" s="1329"/>
      <c r="J21" s="423">
        <f>'107'!L14</f>
        <v>150</v>
      </c>
      <c r="K21" s="1524">
        <f>'107'!P14+'107'!P15</f>
        <v>0.93240740740740735</v>
      </c>
      <c r="L21" s="1525"/>
      <c r="M21" s="1526"/>
      <c r="N21" s="871">
        <f>J21/(G21+J21)</f>
        <v>3.5902345619913838E-2</v>
      </c>
      <c r="O21" s="1348" t="str">
        <f>'107'!U14</f>
        <v>04:25-05:00改規格0.34*820,NG  150KG</v>
      </c>
      <c r="P21" s="1349"/>
      <c r="Q21" s="1349"/>
      <c r="R21" s="1350"/>
      <c r="S21" s="1517" t="str">
        <f>'107'!V14</f>
        <v>磨文林</v>
      </c>
    </row>
    <row r="22" spans="1:19" ht="17.25" customHeight="1">
      <c r="A22" s="1363"/>
      <c r="B22" s="881" t="s">
        <v>43</v>
      </c>
      <c r="C22" s="422" t="s">
        <v>44</v>
      </c>
      <c r="D22" s="421">
        <v>0.34</v>
      </c>
      <c r="E22" s="880">
        <v>820</v>
      </c>
      <c r="F22" s="880">
        <f>'107'!O15</f>
        <v>450</v>
      </c>
      <c r="G22" s="1327">
        <f>'107'!K15</f>
        <v>1007</v>
      </c>
      <c r="H22" s="1328"/>
      <c r="I22" s="1329"/>
      <c r="J22" s="423">
        <f>'107'!L15</f>
        <v>0</v>
      </c>
      <c r="K22" s="1527"/>
      <c r="L22" s="1528"/>
      <c r="M22" s="1529"/>
      <c r="N22" s="871">
        <f>J22/(G22+J22)</f>
        <v>0</v>
      </c>
      <c r="O22" s="1367" t="str">
        <f>'107'!U15</f>
        <v>07:30最後一支交接班</v>
      </c>
      <c r="P22" s="1368"/>
      <c r="Q22" s="1368"/>
      <c r="R22" s="1369"/>
      <c r="S22" s="1518"/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63877</v>
      </c>
      <c r="J23" s="833">
        <f>SUM(J7:J22)</f>
        <v>225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0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0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0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0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0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0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52250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s">
        <v>633</v>
      </c>
      <c r="D50" s="1427"/>
      <c r="E50" s="1427"/>
      <c r="F50" s="827"/>
      <c r="G50" s="828"/>
      <c r="H50" s="815"/>
      <c r="I50" s="827"/>
      <c r="J50" s="828"/>
      <c r="K50" s="828"/>
      <c r="L50" s="828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s">
        <v>633</v>
      </c>
      <c r="D51" s="1360"/>
      <c r="E51" s="1360"/>
      <c r="F51" s="418"/>
      <c r="G51" s="660"/>
      <c r="H51" s="880"/>
      <c r="I51" s="418"/>
      <c r="J51" s="660"/>
      <c r="K51" s="660"/>
      <c r="L51" s="660"/>
      <c r="M51" s="661"/>
      <c r="N51" s="662"/>
      <c r="O51" s="1361"/>
      <c r="P51" s="1361"/>
      <c r="Q51" s="1361"/>
      <c r="R51" s="1361"/>
      <c r="S51" s="822"/>
      <c r="V51" s="1382" t="s">
        <v>633</v>
      </c>
      <c r="W51" s="1383"/>
      <c r="X51" s="1384"/>
    </row>
    <row r="52" spans="1:24" ht="17.25" customHeight="1">
      <c r="A52" s="1126" t="s">
        <v>22</v>
      </c>
      <c r="B52" s="84" t="s">
        <v>0</v>
      </c>
      <c r="C52" s="1427" t="s">
        <v>633</v>
      </c>
      <c r="D52" s="1427"/>
      <c r="E52" s="1427"/>
      <c r="F52" s="827"/>
      <c r="G52" s="852"/>
      <c r="H52" s="815"/>
      <c r="I52" s="827"/>
      <c r="J52" s="852"/>
      <c r="K52" s="885"/>
      <c r="L52" s="885"/>
      <c r="M52" s="863"/>
      <c r="N52" s="415"/>
      <c r="O52" s="1364"/>
      <c r="P52" s="1365"/>
      <c r="Q52" s="1365"/>
      <c r="R52" s="1366"/>
      <c r="S52" s="821"/>
    </row>
    <row r="53" spans="1:24" ht="17.25" customHeight="1">
      <c r="A53" s="1127"/>
      <c r="B53" s="881" t="s">
        <v>43</v>
      </c>
      <c r="C53" s="1360" t="s">
        <v>633</v>
      </c>
      <c r="D53" s="1360"/>
      <c r="E53" s="1360"/>
      <c r="F53" s="418"/>
      <c r="G53" s="840"/>
      <c r="H53" s="880"/>
      <c r="I53" s="418"/>
      <c r="J53" s="840"/>
      <c r="K53" s="890"/>
      <c r="L53" s="890"/>
      <c r="M53" s="863"/>
      <c r="N53" s="415"/>
      <c r="O53" s="1364"/>
      <c r="P53" s="1365"/>
      <c r="Q53" s="1365"/>
      <c r="R53" s="1366"/>
      <c r="S53" s="821"/>
    </row>
    <row r="54" spans="1:24" ht="17.25" customHeight="1">
      <c r="A54" s="1428" t="s">
        <v>23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865"/>
      <c r="N54" s="662"/>
      <c r="O54" s="1364"/>
      <c r="P54" s="1365"/>
      <c r="Q54" s="1365"/>
      <c r="R54" s="1366"/>
      <c r="S54" s="822"/>
    </row>
    <row r="55" spans="1:24" ht="17.25" customHeight="1">
      <c r="A55" s="1429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865"/>
      <c r="N55" s="662"/>
      <c r="O55" s="1364"/>
      <c r="P55" s="1365"/>
      <c r="Q55" s="1365"/>
      <c r="R55" s="1366"/>
      <c r="S55" s="822"/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260" t="s">
        <v>634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7"/>
      <c r="O58" s="1430"/>
      <c r="P58" s="1431"/>
      <c r="Q58" s="1431"/>
      <c r="R58" s="1432"/>
      <c r="S58" s="822"/>
    </row>
    <row r="59" spans="1:24" ht="17.25" customHeight="1">
      <c r="A59" s="1260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7"/>
      <c r="O59" s="1430"/>
      <c r="P59" s="1431"/>
      <c r="Q59" s="1431"/>
      <c r="R59" s="1432"/>
      <c r="S59" s="822"/>
    </row>
    <row r="60" spans="1:24" ht="17.25" customHeight="1">
      <c r="A60" s="1126" t="s">
        <v>416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8"/>
      <c r="O60" s="1333"/>
      <c r="P60" s="1334"/>
      <c r="Q60" s="1334"/>
      <c r="R60" s="1335"/>
      <c r="S60" s="855"/>
    </row>
    <row r="61" spans="1:24" ht="17.25" customHeight="1">
      <c r="A61" s="1127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8"/>
      <c r="O61" s="1333"/>
      <c r="P61" s="1334"/>
      <c r="Q61" s="1334"/>
      <c r="R61" s="1335"/>
      <c r="S61" s="855"/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6" t="s">
        <v>636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21"/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21"/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>
        <f>SUM(K50:K64)</f>
        <v>0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17.25" customHeight="1">
      <c r="A67" s="1400" t="s">
        <v>25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437"/>
      <c r="P67" s="1438"/>
      <c r="Q67" s="1438"/>
      <c r="R67" s="1439"/>
      <c r="S67" s="876"/>
    </row>
    <row r="68" spans="1:79" ht="17.25" customHeight="1">
      <c r="A68" s="140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76"/>
    </row>
    <row r="69" spans="1:79" ht="17.25" customHeight="1">
      <c r="A69" s="1260" t="s">
        <v>62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437"/>
      <c r="P69" s="1438"/>
      <c r="Q69" s="1438"/>
      <c r="R69" s="1439"/>
      <c r="S69" s="861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260"/>
      <c r="B70" s="3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415"/>
      <c r="O70" s="1437"/>
      <c r="P70" s="1438"/>
      <c r="Q70" s="1438"/>
      <c r="R70" s="1439"/>
      <c r="S70" s="861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6" t="s">
        <v>640</v>
      </c>
      <c r="B71" s="84" t="s">
        <v>0</v>
      </c>
      <c r="C71" s="1427" t="s">
        <v>633</v>
      </c>
      <c r="D71" s="1427"/>
      <c r="E71" s="1427"/>
      <c r="F71" s="827"/>
      <c r="G71" s="828"/>
      <c r="H71" s="815"/>
      <c r="I71" s="827"/>
      <c r="J71" s="828"/>
      <c r="K71" s="828"/>
      <c r="L71" s="828"/>
      <c r="M71" s="659"/>
      <c r="N71" s="658"/>
      <c r="O71" s="1437"/>
      <c r="P71" s="1438"/>
      <c r="Q71" s="1438"/>
      <c r="R71" s="1439"/>
      <c r="S71" s="823"/>
    </row>
    <row r="72" spans="1:79" ht="17.25" customHeight="1">
      <c r="A72" s="1127"/>
      <c r="B72" s="881" t="s">
        <v>43</v>
      </c>
      <c r="C72" s="1360" t="s">
        <v>633</v>
      </c>
      <c r="D72" s="1360"/>
      <c r="E72" s="1360"/>
      <c r="F72" s="418"/>
      <c r="G72" s="660"/>
      <c r="H72" s="880"/>
      <c r="I72" s="418"/>
      <c r="J72" s="660"/>
      <c r="K72" s="660"/>
      <c r="L72" s="660"/>
      <c r="M72" s="659"/>
      <c r="N72" s="658"/>
      <c r="O72" s="1437"/>
      <c r="P72" s="1438"/>
      <c r="Q72" s="1438"/>
      <c r="R72" s="1439"/>
      <c r="S72" s="823"/>
    </row>
    <row r="73" spans="1:79" ht="17.25" customHeight="1">
      <c r="A73" s="1440" t="s">
        <v>26</v>
      </c>
      <c r="B73" s="84" t="s">
        <v>0</v>
      </c>
      <c r="C73" s="1427" t="s">
        <v>633</v>
      </c>
      <c r="D73" s="1427"/>
      <c r="E73" s="1427"/>
      <c r="F73" s="827"/>
      <c r="G73" s="828"/>
      <c r="H73" s="815"/>
      <c r="I73" s="827"/>
      <c r="J73" s="828"/>
      <c r="K73" s="828"/>
      <c r="L73" s="828"/>
      <c r="M73" s="842"/>
      <c r="N73" s="415"/>
      <c r="O73" s="1442"/>
      <c r="P73" s="1443"/>
      <c r="Q73" s="1443"/>
      <c r="R73" s="1444"/>
      <c r="S73" s="822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547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1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642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89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816"/>
      <c r="N80" s="415"/>
      <c r="O80" s="1437"/>
      <c r="P80" s="1438"/>
      <c r="Q80" s="1438"/>
      <c r="R80" s="1439"/>
      <c r="S80" s="82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260" t="s">
        <v>643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437"/>
      <c r="P81" s="1438"/>
      <c r="Q81" s="1438"/>
      <c r="R81" s="1439"/>
      <c r="S81" s="848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437"/>
      <c r="P82" s="1438"/>
      <c r="Q82" s="1438"/>
      <c r="R82" s="1439"/>
      <c r="S82" s="848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 t="s">
        <v>651</v>
      </c>
      <c r="B83" s="84" t="s">
        <v>0</v>
      </c>
      <c r="C83" s="1427" t="s">
        <v>633</v>
      </c>
      <c r="D83" s="1427"/>
      <c r="E83" s="1427"/>
      <c r="F83" s="827"/>
      <c r="G83" s="828"/>
      <c r="H83" s="815"/>
      <c r="I83" s="827"/>
      <c r="J83" s="828"/>
      <c r="K83" s="828"/>
      <c r="L83" s="828"/>
      <c r="M83" s="659"/>
      <c r="N83" s="415"/>
      <c r="O83" s="1437"/>
      <c r="P83" s="1438"/>
      <c r="Q83" s="1438"/>
      <c r="R83" s="1439"/>
      <c r="S83" s="82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/>
      <c r="B84" s="881" t="s">
        <v>43</v>
      </c>
      <c r="C84" s="1360" t="s">
        <v>633</v>
      </c>
      <c r="D84" s="1360"/>
      <c r="E84" s="1360"/>
      <c r="F84" s="418"/>
      <c r="G84" s="660"/>
      <c r="H84" s="880"/>
      <c r="I84" s="418"/>
      <c r="J84" s="660"/>
      <c r="K84" s="660"/>
      <c r="L84" s="660"/>
      <c r="M84" s="659"/>
      <c r="N84" s="415"/>
      <c r="O84" s="1437"/>
      <c r="P84" s="1438"/>
      <c r="Q84" s="1438"/>
      <c r="R84" s="1439"/>
      <c r="S84" s="82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>
        <f>SUM(K67:K84)</f>
        <v>0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 t="s">
        <v>851</v>
      </c>
      <c r="D87" s="1290"/>
      <c r="E87" s="1290"/>
      <c r="F87" s="1290"/>
      <c r="G87" s="1290"/>
      <c r="H87" s="849"/>
      <c r="I87" s="849"/>
      <c r="J87" s="852"/>
      <c r="K87" s="872"/>
      <c r="L87" s="873"/>
      <c r="M87" s="852"/>
      <c r="N87" s="853"/>
      <c r="O87" s="1451"/>
      <c r="P87" s="1452"/>
      <c r="Q87" s="1452"/>
      <c r="R87" s="1453"/>
      <c r="S87" s="874"/>
    </row>
    <row r="88" spans="1:79" ht="18" customHeight="1">
      <c r="A88" s="1165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8" customHeight="1">
      <c r="A89" s="1461">
        <v>402</v>
      </c>
      <c r="B89" s="84" t="s">
        <v>205</v>
      </c>
      <c r="C89" s="1290" t="s">
        <v>851</v>
      </c>
      <c r="D89" s="1290"/>
      <c r="E89" s="1290"/>
      <c r="F89" s="1290"/>
      <c r="G89" s="1290"/>
      <c r="H89" s="849"/>
      <c r="I89" s="849"/>
      <c r="J89" s="852"/>
      <c r="K89" s="872"/>
      <c r="L89" s="873"/>
      <c r="M89" s="852"/>
      <c r="N89" s="853"/>
      <c r="O89" s="1451"/>
      <c r="P89" s="1452"/>
      <c r="Q89" s="1452"/>
      <c r="R89" s="1453"/>
      <c r="S89" s="874"/>
    </row>
    <row r="90" spans="1:79" ht="18" customHeight="1">
      <c r="A90" s="1462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7.25" customHeight="1">
      <c r="A91" s="1466">
        <v>403</v>
      </c>
      <c r="B91" s="244" t="s">
        <v>0</v>
      </c>
      <c r="C91" s="1290" t="s">
        <v>851</v>
      </c>
      <c r="D91" s="1290"/>
      <c r="E91" s="1290"/>
      <c r="F91" s="1290"/>
      <c r="G91" s="1290"/>
      <c r="H91" s="849"/>
      <c r="I91" s="849"/>
      <c r="J91" s="852"/>
      <c r="K91" s="872"/>
      <c r="L91" s="852"/>
      <c r="M91" s="852"/>
      <c r="N91" s="853"/>
      <c r="O91" s="1451"/>
      <c r="P91" s="1452"/>
      <c r="Q91" s="1452"/>
      <c r="R91" s="1453"/>
      <c r="S91" s="874"/>
    </row>
    <row r="92" spans="1:79" ht="17.25" customHeight="1">
      <c r="A92" s="1467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40"/>
      <c r="M92" s="840"/>
      <c r="N92" s="672"/>
      <c r="O92" s="1455"/>
      <c r="P92" s="1456"/>
      <c r="Q92" s="1456"/>
      <c r="R92" s="1457"/>
      <c r="S92" s="810"/>
    </row>
    <row r="93" spans="1:79" ht="18" customHeight="1">
      <c r="A93" s="1199">
        <v>405</v>
      </c>
      <c r="B93" s="84" t="s">
        <v>0</v>
      </c>
      <c r="C93" s="1290" t="s">
        <v>851</v>
      </c>
      <c r="D93" s="1290"/>
      <c r="E93" s="1290"/>
      <c r="F93" s="1290"/>
      <c r="G93" s="1290"/>
      <c r="H93" s="849"/>
      <c r="I93" s="849"/>
      <c r="J93" s="852"/>
      <c r="K93" s="872"/>
      <c r="L93" s="852"/>
      <c r="M93" s="852"/>
      <c r="N93" s="853"/>
      <c r="O93" s="1451"/>
      <c r="P93" s="1452"/>
      <c r="Q93" s="1452"/>
      <c r="R93" s="1453"/>
      <c r="S93" s="874"/>
    </row>
    <row r="94" spans="1:79" ht="18" customHeight="1">
      <c r="A94" s="1165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314"/>
      <c r="B95" s="841"/>
      <c r="C95" s="1458"/>
      <c r="D95" s="1459"/>
      <c r="E95" s="1459"/>
      <c r="F95" s="1459"/>
      <c r="G95" s="1460"/>
      <c r="H95" s="849"/>
      <c r="I95" s="849"/>
      <c r="J95" s="834" t="s">
        <v>666</v>
      </c>
      <c r="K95" s="835">
        <f>SUM(K87:K94)</f>
        <v>0</v>
      </c>
      <c r="L95" s="852"/>
      <c r="M95" s="852"/>
      <c r="N95" s="853"/>
      <c r="O95" s="886"/>
      <c r="P95" s="887"/>
      <c r="Q95" s="887"/>
      <c r="R95" s="888"/>
      <c r="S95" s="854"/>
    </row>
    <row r="96" spans="1:79" s="76" customFormat="1" ht="31.7" hidden="1" customHeight="1">
      <c r="A96" s="400" t="s">
        <v>425</v>
      </c>
      <c r="B96" s="400" t="s">
        <v>193</v>
      </c>
      <c r="C96" s="1282" t="e">
        <f>[1]印403!J91</f>
        <v>#REF!</v>
      </c>
      <c r="D96" s="1283"/>
      <c r="E96" s="1283"/>
      <c r="F96" s="1283"/>
      <c r="G96" s="1468"/>
      <c r="H96" s="242" t="s">
        <v>216</v>
      </c>
      <c r="I96" s="242" t="s">
        <v>12</v>
      </c>
      <c r="J96" s="242" t="s">
        <v>13</v>
      </c>
      <c r="K96" s="405" t="s">
        <v>218</v>
      </c>
      <c r="L96" s="427" t="s">
        <v>60</v>
      </c>
      <c r="M96" s="399" t="e">
        <f>[1]印403!O90</f>
        <v>#REF!</v>
      </c>
      <c r="N96" s="257" t="s">
        <v>45</v>
      </c>
      <c r="O96" s="1448" t="s">
        <v>29</v>
      </c>
      <c r="P96" s="1449"/>
      <c r="Q96" s="1449"/>
      <c r="R96" s="1450"/>
      <c r="S96" s="417" t="s">
        <v>57</v>
      </c>
    </row>
    <row r="97" spans="1:19" ht="15" hidden="1" customHeight="1">
      <c r="A97" s="1199" t="s">
        <v>426</v>
      </c>
      <c r="B97" s="84" t="s">
        <v>205</v>
      </c>
      <c r="C97" s="1282" t="e">
        <f>[1]印403!J92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[1]印403!O91</f>
        <v>#REF!</v>
      </c>
      <c r="N97" s="399"/>
      <c r="O97" s="1469"/>
      <c r="P97" s="1245"/>
      <c r="Q97" s="1245"/>
      <c r="R97" s="1246"/>
      <c r="S97" s="1470"/>
    </row>
    <row r="98" spans="1:19" ht="13.7" hidden="1" customHeight="1">
      <c r="A98" s="1216"/>
      <c r="B98" s="84" t="s">
        <v>205</v>
      </c>
      <c r="C98" s="1282" t="e">
        <f>[1]印403!J93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[1]印403!O92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[1]印403!J94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[1]印403!O93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[1]印403!J95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[1]印403!O94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[1]印403!J96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[1]印403!O95</f>
        <v>#REF!</v>
      </c>
      <c r="N101" s="425"/>
      <c r="O101" s="669"/>
      <c r="P101" s="670"/>
      <c r="Q101" s="670"/>
      <c r="R101" s="671"/>
      <c r="S101" s="1471"/>
    </row>
    <row r="102" spans="1:19" ht="16.5" hidden="1" customHeight="1">
      <c r="A102" s="1216"/>
      <c r="B102" s="881" t="s">
        <v>43</v>
      </c>
      <c r="C102" s="1282" t="e">
        <f>[1]印403!J97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[1]印403!O96</f>
        <v>#REF!</v>
      </c>
      <c r="N102" s="672"/>
      <c r="O102" s="1476"/>
      <c r="P102" s="1477"/>
      <c r="Q102" s="1477"/>
      <c r="R102" s="1478"/>
      <c r="S102" s="1485"/>
    </row>
    <row r="103" spans="1:19" ht="15" hidden="1" customHeight="1">
      <c r="A103" s="1216"/>
      <c r="B103" s="881" t="s">
        <v>43</v>
      </c>
      <c r="C103" s="1282" t="e">
        <f>[1]印403!J98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[1]印403!O97</f>
        <v>#REF!</v>
      </c>
      <c r="N103" s="672"/>
      <c r="O103" s="1479"/>
      <c r="P103" s="1480"/>
      <c r="Q103" s="1480"/>
      <c r="R103" s="1481"/>
      <c r="S103" s="1485"/>
    </row>
    <row r="104" spans="1:19" ht="15" hidden="1" customHeight="1">
      <c r="A104" s="1216"/>
      <c r="B104" s="881" t="s">
        <v>43</v>
      </c>
      <c r="C104" s="1282" t="e">
        <f>[1]印403!J99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[1]印403!O98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165"/>
      <c r="B105" s="881" t="s">
        <v>43</v>
      </c>
      <c r="C105" s="1282" t="e">
        <f>[1]印403!J100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[1]印403!O99</f>
        <v>#REF!</v>
      </c>
      <c r="N105" s="672"/>
      <c r="O105" s="1482"/>
      <c r="P105" s="1483"/>
      <c r="Q105" s="1483"/>
      <c r="R105" s="1484"/>
      <c r="S105" s="1486"/>
    </row>
    <row r="106" spans="1:19" ht="6" customHeight="1">
      <c r="A106" s="248"/>
      <c r="C106" s="249"/>
    </row>
    <row r="107" spans="1:19" ht="6" customHeight="1" thickBot="1">
      <c r="A107" s="248"/>
      <c r="C107" s="249"/>
    </row>
    <row r="108" spans="1:19" ht="15" customHeight="1" thickTop="1">
      <c r="A108" s="1472" t="s">
        <v>30</v>
      </c>
      <c r="B108" s="1473"/>
      <c r="C108" s="1473"/>
      <c r="D108" s="1473"/>
      <c r="E108" s="376">
        <v>300400</v>
      </c>
      <c r="F108" s="75" t="s">
        <v>64</v>
      </c>
      <c r="G108" s="1472" t="s">
        <v>31</v>
      </c>
      <c r="H108" s="1473"/>
      <c r="I108" s="1473"/>
      <c r="J108" s="1473"/>
      <c r="K108" s="1473"/>
      <c r="L108" s="377">
        <v>160000</v>
      </c>
      <c r="M108" s="75" t="s">
        <v>64</v>
      </c>
      <c r="N108" s="1472" t="s">
        <v>32</v>
      </c>
      <c r="O108" s="1473"/>
      <c r="P108" s="1473"/>
      <c r="Q108" s="377">
        <v>408000</v>
      </c>
      <c r="R108" s="75" t="s">
        <v>64</v>
      </c>
      <c r="S108" s="75"/>
    </row>
    <row r="109" spans="1:19" ht="15" customHeight="1" thickBot="1">
      <c r="A109" s="1474" t="s">
        <v>66</v>
      </c>
      <c r="B109" s="1475"/>
      <c r="C109" s="1475"/>
      <c r="D109" s="1475"/>
      <c r="E109" s="674">
        <v>0</v>
      </c>
      <c r="G109" s="1474" t="s">
        <v>66</v>
      </c>
      <c r="H109" s="1475"/>
      <c r="I109" s="1475"/>
      <c r="J109" s="1475"/>
      <c r="K109" s="1475"/>
      <c r="L109" s="674">
        <v>0</v>
      </c>
      <c r="N109" s="1474" t="s">
        <v>33</v>
      </c>
      <c r="O109" s="1475"/>
      <c r="P109" s="1475"/>
      <c r="Q109" s="674">
        <v>0</v>
      </c>
      <c r="R109" s="75"/>
      <c r="S109" s="75"/>
    </row>
    <row r="110" spans="1:19" ht="15" customHeight="1" thickTop="1" thickBot="1">
      <c r="A110" s="1487" t="s">
        <v>34</v>
      </c>
      <c r="B110" s="1488"/>
      <c r="C110" s="1488"/>
      <c r="D110" s="1488"/>
      <c r="E110" s="378">
        <f>E108+E109</f>
        <v>300400</v>
      </c>
      <c r="F110" s="75" t="s">
        <v>64</v>
      </c>
      <c r="G110" s="1487" t="s">
        <v>35</v>
      </c>
      <c r="H110" s="1488"/>
      <c r="I110" s="1488"/>
      <c r="J110" s="1488"/>
      <c r="K110" s="1488"/>
      <c r="L110" s="379">
        <f>L108+L109</f>
        <v>160000</v>
      </c>
      <c r="M110" s="75" t="s">
        <v>64</v>
      </c>
      <c r="N110" s="1487" t="s">
        <v>36</v>
      </c>
      <c r="O110" s="1488"/>
      <c r="P110" s="1488"/>
      <c r="Q110" s="379">
        <f>Q108+Q109</f>
        <v>408000</v>
      </c>
      <c r="R110" s="75" t="s">
        <v>64</v>
      </c>
      <c r="S110" s="75"/>
    </row>
    <row r="111" spans="1:19" ht="15" customHeight="1" thickTop="1" thickBot="1">
      <c r="E111" s="252">
        <f>印401!M64</f>
        <v>0</v>
      </c>
      <c r="L111" s="675" t="e">
        <f>#REF!</f>
        <v>#REF!</v>
      </c>
      <c r="O111" s="75"/>
      <c r="P111" s="75"/>
      <c r="Q111" s="675" t="e">
        <f>#REF!</f>
        <v>#REF!</v>
      </c>
      <c r="R111" s="75"/>
      <c r="S111" s="75"/>
    </row>
    <row r="112" spans="1:19" ht="15" customHeight="1" thickBot="1">
      <c r="A112" s="676" t="s">
        <v>37</v>
      </c>
      <c r="B112" s="677"/>
      <c r="C112" s="677"/>
      <c r="D112" s="678"/>
      <c r="E112" s="253">
        <f>印401!P64</f>
        <v>0</v>
      </c>
      <c r="F112" s="75" t="s">
        <v>64</v>
      </c>
      <c r="G112" s="676" t="s">
        <v>38</v>
      </c>
      <c r="H112" s="677"/>
      <c r="I112" s="677"/>
      <c r="J112" s="677"/>
      <c r="K112" s="677"/>
      <c r="L112" s="384" t="e">
        <f>#REF!</f>
        <v>#REF!</v>
      </c>
      <c r="M112" s="75" t="s">
        <v>64</v>
      </c>
      <c r="N112" s="676" t="s">
        <v>39</v>
      </c>
      <c r="O112" s="677"/>
      <c r="P112" s="677"/>
      <c r="Q112" s="384" t="e">
        <f>#REF!</f>
        <v>#REF!</v>
      </c>
      <c r="R112" s="75" t="s">
        <v>64</v>
      </c>
      <c r="S112" s="75"/>
    </row>
    <row r="113" spans="2:20" ht="3" customHeight="1" thickBot="1">
      <c r="J113" s="255"/>
      <c r="K113" s="256"/>
    </row>
    <row r="114" spans="2:20" ht="15" customHeight="1" thickTop="1">
      <c r="B114" s="1509" t="s">
        <v>69</v>
      </c>
      <c r="C114" s="1510"/>
      <c r="D114" s="1511" t="s">
        <v>305</v>
      </c>
      <c r="E114" s="1512"/>
      <c r="F114" s="1489" t="s">
        <v>306</v>
      </c>
      <c r="G114" s="1490"/>
      <c r="H114" s="1491" t="s">
        <v>307</v>
      </c>
      <c r="I114" s="1492"/>
      <c r="J114" s="1492"/>
      <c r="K114" s="1493"/>
      <c r="L114" s="1472" t="s">
        <v>657</v>
      </c>
      <c r="M114" s="1473"/>
      <c r="N114" s="1473"/>
      <c r="O114" s="377">
        <v>1036000</v>
      </c>
      <c r="P114" s="75" t="s">
        <v>64</v>
      </c>
      <c r="Q114" s="1496" t="s">
        <v>65</v>
      </c>
      <c r="R114" s="1497"/>
      <c r="S114" s="385">
        <v>9300445</v>
      </c>
    </row>
    <row r="115" spans="2:20" ht="15" customHeight="1" thickBot="1">
      <c r="B115" s="1498" t="s">
        <v>308</v>
      </c>
      <c r="C115" s="1499"/>
      <c r="D115" s="1500" t="e">
        <f>總表!D20</f>
        <v>#REF!</v>
      </c>
      <c r="E115" s="1501"/>
      <c r="F115" s="1502">
        <f>總表!E20</f>
        <v>1316871</v>
      </c>
      <c r="G115" s="1503"/>
      <c r="H115" s="1504" t="e">
        <f>(D115-F115)/D115</f>
        <v>#REF!</v>
      </c>
      <c r="I115" s="1505"/>
      <c r="J115" s="1505"/>
      <c r="K115" s="1506"/>
      <c r="L115" s="1474" t="s">
        <v>33</v>
      </c>
      <c r="M115" s="1475"/>
      <c r="N115" s="1475"/>
      <c r="O115" s="674">
        <v>0</v>
      </c>
      <c r="P115" s="75"/>
      <c r="Q115" s="1507" t="s">
        <v>67</v>
      </c>
      <c r="R115" s="1508"/>
      <c r="S115" s="386">
        <f>SUM(L50:L84,L87:L94)</f>
        <v>0</v>
      </c>
    </row>
    <row r="116" spans="2:20" ht="15" customHeight="1" thickTop="1" thickBot="1">
      <c r="B116" s="1513" t="s">
        <v>309</v>
      </c>
      <c r="C116" s="1514"/>
      <c r="D116" s="1515" t="e">
        <f>總表!C43</f>
        <v>#REF!</v>
      </c>
      <c r="E116" s="1516"/>
      <c r="F116" s="1502" t="e">
        <f>總表!F43</f>
        <v>#REF!</v>
      </c>
      <c r="G116" s="1503"/>
      <c r="H116" s="1504" t="e">
        <f>(D116-F116)/D116</f>
        <v>#REF!</v>
      </c>
      <c r="I116" s="1505"/>
      <c r="J116" s="1505"/>
      <c r="K116" s="1506"/>
      <c r="L116" s="1487" t="s">
        <v>658</v>
      </c>
      <c r="M116" s="1488"/>
      <c r="N116" s="1488"/>
      <c r="O116" s="379">
        <f>O114+O115</f>
        <v>1036000</v>
      </c>
      <c r="P116" s="75" t="s">
        <v>64</v>
      </c>
      <c r="Q116" s="1494" t="s">
        <v>68</v>
      </c>
      <c r="R116" s="1495"/>
      <c r="S116" s="387">
        <f>S114+S115</f>
        <v>9300445</v>
      </c>
    </row>
    <row r="117" spans="2:20" ht="14.1" customHeight="1" thickTop="1" thickBot="1">
      <c r="B117" s="250" t="s">
        <v>310</v>
      </c>
      <c r="C117" s="250"/>
      <c r="D117" s="250"/>
      <c r="E117" s="233"/>
      <c r="O117" s="675" t="e">
        <f>#REF!</f>
        <v>#REF!</v>
      </c>
      <c r="P117" s="75"/>
      <c r="Q117" s="75"/>
      <c r="R117" s="254" t="e">
        <f>總表!E43+總表!E52</f>
        <v>#REF!</v>
      </c>
      <c r="S117" s="254" t="e">
        <f>R117-S116</f>
        <v>#REF!</v>
      </c>
    </row>
    <row r="118" spans="2:20" ht="17.25" customHeight="1" thickBot="1">
      <c r="B118" s="250" t="s">
        <v>40</v>
      </c>
      <c r="C118" s="233"/>
      <c r="D118" s="233"/>
      <c r="E118" s="233"/>
      <c r="F118" s="233"/>
      <c r="L118" s="676" t="s">
        <v>659</v>
      </c>
      <c r="M118" s="677"/>
      <c r="N118" s="677"/>
      <c r="O118" s="384" t="e">
        <f>#REF!</f>
        <v>#REF!</v>
      </c>
      <c r="P118" s="75" t="s">
        <v>64</v>
      </c>
      <c r="T118" s="233"/>
    </row>
    <row r="119" spans="2:20" ht="15.75" customHeight="1">
      <c r="B119" s="75" t="s">
        <v>41</v>
      </c>
      <c r="N119" s="233"/>
      <c r="S119" s="75"/>
    </row>
  </sheetData>
  <mergeCells count="286">
    <mergeCell ref="S21:S22"/>
    <mergeCell ref="S12:S13"/>
    <mergeCell ref="A18:A19"/>
    <mergeCell ref="G18:I18"/>
    <mergeCell ref="K18:M18"/>
    <mergeCell ref="O18:R18"/>
    <mergeCell ref="G19:I19"/>
    <mergeCell ref="K19:M19"/>
    <mergeCell ref="O19:R19"/>
    <mergeCell ref="K21:M22"/>
    <mergeCell ref="A14:A15"/>
    <mergeCell ref="G14:I14"/>
    <mergeCell ref="K14:M14"/>
    <mergeCell ref="O14:R14"/>
    <mergeCell ref="G15:I15"/>
    <mergeCell ref="K15:M15"/>
    <mergeCell ref="O15:R15"/>
    <mergeCell ref="O10:R10"/>
    <mergeCell ref="A9:A10"/>
    <mergeCell ref="G11:I11"/>
    <mergeCell ref="K11:M11"/>
    <mergeCell ref="O11:R11"/>
    <mergeCell ref="A11:A13"/>
    <mergeCell ref="K12:M13"/>
    <mergeCell ref="G12:I12"/>
    <mergeCell ref="O12:R12"/>
    <mergeCell ref="G13:I13"/>
    <mergeCell ref="O13:R13"/>
    <mergeCell ref="K7:M7"/>
    <mergeCell ref="O7:R7"/>
    <mergeCell ref="G8:I8"/>
    <mergeCell ref="K8:M8"/>
    <mergeCell ref="O8:R8"/>
    <mergeCell ref="B116:C116"/>
    <mergeCell ref="D116:E116"/>
    <mergeCell ref="F116:G116"/>
    <mergeCell ref="H116:K116"/>
    <mergeCell ref="L116:N116"/>
    <mergeCell ref="Q116:R116"/>
    <mergeCell ref="Q114:R114"/>
    <mergeCell ref="B115:C115"/>
    <mergeCell ref="D115:E115"/>
    <mergeCell ref="F115:G115"/>
    <mergeCell ref="H115:K115"/>
    <mergeCell ref="L115:N115"/>
    <mergeCell ref="Q115:R115"/>
    <mergeCell ref="A110:D110"/>
    <mergeCell ref="G110:K110"/>
    <mergeCell ref="N110:P110"/>
    <mergeCell ref="B114:C114"/>
    <mergeCell ref="G10:I10"/>
    <mergeCell ref="K10:M10"/>
    <mergeCell ref="D114:E114"/>
    <mergeCell ref="F114:G114"/>
    <mergeCell ref="H114:K114"/>
    <mergeCell ref="L114:N114"/>
    <mergeCell ref="A108:D108"/>
    <mergeCell ref="G108:K108"/>
    <mergeCell ref="N108:P108"/>
    <mergeCell ref="A109:D109"/>
    <mergeCell ref="G109:K109"/>
    <mergeCell ref="N109:P109"/>
    <mergeCell ref="S97:S101"/>
    <mergeCell ref="C98:G98"/>
    <mergeCell ref="C99:G99"/>
    <mergeCell ref="C100:G100"/>
    <mergeCell ref="C101:G101"/>
    <mergeCell ref="C102:G102"/>
    <mergeCell ref="O102:R105"/>
    <mergeCell ref="S102:S105"/>
    <mergeCell ref="C103:G103"/>
    <mergeCell ref="C104:G104"/>
    <mergeCell ref="C95:G95"/>
    <mergeCell ref="C96:G96"/>
    <mergeCell ref="O96:R96"/>
    <mergeCell ref="A97:A105"/>
    <mergeCell ref="C97:G97"/>
    <mergeCell ref="O97:R97"/>
    <mergeCell ref="C105:G105"/>
    <mergeCell ref="A93:A94"/>
    <mergeCell ref="C93:G93"/>
    <mergeCell ref="O93:R93"/>
    <mergeCell ref="C94:G94"/>
    <mergeCell ref="O94:R94"/>
    <mergeCell ref="A89:A90"/>
    <mergeCell ref="C89:G89"/>
    <mergeCell ref="O89:R89"/>
    <mergeCell ref="C90:G90"/>
    <mergeCell ref="O90:R90"/>
    <mergeCell ref="A91:A92"/>
    <mergeCell ref="C91:G91"/>
    <mergeCell ref="O91:R91"/>
    <mergeCell ref="C92:G92"/>
    <mergeCell ref="O92:R92"/>
    <mergeCell ref="C86:G86"/>
    <mergeCell ref="O86:R86"/>
    <mergeCell ref="A87:A88"/>
    <mergeCell ref="C87:G87"/>
    <mergeCell ref="O87:R87"/>
    <mergeCell ref="C88:G88"/>
    <mergeCell ref="O88:R88"/>
    <mergeCell ref="A83:A84"/>
    <mergeCell ref="C83:E83"/>
    <mergeCell ref="O83:R83"/>
    <mergeCell ref="C84:E84"/>
    <mergeCell ref="O84:R84"/>
    <mergeCell ref="O85:R85"/>
    <mergeCell ref="A79:A80"/>
    <mergeCell ref="C79:E79"/>
    <mergeCell ref="O79:R79"/>
    <mergeCell ref="C80:E80"/>
    <mergeCell ref="O80:R80"/>
    <mergeCell ref="A81:A82"/>
    <mergeCell ref="C81:E81"/>
    <mergeCell ref="O81:R81"/>
    <mergeCell ref="C82:E82"/>
    <mergeCell ref="O82:R82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1:A72"/>
    <mergeCell ref="C71:E71"/>
    <mergeCell ref="O71:R71"/>
    <mergeCell ref="C72:E72"/>
    <mergeCell ref="O72:R72"/>
    <mergeCell ref="A73:A74"/>
    <mergeCell ref="C73:E73"/>
    <mergeCell ref="O73:R73"/>
    <mergeCell ref="C74:E74"/>
    <mergeCell ref="O74:R74"/>
    <mergeCell ref="A67:A68"/>
    <mergeCell ref="C67:E67"/>
    <mergeCell ref="O67:R67"/>
    <mergeCell ref="C68:E68"/>
    <mergeCell ref="O68:R68"/>
    <mergeCell ref="A69:A70"/>
    <mergeCell ref="C69:E69"/>
    <mergeCell ref="O69:R69"/>
    <mergeCell ref="C70:E70"/>
    <mergeCell ref="O70:R70"/>
    <mergeCell ref="A64:A65"/>
    <mergeCell ref="C64:E64"/>
    <mergeCell ref="O64:R64"/>
    <mergeCell ref="C65:E65"/>
    <mergeCell ref="O65:R65"/>
    <mergeCell ref="O66:R66"/>
    <mergeCell ref="A60:A61"/>
    <mergeCell ref="C60:E60"/>
    <mergeCell ref="O60:R60"/>
    <mergeCell ref="C61:E61"/>
    <mergeCell ref="O61:R61"/>
    <mergeCell ref="A62:A63"/>
    <mergeCell ref="C62:E62"/>
    <mergeCell ref="O62:R62"/>
    <mergeCell ref="C63:E63"/>
    <mergeCell ref="O63:R63"/>
    <mergeCell ref="A56:A57"/>
    <mergeCell ref="C56:E56"/>
    <mergeCell ref="O56:R56"/>
    <mergeCell ref="C57:E57"/>
    <mergeCell ref="O57:R57"/>
    <mergeCell ref="A58:A59"/>
    <mergeCell ref="C58:E58"/>
    <mergeCell ref="O58:R58"/>
    <mergeCell ref="C59:E59"/>
    <mergeCell ref="O59:R59"/>
    <mergeCell ref="A52:A53"/>
    <mergeCell ref="C52:E52"/>
    <mergeCell ref="O52:R52"/>
    <mergeCell ref="C53:E53"/>
    <mergeCell ref="O53:R53"/>
    <mergeCell ref="A54:A55"/>
    <mergeCell ref="C54:E54"/>
    <mergeCell ref="O54:R54"/>
    <mergeCell ref="C55:E55"/>
    <mergeCell ref="O55:R55"/>
    <mergeCell ref="A50:A51"/>
    <mergeCell ref="C50:E50"/>
    <mergeCell ref="O50:R50"/>
    <mergeCell ref="V50:X50"/>
    <mergeCell ref="C51:E51"/>
    <mergeCell ref="O51:R51"/>
    <mergeCell ref="V51:X51"/>
    <mergeCell ref="C47:E47"/>
    <mergeCell ref="M47:M49"/>
    <mergeCell ref="O47:R49"/>
    <mergeCell ref="S47:S49"/>
    <mergeCell ref="C48:E48"/>
    <mergeCell ref="C49:E49"/>
    <mergeCell ref="C37:E37"/>
    <mergeCell ref="S41:S43"/>
    <mergeCell ref="C42:E42"/>
    <mergeCell ref="C43:E43"/>
    <mergeCell ref="A44:A49"/>
    <mergeCell ref="C44:E44"/>
    <mergeCell ref="M44:M46"/>
    <mergeCell ref="O44:R46"/>
    <mergeCell ref="S44:S46"/>
    <mergeCell ref="C45:E45"/>
    <mergeCell ref="C46:E46"/>
    <mergeCell ref="A38:A43"/>
    <mergeCell ref="C38:E38"/>
    <mergeCell ref="M38:M40"/>
    <mergeCell ref="O38:R40"/>
    <mergeCell ref="S38:S40"/>
    <mergeCell ref="C39:E39"/>
    <mergeCell ref="C40:E40"/>
    <mergeCell ref="C41:E41"/>
    <mergeCell ref="M41:M43"/>
    <mergeCell ref="O41:R43"/>
    <mergeCell ref="C30:E30"/>
    <mergeCell ref="O30:R30"/>
    <mergeCell ref="A31:A37"/>
    <mergeCell ref="C31:E31"/>
    <mergeCell ref="M31:M33"/>
    <mergeCell ref="O31:R33"/>
    <mergeCell ref="S24:S26"/>
    <mergeCell ref="G25:I25"/>
    <mergeCell ref="G26:I26"/>
    <mergeCell ref="G27:I27"/>
    <mergeCell ref="K27:M29"/>
    <mergeCell ref="O27:R29"/>
    <mergeCell ref="S27:S29"/>
    <mergeCell ref="G28:I28"/>
    <mergeCell ref="G29:I29"/>
    <mergeCell ref="S31:S33"/>
    <mergeCell ref="C32:E32"/>
    <mergeCell ref="C33:E33"/>
    <mergeCell ref="C34:E34"/>
    <mergeCell ref="M34:M37"/>
    <mergeCell ref="O34:R37"/>
    <mergeCell ref="S34:S37"/>
    <mergeCell ref="C35:E35"/>
    <mergeCell ref="C36:E36"/>
    <mergeCell ref="K23:M23"/>
    <mergeCell ref="O23:R23"/>
    <mergeCell ref="A24:A29"/>
    <mergeCell ref="G24:I24"/>
    <mergeCell ref="K24:M26"/>
    <mergeCell ref="O24:R26"/>
    <mergeCell ref="A16:A17"/>
    <mergeCell ref="G16:I16"/>
    <mergeCell ref="K16:M16"/>
    <mergeCell ref="O16:R16"/>
    <mergeCell ref="G17:I17"/>
    <mergeCell ref="K17:M17"/>
    <mergeCell ref="O17:R17"/>
    <mergeCell ref="G20:I20"/>
    <mergeCell ref="K20:M20"/>
    <mergeCell ref="O20:R20"/>
    <mergeCell ref="G21:I21"/>
    <mergeCell ref="O21:R21"/>
    <mergeCell ref="A20:A22"/>
    <mergeCell ref="G22:I22"/>
    <mergeCell ref="O22:R22"/>
    <mergeCell ref="G6:I6"/>
    <mergeCell ref="K6:M6"/>
    <mergeCell ref="O6:R6"/>
    <mergeCell ref="G9:I9"/>
    <mergeCell ref="K9:M9"/>
    <mergeCell ref="O9:R9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A7:A8"/>
    <mergeCell ref="G7:I7"/>
  </mergeCells>
  <phoneticPr fontId="26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A123"/>
  <sheetViews>
    <sheetView topLeftCell="A75" workbookViewId="0">
      <selection activeCell="C92" sqref="C92:G92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855</v>
      </c>
      <c r="R2" s="1320"/>
      <c r="S2" s="642" t="s">
        <v>801</v>
      </c>
    </row>
    <row r="3" spans="1:23" ht="80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857</v>
      </c>
      <c r="O3" s="1319"/>
      <c r="P3" s="1320"/>
      <c r="Q3" s="1318" t="s">
        <v>858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45236</v>
      </c>
      <c r="D5" s="419" t="s">
        <v>852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>
        <v>1.2</v>
      </c>
      <c r="E7" s="856">
        <v>715</v>
      </c>
      <c r="F7" s="858">
        <f>'101'!O14</f>
        <v>500</v>
      </c>
      <c r="G7" s="1342">
        <f>'101'!K14</f>
        <v>6032</v>
      </c>
      <c r="H7" s="1343"/>
      <c r="I7" s="1344"/>
      <c r="J7" s="859">
        <f>'101'!L14</f>
        <v>0</v>
      </c>
      <c r="K7" s="1345">
        <f>'101'!P14</f>
        <v>1.0053333333333334</v>
      </c>
      <c r="L7" s="1346"/>
      <c r="M7" s="1347"/>
      <c r="N7" s="820">
        <f>J7/(G7+J7)</f>
        <v>0</v>
      </c>
      <c r="O7" s="1348" t="str">
        <f>'101'!U14</f>
        <v>19:45最後一支交接班</v>
      </c>
      <c r="P7" s="1349"/>
      <c r="Q7" s="1349"/>
      <c r="R7" s="1350"/>
      <c r="S7" s="875" t="str">
        <f>'101'!V14</f>
        <v>阮明演</v>
      </c>
    </row>
    <row r="8" spans="1:23" s="76" customFormat="1" ht="17.25" customHeight="1">
      <c r="A8" s="1548"/>
      <c r="B8" s="881" t="s">
        <v>43</v>
      </c>
      <c r="C8" s="824" t="s">
        <v>42</v>
      </c>
      <c r="D8" s="421">
        <v>1.2</v>
      </c>
      <c r="E8" s="646">
        <v>715</v>
      </c>
      <c r="F8" s="825">
        <f>'101'!O15</f>
        <v>500</v>
      </c>
      <c r="G8" s="1351">
        <f>'101'!K15</f>
        <v>6023</v>
      </c>
      <c r="H8" s="1352"/>
      <c r="I8" s="1353"/>
      <c r="J8" s="826">
        <f>'101'!L15</f>
        <v>0</v>
      </c>
      <c r="K8" s="1345">
        <f>'101'!P15</f>
        <v>1.0038333333333334</v>
      </c>
      <c r="L8" s="1346"/>
      <c r="M8" s="1347"/>
      <c r="N8" s="820">
        <f>J8/(G8+J8)</f>
        <v>0</v>
      </c>
      <c r="O8" s="1348" t="str">
        <f>'101'!U15</f>
        <v>08:05最後一支交接班</v>
      </c>
      <c r="P8" s="1349"/>
      <c r="Q8" s="1349"/>
      <c r="R8" s="1350"/>
      <c r="S8" s="875" t="str">
        <f>'101'!V15</f>
        <v>阮宏山</v>
      </c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308"/>
      <c r="P9" s="1309"/>
      <c r="Q9" s="1309"/>
      <c r="R9" s="1310"/>
      <c r="S9" s="878"/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314"/>
      <c r="L10" s="1315"/>
      <c r="M10" s="1316"/>
      <c r="N10" s="820"/>
      <c r="O10" s="1308"/>
      <c r="P10" s="1309"/>
      <c r="Q10" s="1309"/>
      <c r="R10" s="1310"/>
      <c r="S10" s="878"/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0.25</v>
      </c>
      <c r="E11" s="815">
        <v>840</v>
      </c>
      <c r="F11" s="815">
        <f>'103'!O17</f>
        <v>350</v>
      </c>
      <c r="G11" s="1311">
        <f>'103'!K17</f>
        <v>4041</v>
      </c>
      <c r="H11" s="1312"/>
      <c r="I11" s="1313"/>
      <c r="J11" s="814">
        <f>'103'!L17</f>
        <v>0</v>
      </c>
      <c r="K11" s="1314">
        <f>'103'!P17</f>
        <v>0.96214285714285719</v>
      </c>
      <c r="L11" s="1315"/>
      <c r="M11" s="1316"/>
      <c r="N11" s="820">
        <f>J11/(G11+J11)</f>
        <v>0</v>
      </c>
      <c r="O11" s="1308" t="str">
        <f>'103'!U17</f>
        <v>19:50最後一支交接班</v>
      </c>
      <c r="P11" s="1309"/>
      <c r="Q11" s="1309"/>
      <c r="R11" s="1310"/>
      <c r="S11" s="822" t="str">
        <f>'103'!V17</f>
        <v>史豐銘</v>
      </c>
    </row>
    <row r="12" spans="1:23" ht="17.25" customHeight="1">
      <c r="A12" s="1336"/>
      <c r="B12" s="881" t="s">
        <v>207</v>
      </c>
      <c r="C12" s="422" t="s">
        <v>42</v>
      </c>
      <c r="D12" s="421">
        <v>0.25</v>
      </c>
      <c r="E12" s="880">
        <v>840</v>
      </c>
      <c r="F12" s="880">
        <f>'103'!O18</f>
        <v>350</v>
      </c>
      <c r="G12" s="1327">
        <f>'103'!K18</f>
        <v>1005</v>
      </c>
      <c r="H12" s="1328"/>
      <c r="I12" s="1329"/>
      <c r="J12" s="423">
        <f>'103'!L18</f>
        <v>0</v>
      </c>
      <c r="K12" s="1524">
        <f>'103'!P18+'103'!P19</f>
        <v>0.95714285714285718</v>
      </c>
      <c r="L12" s="1525"/>
      <c r="M12" s="1526"/>
      <c r="N12" s="820">
        <f>J12/(G12+J12)</f>
        <v>0</v>
      </c>
      <c r="O12" s="1521" t="str">
        <f>'103'!U18</f>
        <v>22:35-22:40改規格0.36*870,無損耗</v>
      </c>
      <c r="P12" s="1522"/>
      <c r="Q12" s="1522"/>
      <c r="R12" s="1523"/>
      <c r="S12" s="1517" t="str">
        <f>'103'!V18</f>
        <v>阮功體</v>
      </c>
    </row>
    <row r="13" spans="1:23" ht="17.25" customHeight="1">
      <c r="A13" s="1326"/>
      <c r="B13" s="881" t="s">
        <v>207</v>
      </c>
      <c r="C13" s="422" t="s">
        <v>42</v>
      </c>
      <c r="D13" s="421">
        <v>0.36</v>
      </c>
      <c r="E13" s="880">
        <v>870</v>
      </c>
      <c r="F13" s="880">
        <f>'103'!O19</f>
        <v>350</v>
      </c>
      <c r="G13" s="1327">
        <f>'103'!K19</f>
        <v>3015</v>
      </c>
      <c r="H13" s="1328"/>
      <c r="I13" s="1329"/>
      <c r="J13" s="423">
        <f>'103'!L19</f>
        <v>0</v>
      </c>
      <c r="K13" s="1527"/>
      <c r="L13" s="1528"/>
      <c r="M13" s="1529"/>
      <c r="N13" s="820">
        <f>J13/(G13+J13)</f>
        <v>0</v>
      </c>
      <c r="O13" s="1530" t="str">
        <f>'103'!U19</f>
        <v>08:05最後一支交接班</v>
      </c>
      <c r="P13" s="1531"/>
      <c r="Q13" s="1531"/>
      <c r="R13" s="1532"/>
      <c r="S13" s="1518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649" t="s">
        <v>633</v>
      </c>
      <c r="E16" s="815"/>
      <c r="F16" s="815"/>
      <c r="G16" s="1311"/>
      <c r="H16" s="1312"/>
      <c r="I16" s="1313"/>
      <c r="J16" s="814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102"/>
      <c r="B17" s="881" t="s">
        <v>43</v>
      </c>
      <c r="C17" s="422" t="s">
        <v>44</v>
      </c>
      <c r="D17" s="421" t="s">
        <v>633</v>
      </c>
      <c r="E17" s="880"/>
      <c r="F17" s="880"/>
      <c r="G17" s="1327"/>
      <c r="H17" s="1328"/>
      <c r="I17" s="1329"/>
      <c r="J17" s="423"/>
      <c r="K17" s="1330"/>
      <c r="L17" s="1331"/>
      <c r="M17" s="1332"/>
      <c r="N17" s="871"/>
      <c r="O17" s="1333"/>
      <c r="P17" s="1334"/>
      <c r="Q17" s="1334"/>
      <c r="R17" s="1335"/>
      <c r="S17" s="860"/>
    </row>
    <row r="18" spans="1:19" ht="17.25" customHeight="1">
      <c r="A18" s="1371" t="s">
        <v>644</v>
      </c>
      <c r="B18" s="84" t="s">
        <v>205</v>
      </c>
      <c r="C18" s="850" t="s">
        <v>42</v>
      </c>
      <c r="D18" s="851">
        <v>1.38</v>
      </c>
      <c r="E18" s="815">
        <v>805</v>
      </c>
      <c r="F18" s="815">
        <f>'106'!O14</f>
        <v>1185</v>
      </c>
      <c r="G18" s="1311">
        <f>'106'!K14</f>
        <v>2180</v>
      </c>
      <c r="H18" s="1312"/>
      <c r="I18" s="1313"/>
      <c r="J18" s="814">
        <f>'106'!L14</f>
        <v>0</v>
      </c>
      <c r="K18" s="1541">
        <f>'106'!P14+'106'!P15+'106'!P16</f>
        <v>0.92172995780590716</v>
      </c>
      <c r="L18" s="1542"/>
      <c r="M18" s="1543"/>
      <c r="N18" s="871">
        <f t="shared" ref="N18:N23" si="0">J18/(G18+J18)</f>
        <v>0</v>
      </c>
      <c r="O18" s="1348" t="str">
        <f>'106'!U14</f>
        <v>09:34改規格1.55*805,無損耗</v>
      </c>
      <c r="P18" s="1349"/>
      <c r="Q18" s="1349"/>
      <c r="R18" s="1350"/>
      <c r="S18" s="1517" t="str">
        <f>'106'!V14</f>
        <v>黎文中.林子維</v>
      </c>
    </row>
    <row r="19" spans="1:19" ht="17.25" customHeight="1">
      <c r="A19" s="1371"/>
      <c r="B19" s="84" t="s">
        <v>205</v>
      </c>
      <c r="C19" s="850" t="s">
        <v>42</v>
      </c>
      <c r="D19" s="851">
        <v>1.55</v>
      </c>
      <c r="E19" s="815">
        <v>805</v>
      </c>
      <c r="F19" s="815">
        <f>'106'!O15</f>
        <v>1185</v>
      </c>
      <c r="G19" s="1311">
        <f>'106'!K15</f>
        <v>9836</v>
      </c>
      <c r="H19" s="1312"/>
      <c r="I19" s="1313"/>
      <c r="J19" s="814">
        <f>'106'!L15</f>
        <v>0</v>
      </c>
      <c r="K19" s="1558"/>
      <c r="L19" s="1559"/>
      <c r="M19" s="1560"/>
      <c r="N19" s="871">
        <f t="shared" si="0"/>
        <v>0</v>
      </c>
      <c r="O19" s="1411" t="str">
        <f>'106'!U15</f>
        <v>18:24改規格1.65*805,無損耗</v>
      </c>
      <c r="P19" s="1412"/>
      <c r="Q19" s="1412"/>
      <c r="R19" s="1413"/>
      <c r="S19" s="1561"/>
    </row>
    <row r="20" spans="1:19" ht="17.25" customHeight="1">
      <c r="A20" s="1371"/>
      <c r="B20" s="84" t="s">
        <v>205</v>
      </c>
      <c r="C20" s="850" t="s">
        <v>42</v>
      </c>
      <c r="D20" s="851">
        <v>1.65</v>
      </c>
      <c r="E20" s="815">
        <v>805</v>
      </c>
      <c r="F20" s="815">
        <f>'106'!O16</f>
        <v>1185</v>
      </c>
      <c r="G20" s="1311">
        <f>'106'!K16</f>
        <v>1091</v>
      </c>
      <c r="H20" s="1312"/>
      <c r="I20" s="1313"/>
      <c r="J20" s="814">
        <f>'106'!L16</f>
        <v>0</v>
      </c>
      <c r="K20" s="1544"/>
      <c r="L20" s="1545"/>
      <c r="M20" s="1546"/>
      <c r="N20" s="871">
        <f t="shared" si="0"/>
        <v>0</v>
      </c>
      <c r="O20" s="1367" t="str">
        <f>'106'!U16</f>
        <v>19:23最後一支交接班</v>
      </c>
      <c r="P20" s="1368"/>
      <c r="Q20" s="1368"/>
      <c r="R20" s="1369"/>
      <c r="S20" s="1518"/>
    </row>
    <row r="21" spans="1:19" ht="17.25" customHeight="1">
      <c r="A21" s="1562"/>
      <c r="B21" s="881" t="s">
        <v>43</v>
      </c>
      <c r="C21" s="422" t="s">
        <v>42</v>
      </c>
      <c r="D21" s="421">
        <v>1.65</v>
      </c>
      <c r="E21" s="880">
        <v>805</v>
      </c>
      <c r="F21" s="880">
        <f>'106'!O17</f>
        <v>1185</v>
      </c>
      <c r="G21" s="1327">
        <f>'106'!K17</f>
        <v>14215</v>
      </c>
      <c r="H21" s="1328"/>
      <c r="I21" s="1329"/>
      <c r="J21" s="423">
        <f>'106'!L17</f>
        <v>0</v>
      </c>
      <c r="K21" s="1330">
        <f>'106'!P17</f>
        <v>0.99964838255977495</v>
      </c>
      <c r="L21" s="1331"/>
      <c r="M21" s="1332"/>
      <c r="N21" s="871">
        <f t="shared" si="0"/>
        <v>0</v>
      </c>
      <c r="O21" s="1364" t="str">
        <f>'106'!U17</f>
        <v>07:40最後一支交接班</v>
      </c>
      <c r="P21" s="1365"/>
      <c r="Q21" s="1365"/>
      <c r="R21" s="1366"/>
      <c r="S21" s="822" t="str">
        <f>'106'!V17</f>
        <v>黃隨貴</v>
      </c>
    </row>
    <row r="22" spans="1:19" ht="17.25" customHeight="1">
      <c r="A22" s="1362" t="s">
        <v>418</v>
      </c>
      <c r="B22" s="84" t="s">
        <v>205</v>
      </c>
      <c r="C22" s="850" t="s">
        <v>44</v>
      </c>
      <c r="D22" s="851">
        <v>0.6</v>
      </c>
      <c r="E22" s="815">
        <v>830</v>
      </c>
      <c r="F22" s="815">
        <f>'107'!O16</f>
        <v>450</v>
      </c>
      <c r="G22" s="1311">
        <f>'107'!K16</f>
        <v>5028</v>
      </c>
      <c r="H22" s="1312"/>
      <c r="I22" s="1313"/>
      <c r="J22" s="814">
        <f>'107'!L16</f>
        <v>0</v>
      </c>
      <c r="K22" s="1314">
        <f>'107'!P16</f>
        <v>0.93111111111111111</v>
      </c>
      <c r="L22" s="1315"/>
      <c r="M22" s="1316"/>
      <c r="N22" s="871">
        <f t="shared" si="0"/>
        <v>0</v>
      </c>
      <c r="O22" s="1367" t="str">
        <f>'107'!U16</f>
        <v>19:21最後一支交接班</v>
      </c>
      <c r="P22" s="1368"/>
      <c r="Q22" s="1368"/>
      <c r="R22" s="1369"/>
      <c r="S22" s="822" t="str">
        <f>'107'!V16</f>
        <v>潘文銅</v>
      </c>
    </row>
    <row r="23" spans="1:19" ht="17.25" customHeight="1">
      <c r="A23" s="1363"/>
      <c r="B23" s="881" t="s">
        <v>43</v>
      </c>
      <c r="C23" s="422" t="s">
        <v>44</v>
      </c>
      <c r="D23" s="421">
        <v>0.6</v>
      </c>
      <c r="E23" s="880">
        <v>830</v>
      </c>
      <c r="F23" s="880">
        <f>'107'!O17</f>
        <v>450</v>
      </c>
      <c r="G23" s="1327">
        <f>'107'!K17</f>
        <v>5035</v>
      </c>
      <c r="H23" s="1328"/>
      <c r="I23" s="1329"/>
      <c r="J23" s="423">
        <f>'107'!L17</f>
        <v>0</v>
      </c>
      <c r="K23" s="1314">
        <f>'107'!P17</f>
        <v>0.93240740740740746</v>
      </c>
      <c r="L23" s="1315"/>
      <c r="M23" s="1316"/>
      <c r="N23" s="871">
        <f t="shared" si="0"/>
        <v>0</v>
      </c>
      <c r="O23" s="1367" t="str">
        <f>'107'!U17</f>
        <v>07:30最後一支交接班</v>
      </c>
      <c r="P23" s="1368"/>
      <c r="Q23" s="1368"/>
      <c r="R23" s="1369"/>
      <c r="S23" s="822" t="str">
        <f>'107'!V17</f>
        <v>磨文林</v>
      </c>
    </row>
    <row r="24" spans="1:19" ht="17.25" customHeight="1">
      <c r="A24" s="843"/>
      <c r="B24" s="841"/>
      <c r="C24" s="850"/>
      <c r="D24" s="851"/>
      <c r="E24" s="815"/>
      <c r="F24" s="815"/>
      <c r="G24" s="832" t="s">
        <v>666</v>
      </c>
      <c r="H24" s="838"/>
      <c r="I24" s="833">
        <f>SUM(G7:I23)</f>
        <v>57501</v>
      </c>
      <c r="J24" s="833">
        <f>SUM(J7:J23)</f>
        <v>0</v>
      </c>
      <c r="K24" s="1314"/>
      <c r="L24" s="1315"/>
      <c r="M24" s="1316"/>
      <c r="N24" s="647"/>
      <c r="O24" s="1372"/>
      <c r="P24" s="1373"/>
      <c r="Q24" s="1373"/>
      <c r="R24" s="1374"/>
      <c r="S24" s="812"/>
    </row>
    <row r="25" spans="1:19" ht="20.100000000000001" hidden="1" customHeight="1">
      <c r="A25" s="1400" t="s">
        <v>10</v>
      </c>
      <c r="B25" s="84" t="s">
        <v>205</v>
      </c>
      <c r="C25" s="648" t="s">
        <v>44</v>
      </c>
      <c r="D25" s="649">
        <v>2.35</v>
      </c>
      <c r="E25" s="85">
        <v>800</v>
      </c>
      <c r="F25" s="85"/>
      <c r="G25" s="1401"/>
      <c r="H25" s="1401"/>
      <c r="I25" s="1401"/>
      <c r="J25" s="650"/>
      <c r="K25" s="1402"/>
      <c r="L25" s="1403"/>
      <c r="M25" s="1404"/>
      <c r="N25" s="647" t="e">
        <f t="shared" ref="N25:N30" si="1">J25/(G25+J25)</f>
        <v>#DIV/0!</v>
      </c>
      <c r="O25" s="1348"/>
      <c r="P25" s="1349"/>
      <c r="Q25" s="1349"/>
      <c r="R25" s="1350"/>
      <c r="S25" s="1414"/>
    </row>
    <row r="26" spans="1:19" ht="20.100000000000001" hidden="1" customHeight="1">
      <c r="A26" s="1400"/>
      <c r="B26" s="84" t="s">
        <v>0</v>
      </c>
      <c r="C26" s="648" t="s">
        <v>44</v>
      </c>
      <c r="D26" s="649">
        <v>1.85</v>
      </c>
      <c r="E26" s="85">
        <v>800</v>
      </c>
      <c r="F26" s="85"/>
      <c r="G26" s="1401"/>
      <c r="H26" s="1401"/>
      <c r="I26" s="1401"/>
      <c r="J26" s="650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415"/>
    </row>
    <row r="27" spans="1:19" ht="20.100000000000001" hidden="1" customHeight="1">
      <c r="A27" s="1400"/>
      <c r="B27" s="84" t="s">
        <v>205</v>
      </c>
      <c r="C27" s="648" t="s">
        <v>44</v>
      </c>
      <c r="D27" s="649"/>
      <c r="E27" s="85"/>
      <c r="F27" s="85"/>
      <c r="G27" s="1401"/>
      <c r="H27" s="1401"/>
      <c r="I27" s="1401"/>
      <c r="J27" s="650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41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2.35</v>
      </c>
      <c r="E28" s="880">
        <v>800</v>
      </c>
      <c r="F28" s="880"/>
      <c r="G28" s="1358"/>
      <c r="H28" s="1358"/>
      <c r="I28" s="1358"/>
      <c r="J28" s="423"/>
      <c r="K28" s="1402"/>
      <c r="L28" s="1403"/>
      <c r="M28" s="1404"/>
      <c r="N28" s="647" t="e">
        <f t="shared" si="1"/>
        <v>#DIV/0!</v>
      </c>
      <c r="O28" s="1348"/>
      <c r="P28" s="1349"/>
      <c r="Q28" s="1349"/>
      <c r="R28" s="1350"/>
      <c r="S28" s="1375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1.75</v>
      </c>
      <c r="E29" s="880">
        <v>715</v>
      </c>
      <c r="F29" s="880"/>
      <c r="G29" s="1358"/>
      <c r="H29" s="1358"/>
      <c r="I29" s="1358"/>
      <c r="J29" s="423"/>
      <c r="K29" s="1405"/>
      <c r="L29" s="1406"/>
      <c r="M29" s="1407"/>
      <c r="N29" s="647" t="e">
        <f t="shared" si="1"/>
        <v>#DIV/0!</v>
      </c>
      <c r="O29" s="1411"/>
      <c r="P29" s="1412"/>
      <c r="Q29" s="1412"/>
      <c r="R29" s="1413"/>
      <c r="S29" s="1376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1.6</v>
      </c>
      <c r="E30" s="880">
        <v>715</v>
      </c>
      <c r="F30" s="880"/>
      <c r="G30" s="1358"/>
      <c r="H30" s="1358"/>
      <c r="I30" s="1358"/>
      <c r="J30" s="423"/>
      <c r="K30" s="1408"/>
      <c r="L30" s="1409"/>
      <c r="M30" s="1410"/>
      <c r="N30" s="647" t="e">
        <f t="shared" si="1"/>
        <v>#DIV/0!</v>
      </c>
      <c r="O30" s="1367"/>
      <c r="P30" s="1368"/>
      <c r="Q30" s="1368"/>
      <c r="R30" s="1369"/>
      <c r="S30" s="1377"/>
    </row>
    <row r="31" spans="1:19" s="76" customFormat="1" ht="31.7" customHeight="1">
      <c r="A31" s="56" t="s">
        <v>212</v>
      </c>
      <c r="B31" s="388" t="s">
        <v>193</v>
      </c>
      <c r="C31" s="1378" t="s">
        <v>11</v>
      </c>
      <c r="D31" s="1379"/>
      <c r="E31" s="1380"/>
      <c r="F31" s="409" t="s">
        <v>12</v>
      </c>
      <c r="G31" s="409" t="s">
        <v>13</v>
      </c>
      <c r="H31" s="410" t="s">
        <v>215</v>
      </c>
      <c r="I31" s="411" t="s">
        <v>14</v>
      </c>
      <c r="J31" s="412" t="s">
        <v>15</v>
      </c>
      <c r="K31" s="651" t="s">
        <v>16</v>
      </c>
      <c r="L31" s="652" t="s">
        <v>60</v>
      </c>
      <c r="M31" s="653" t="s">
        <v>17</v>
      </c>
      <c r="N31" s="652" t="s">
        <v>18</v>
      </c>
      <c r="O31" s="1381" t="s">
        <v>29</v>
      </c>
      <c r="P31" s="1381"/>
      <c r="Q31" s="1381"/>
      <c r="R31" s="1381"/>
      <c r="S31" s="383" t="s">
        <v>4</v>
      </c>
    </row>
    <row r="32" spans="1:19" s="132" customFormat="1" ht="16.5" hidden="1" customHeight="1">
      <c r="A32" s="1126" t="s">
        <v>19</v>
      </c>
      <c r="B32" s="134" t="s">
        <v>0</v>
      </c>
      <c r="C32" s="1382"/>
      <c r="D32" s="1383"/>
      <c r="E32" s="1384"/>
      <c r="F32" s="380"/>
      <c r="G32" s="246">
        <f>SUM(G9:G30)</f>
        <v>45446</v>
      </c>
      <c r="H32" s="95"/>
      <c r="I32" s="844" t="e">
        <f>SUM(#REF!)</f>
        <v>#REF!</v>
      </c>
      <c r="J32" s="390"/>
      <c r="K32" s="390"/>
      <c r="L32" s="389"/>
      <c r="M32" s="1385"/>
      <c r="N32" s="654"/>
      <c r="O32" s="1388"/>
      <c r="P32" s="1389"/>
      <c r="Q32" s="1389"/>
      <c r="R32" s="1390"/>
      <c r="S32" s="1397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6"/>
      <c r="N33" s="654"/>
      <c r="O33" s="1391"/>
      <c r="P33" s="1392"/>
      <c r="Q33" s="1392"/>
      <c r="R33" s="1393"/>
      <c r="S33" s="1398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7"/>
      <c r="N34" s="654"/>
      <c r="O34" s="1394"/>
      <c r="P34" s="1395"/>
      <c r="Q34" s="1395"/>
      <c r="R34" s="1396"/>
      <c r="S34" s="1399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5"/>
      <c r="N35" s="654"/>
      <c r="O35" s="1388"/>
      <c r="P35" s="1389"/>
      <c r="Q35" s="1389"/>
      <c r="R35" s="1390"/>
      <c r="S35" s="1420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7"/>
      <c r="N38" s="654"/>
      <c r="O38" s="1394"/>
      <c r="P38" s="1395"/>
      <c r="Q38" s="1395"/>
      <c r="R38" s="1396"/>
      <c r="S38" s="1422"/>
    </row>
    <row r="39" spans="1:19" ht="18" hidden="1" customHeight="1">
      <c r="A39" s="1426" t="s">
        <v>61</v>
      </c>
      <c r="B39" s="84" t="s">
        <v>205</v>
      </c>
      <c r="C39" s="1382"/>
      <c r="D39" s="1383"/>
      <c r="E39" s="1384"/>
      <c r="F39" s="380"/>
      <c r="G39" s="245"/>
      <c r="H39" s="85"/>
      <c r="I39" s="85"/>
      <c r="J39" s="656"/>
      <c r="K39" s="392"/>
      <c r="L39" s="251"/>
      <c r="M39" s="1385"/>
      <c r="N39" s="428"/>
      <c r="O39" s="1388"/>
      <c r="P39" s="1389"/>
      <c r="Q39" s="1389"/>
      <c r="R39" s="1390"/>
      <c r="S39" s="1423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6"/>
      <c r="N40" s="654"/>
      <c r="O40" s="1391"/>
      <c r="P40" s="1392"/>
      <c r="Q40" s="1392"/>
      <c r="R40" s="1393"/>
      <c r="S40" s="1424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7"/>
      <c r="N41" s="654"/>
      <c r="O41" s="1394"/>
      <c r="P41" s="1395"/>
      <c r="Q41" s="1395"/>
      <c r="R41" s="1396"/>
      <c r="S41" s="1425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5"/>
      <c r="N42" s="654"/>
      <c r="O42" s="1388"/>
      <c r="P42" s="1389"/>
      <c r="Q42" s="1389"/>
      <c r="R42" s="1390"/>
      <c r="S42" s="1420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6"/>
      <c r="N43" s="654"/>
      <c r="O43" s="1391"/>
      <c r="P43" s="1392"/>
      <c r="Q43" s="1392"/>
      <c r="R43" s="1393"/>
      <c r="S43" s="1421"/>
    </row>
    <row r="44" spans="1:19" ht="18" hidden="1" customHeight="1">
      <c r="A44" s="1426"/>
      <c r="B44" s="381" t="s">
        <v>207</v>
      </c>
      <c r="C44" s="1417"/>
      <c r="D44" s="1418"/>
      <c r="E44" s="1419"/>
      <c r="F44" s="657"/>
      <c r="G44" s="243"/>
      <c r="H44" s="114"/>
      <c r="I44" s="114"/>
      <c r="J44" s="655"/>
      <c r="K44" s="391"/>
      <c r="L44" s="240"/>
      <c r="M44" s="1387"/>
      <c r="N44" s="428"/>
      <c r="O44" s="1394"/>
      <c r="P44" s="1395"/>
      <c r="Q44" s="1395"/>
      <c r="R44" s="1396"/>
      <c r="S44" s="1422"/>
    </row>
    <row r="45" spans="1:19" ht="18" hidden="1" customHeight="1">
      <c r="A45" s="1260" t="s">
        <v>20</v>
      </c>
      <c r="B45" s="84" t="s">
        <v>205</v>
      </c>
      <c r="C45" s="1382"/>
      <c r="D45" s="1383"/>
      <c r="E45" s="1384"/>
      <c r="F45" s="380"/>
      <c r="G45" s="245"/>
      <c r="H45" s="85"/>
      <c r="I45" s="85"/>
      <c r="J45" s="656"/>
      <c r="K45" s="393"/>
      <c r="L45" s="251"/>
      <c r="M45" s="1385"/>
      <c r="N45" s="428"/>
      <c r="O45" s="1388"/>
      <c r="P45" s="1389"/>
      <c r="Q45" s="1389"/>
      <c r="R45" s="1390"/>
      <c r="S45" s="1423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6"/>
      <c r="N46" s="654"/>
      <c r="O46" s="1391"/>
      <c r="P46" s="1392"/>
      <c r="Q46" s="1392"/>
      <c r="R46" s="1393"/>
      <c r="S46" s="1424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7"/>
      <c r="N47" s="654"/>
      <c r="O47" s="1394"/>
      <c r="P47" s="1395"/>
      <c r="Q47" s="1395"/>
      <c r="R47" s="1396"/>
      <c r="S47" s="1425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5"/>
      <c r="N48" s="654"/>
      <c r="O48" s="1388"/>
      <c r="P48" s="1389"/>
      <c r="Q48" s="1389"/>
      <c r="R48" s="1390"/>
      <c r="S48" s="1420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6"/>
      <c r="N49" s="654"/>
      <c r="O49" s="1391"/>
      <c r="P49" s="1392"/>
      <c r="Q49" s="1392"/>
      <c r="R49" s="1393"/>
      <c r="S49" s="1421"/>
    </row>
    <row r="50" spans="1:24" ht="15.75" hidden="1" customHeight="1">
      <c r="A50" s="1260"/>
      <c r="B50" s="381" t="s">
        <v>207</v>
      </c>
      <c r="C50" s="1417"/>
      <c r="D50" s="1418"/>
      <c r="E50" s="1419"/>
      <c r="F50" s="657"/>
      <c r="G50" s="243"/>
      <c r="H50" s="114"/>
      <c r="I50" s="114"/>
      <c r="J50" s="655"/>
      <c r="K50" s="391"/>
      <c r="L50" s="240"/>
      <c r="M50" s="1387"/>
      <c r="N50" s="428"/>
      <c r="O50" s="1394"/>
      <c r="P50" s="1395"/>
      <c r="Q50" s="1395"/>
      <c r="R50" s="1396"/>
      <c r="S50" s="1422"/>
    </row>
    <row r="51" spans="1:24" ht="17.25" customHeight="1">
      <c r="A51" s="1126" t="s">
        <v>21</v>
      </c>
      <c r="B51" s="84" t="s">
        <v>0</v>
      </c>
      <c r="C51" s="1427" t="s">
        <v>633</v>
      </c>
      <c r="D51" s="1427"/>
      <c r="E51" s="1427"/>
      <c r="F51" s="827"/>
      <c r="G51" s="828"/>
      <c r="H51" s="815"/>
      <c r="I51" s="827"/>
      <c r="J51" s="828"/>
      <c r="K51" s="828"/>
      <c r="L51" s="828"/>
      <c r="M51" s="661"/>
      <c r="N51" s="662"/>
      <c r="O51" s="1361"/>
      <c r="P51" s="1361"/>
      <c r="Q51" s="1361"/>
      <c r="R51" s="1361"/>
      <c r="S51" s="822"/>
      <c r="V51" s="1382" t="s">
        <v>633</v>
      </c>
      <c r="W51" s="1383"/>
      <c r="X51" s="1384"/>
    </row>
    <row r="52" spans="1:24" ht="17.25" customHeight="1">
      <c r="A52" s="1127"/>
      <c r="B52" s="881" t="s">
        <v>43</v>
      </c>
      <c r="C52" s="1360" t="s">
        <v>633</v>
      </c>
      <c r="D52" s="1360"/>
      <c r="E52" s="1360"/>
      <c r="F52" s="418"/>
      <c r="G52" s="660"/>
      <c r="H52" s="880"/>
      <c r="I52" s="418"/>
      <c r="J52" s="660"/>
      <c r="K52" s="660"/>
      <c r="L52" s="660"/>
      <c r="M52" s="661"/>
      <c r="N52" s="662"/>
      <c r="O52" s="1361"/>
      <c r="P52" s="1361"/>
      <c r="Q52" s="1361"/>
      <c r="R52" s="1361"/>
      <c r="S52" s="822"/>
      <c r="V52" s="1382" t="s">
        <v>633</v>
      </c>
      <c r="W52" s="1383"/>
      <c r="X52" s="1384"/>
    </row>
    <row r="53" spans="1:24" ht="35.25" customHeight="1">
      <c r="A53" s="1126" t="s">
        <v>22</v>
      </c>
      <c r="B53" s="84" t="s">
        <v>0</v>
      </c>
      <c r="C53" s="1427" t="e">
        <f>#REF!</f>
        <v>#REF!</v>
      </c>
      <c r="D53" s="1427"/>
      <c r="E53" s="1427"/>
      <c r="F53" s="827" t="s">
        <v>872</v>
      </c>
      <c r="G53" s="852" t="e">
        <f>#REF!</f>
        <v>#REF!</v>
      </c>
      <c r="H53" s="815"/>
      <c r="I53" s="827">
        <v>2</v>
      </c>
      <c r="J53" s="852" t="e">
        <f>#REF!</f>
        <v>#REF!</v>
      </c>
      <c r="K53" s="885" t="e">
        <f>#REF!</f>
        <v>#REF!</v>
      </c>
      <c r="L53" s="885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17.25" customHeight="1">
      <c r="A54" s="1189"/>
      <c r="B54" s="881" t="s">
        <v>43</v>
      </c>
      <c r="C54" s="1360" t="e">
        <f>#REF!</f>
        <v>#REF!</v>
      </c>
      <c r="D54" s="1360"/>
      <c r="E54" s="1360"/>
      <c r="F54" s="418" t="s">
        <v>872</v>
      </c>
      <c r="G54" s="840" t="e">
        <f>#REF!</f>
        <v>#REF!</v>
      </c>
      <c r="H54" s="880"/>
      <c r="I54" s="418">
        <v>2</v>
      </c>
      <c r="J54" s="840" t="e">
        <f>#REF!</f>
        <v>#REF!</v>
      </c>
      <c r="K54" s="890" t="e">
        <f>#REF!</f>
        <v>#REF!</v>
      </c>
      <c r="L54" s="890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35.25" customHeight="1">
      <c r="A55" s="1428" t="s">
        <v>23</v>
      </c>
      <c r="B55" s="84" t="s">
        <v>0</v>
      </c>
      <c r="C55" s="1427" t="e">
        <f>#REF!</f>
        <v>#REF!</v>
      </c>
      <c r="D55" s="1427"/>
      <c r="E55" s="1427"/>
      <c r="F55" s="827" t="s">
        <v>873</v>
      </c>
      <c r="G55" s="828" t="e">
        <f>#REF!</f>
        <v>#REF!</v>
      </c>
      <c r="H55" s="815"/>
      <c r="I55" s="827">
        <v>1</v>
      </c>
      <c r="J55" s="828" t="e">
        <f>#REF!</f>
        <v>#REF!</v>
      </c>
      <c r="K55" s="828" t="e">
        <f>#REF!</f>
        <v>#REF!</v>
      </c>
      <c r="L55" s="828" t="e">
        <f>#REF!</f>
        <v>#REF!</v>
      </c>
      <c r="M55" s="865" t="e">
        <f>#REF!</f>
        <v>#REF!</v>
      </c>
      <c r="N55" s="662" t="e">
        <f>#REF!</f>
        <v>#REF!</v>
      </c>
      <c r="O55" s="1348" t="e">
        <f>#REF!</f>
        <v>#REF!</v>
      </c>
      <c r="P55" s="1349"/>
      <c r="Q55" s="1349"/>
      <c r="R55" s="1350"/>
      <c r="S55" s="1517" t="e">
        <f>#REF!</f>
        <v>#REF!</v>
      </c>
    </row>
    <row r="56" spans="1:24" ht="17.25" customHeight="1">
      <c r="A56" s="1429"/>
      <c r="B56" s="84" t="s">
        <v>0</v>
      </c>
      <c r="C56" s="1427" t="e">
        <f>#REF!</f>
        <v>#REF!</v>
      </c>
      <c r="D56" s="1427"/>
      <c r="E56" s="1427"/>
      <c r="F56" s="827" t="s">
        <v>873</v>
      </c>
      <c r="G56" s="828" t="e">
        <f>#REF!</f>
        <v>#REF!</v>
      </c>
      <c r="H56" s="815"/>
      <c r="I56" s="827">
        <v>2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65" t="e">
        <f>#REF!</f>
        <v>#REF!</v>
      </c>
      <c r="N56" s="662" t="e">
        <f>#REF!</f>
        <v>#REF!</v>
      </c>
      <c r="O56" s="1367" t="e">
        <f>#REF!</f>
        <v>#REF!</v>
      </c>
      <c r="P56" s="1368"/>
      <c r="Q56" s="1368"/>
      <c r="R56" s="1369"/>
      <c r="S56" s="1518"/>
    </row>
    <row r="57" spans="1:24" ht="17.25" customHeight="1">
      <c r="A57" s="1429"/>
      <c r="B57" s="381" t="s">
        <v>43</v>
      </c>
      <c r="C57" s="1360" t="e">
        <f>#REF!</f>
        <v>#REF!</v>
      </c>
      <c r="D57" s="1360"/>
      <c r="E57" s="1360"/>
      <c r="F57" s="418" t="s">
        <v>873</v>
      </c>
      <c r="G57" s="660" t="e">
        <f>#REF!</f>
        <v>#REF!</v>
      </c>
      <c r="H57" s="880"/>
      <c r="I57" s="418">
        <v>4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65" t="e">
        <f>#REF!</f>
        <v>#REF!</v>
      </c>
      <c r="N57" s="662" t="e">
        <f>#REF!</f>
        <v>#REF!</v>
      </c>
      <c r="O57" s="1364" t="e">
        <f>#REF!</f>
        <v>#REF!</v>
      </c>
      <c r="P57" s="1365"/>
      <c r="Q57" s="1365"/>
      <c r="R57" s="1366"/>
      <c r="S57" s="822" t="e">
        <f>#REF!</f>
        <v>#REF!</v>
      </c>
    </row>
    <row r="58" spans="1:24" ht="17.25" customHeight="1">
      <c r="A58" s="1126" t="s">
        <v>24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661"/>
      <c r="N59" s="662"/>
      <c r="O59" s="1361"/>
      <c r="P59" s="1361"/>
      <c r="Q59" s="1361"/>
      <c r="R59" s="1361"/>
      <c r="S59" s="877"/>
    </row>
    <row r="60" spans="1:24" ht="52.5" customHeight="1">
      <c r="A60" s="1260" t="s">
        <v>634</v>
      </c>
      <c r="B60" s="84" t="s">
        <v>0</v>
      </c>
      <c r="C60" s="1427" t="e">
        <f>#REF!</f>
        <v>#REF!</v>
      </c>
      <c r="D60" s="1427"/>
      <c r="E60" s="1427"/>
      <c r="F60" s="827" t="s">
        <v>775</v>
      </c>
      <c r="G60" s="828" t="e">
        <f>#REF!</f>
        <v>#REF!</v>
      </c>
      <c r="H60" s="815"/>
      <c r="I60" s="827">
        <v>4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36" customHeight="1">
      <c r="A61" s="1260"/>
      <c r="B61" s="381" t="s">
        <v>43</v>
      </c>
      <c r="C61" s="1360" t="e">
        <f>#REF!</f>
        <v>#REF!</v>
      </c>
      <c r="D61" s="1360"/>
      <c r="E61" s="1360"/>
      <c r="F61" s="418" t="s">
        <v>775</v>
      </c>
      <c r="G61" s="660" t="e">
        <f>#REF!</f>
        <v>#REF!</v>
      </c>
      <c r="H61" s="880"/>
      <c r="I61" s="418">
        <v>5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7" t="e">
        <f>#REF!</f>
        <v>#REF!</v>
      </c>
      <c r="O61" s="1430" t="e">
        <f>#REF!</f>
        <v>#REF!</v>
      </c>
      <c r="P61" s="1431"/>
      <c r="Q61" s="1431"/>
      <c r="R61" s="1432"/>
      <c r="S61" s="822" t="e">
        <f>#REF!</f>
        <v>#REF!</v>
      </c>
    </row>
    <row r="62" spans="1:24" ht="35.25" customHeight="1">
      <c r="A62" s="1126" t="s">
        <v>416</v>
      </c>
      <c r="B62" s="84" t="s">
        <v>0</v>
      </c>
      <c r="C62" s="1427" t="e">
        <f>#REF!</f>
        <v>#REF!</v>
      </c>
      <c r="D62" s="1427"/>
      <c r="E62" s="1427"/>
      <c r="F62" s="827" t="s">
        <v>876</v>
      </c>
      <c r="G62" s="828" t="e">
        <f>#REF!</f>
        <v>#REF!</v>
      </c>
      <c r="H62" s="815"/>
      <c r="I62" s="827">
        <v>3</v>
      </c>
      <c r="J62" s="828" t="e">
        <f>#REF!</f>
        <v>#REF!</v>
      </c>
      <c r="K62" s="828" t="e">
        <f>#REF!</f>
        <v>#REF!</v>
      </c>
      <c r="L62" s="828" t="e">
        <f>#REF!</f>
        <v>#REF!</v>
      </c>
      <c r="M62" s="816" t="e">
        <f>#REF!</f>
        <v>#REF!</v>
      </c>
      <c r="N62" s="818" t="e">
        <f>#REF!</f>
        <v>#REF!</v>
      </c>
      <c r="O62" s="1333" t="e">
        <f>#REF!</f>
        <v>#REF!</v>
      </c>
      <c r="P62" s="1334"/>
      <c r="Q62" s="1334"/>
      <c r="R62" s="1335"/>
      <c r="S62" s="855" t="e">
        <f>#REF!</f>
        <v>#REF!</v>
      </c>
    </row>
    <row r="63" spans="1:24" ht="33.75" customHeight="1">
      <c r="A63" s="1189"/>
      <c r="B63" s="381" t="s">
        <v>43</v>
      </c>
      <c r="C63" s="1360" t="e">
        <f>#REF!</f>
        <v>#REF!</v>
      </c>
      <c r="D63" s="1360"/>
      <c r="E63" s="1360"/>
      <c r="F63" s="418" t="s">
        <v>877</v>
      </c>
      <c r="G63" s="660" t="e">
        <f>#REF!</f>
        <v>#REF!</v>
      </c>
      <c r="H63" s="880"/>
      <c r="I63" s="418">
        <v>3</v>
      </c>
      <c r="J63" s="660" t="e">
        <f>#REF!</f>
        <v>#REF!</v>
      </c>
      <c r="K63" s="660" t="e">
        <f>#REF!</f>
        <v>#REF!</v>
      </c>
      <c r="L63" s="660" t="e">
        <f>#REF!</f>
        <v>#REF!</v>
      </c>
      <c r="M63" s="816" t="e">
        <f>#REF!</f>
        <v>#REF!</v>
      </c>
      <c r="N63" s="818" t="e">
        <f>#REF!</f>
        <v>#REF!</v>
      </c>
      <c r="O63" s="1333" t="e">
        <f>#REF!</f>
        <v>#REF!</v>
      </c>
      <c r="P63" s="1334"/>
      <c r="Q63" s="1334"/>
      <c r="R63" s="1335"/>
      <c r="S63" s="855" t="e">
        <f>#REF!</f>
        <v>#REF!</v>
      </c>
    </row>
    <row r="64" spans="1:24" ht="17.25" customHeight="1">
      <c r="A64" s="1126" t="s">
        <v>635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48"/>
    </row>
    <row r="66" spans="1:79" ht="35.25" customHeight="1">
      <c r="A66" s="1126" t="s">
        <v>636</v>
      </c>
      <c r="B66" s="84" t="s">
        <v>0</v>
      </c>
      <c r="C66" s="1427" t="e">
        <f>#REF!</f>
        <v>#REF!</v>
      </c>
      <c r="D66" s="1427"/>
      <c r="E66" s="1427"/>
      <c r="F66" s="827" t="s">
        <v>694</v>
      </c>
      <c r="G66" s="828" t="e">
        <f>#REF!</f>
        <v>#REF!</v>
      </c>
      <c r="H66" s="815"/>
      <c r="I66" s="827">
        <v>1</v>
      </c>
      <c r="J66" s="828" t="e">
        <f>#REF!</f>
        <v>#REF!</v>
      </c>
      <c r="K66" s="828" t="e">
        <f>#REF!</f>
        <v>#REF!</v>
      </c>
      <c r="L66" s="828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21" t="e">
        <f>#REF!</f>
        <v>#REF!</v>
      </c>
    </row>
    <row r="67" spans="1:79" ht="17.25" customHeight="1">
      <c r="A67" s="1127"/>
      <c r="B67" s="381" t="s">
        <v>43</v>
      </c>
      <c r="C67" s="1360" t="e">
        <f>#REF!</f>
        <v>#REF!</v>
      </c>
      <c r="D67" s="1360"/>
      <c r="E67" s="1360"/>
      <c r="F67" s="418" t="s">
        <v>694</v>
      </c>
      <c r="G67" s="660" t="e">
        <f>#REF!</f>
        <v>#REF!</v>
      </c>
      <c r="H67" s="880"/>
      <c r="I67" s="418">
        <v>3</v>
      </c>
      <c r="J67" s="660" t="e">
        <f>#REF!</f>
        <v>#REF!</v>
      </c>
      <c r="K67" s="660" t="e">
        <f>#REF!</f>
        <v>#REF!</v>
      </c>
      <c r="L67" s="660" t="e">
        <f>#REF!</f>
        <v>#REF!</v>
      </c>
      <c r="M67" s="816" t="e">
        <f>#REF!</f>
        <v>#REF!</v>
      </c>
      <c r="N67" s="817" t="e">
        <f>#REF!</f>
        <v>#REF!</v>
      </c>
      <c r="O67" s="1436" t="e">
        <f>#REF!</f>
        <v>#REF!</v>
      </c>
      <c r="P67" s="1436"/>
      <c r="Q67" s="1436"/>
      <c r="R67" s="1436"/>
      <c r="S67" s="821" t="e">
        <f>#REF!</f>
        <v>#REF!</v>
      </c>
    </row>
    <row r="68" spans="1:79" ht="17.25" customHeight="1">
      <c r="A68" s="831"/>
      <c r="B68" s="841"/>
      <c r="C68" s="882"/>
      <c r="D68" s="883"/>
      <c r="E68" s="884"/>
      <c r="F68" s="827"/>
      <c r="G68" s="828"/>
      <c r="H68" s="815"/>
      <c r="I68" s="827"/>
      <c r="J68" s="832" t="s">
        <v>666</v>
      </c>
      <c r="K68" s="836" t="e">
        <f>SUM(K51:K67)</f>
        <v>#REF!</v>
      </c>
      <c r="L68" s="839"/>
      <c r="M68" s="816"/>
      <c r="N68" s="817"/>
      <c r="O68" s="1433"/>
      <c r="P68" s="1434"/>
      <c r="Q68" s="1434"/>
      <c r="R68" s="1435"/>
      <c r="S68" s="811"/>
    </row>
    <row r="69" spans="1:79" ht="17.25" customHeight="1">
      <c r="A69" s="1400" t="s">
        <v>25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437"/>
      <c r="P69" s="1438"/>
      <c r="Q69" s="1438"/>
      <c r="R69" s="1439"/>
      <c r="S69" s="876"/>
    </row>
    <row r="70" spans="1:79" ht="17.25" customHeight="1">
      <c r="A70" s="1400"/>
      <c r="B70" s="381" t="s">
        <v>43</v>
      </c>
      <c r="C70" s="1360" t="e">
        <f>#REF!</f>
        <v>#REF!</v>
      </c>
      <c r="D70" s="1360"/>
      <c r="E70" s="1360"/>
      <c r="F70" s="418" t="s">
        <v>878</v>
      </c>
      <c r="G70" s="660" t="e">
        <f>#REF!</f>
        <v>#REF!</v>
      </c>
      <c r="H70" s="880"/>
      <c r="I70" s="418">
        <v>5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415" t="e">
        <f>#REF!</f>
        <v>#REF!</v>
      </c>
      <c r="O70" s="1437" t="e">
        <f>#REF!</f>
        <v>#REF!</v>
      </c>
      <c r="P70" s="1438"/>
      <c r="Q70" s="1438"/>
      <c r="R70" s="1439"/>
      <c r="S70" s="876" t="e">
        <f>#REF!</f>
        <v>#REF!</v>
      </c>
    </row>
    <row r="71" spans="1:79" ht="17.25" customHeight="1">
      <c r="A71" s="1260" t="s">
        <v>62</v>
      </c>
      <c r="B71" s="84" t="s">
        <v>0</v>
      </c>
      <c r="C71" s="1427" t="s">
        <v>633</v>
      </c>
      <c r="D71" s="1427"/>
      <c r="E71" s="1427"/>
      <c r="F71" s="827"/>
      <c r="G71" s="828"/>
      <c r="H71" s="815"/>
      <c r="I71" s="827"/>
      <c r="J71" s="828"/>
      <c r="K71" s="828"/>
      <c r="L71" s="828"/>
      <c r="M71" s="659"/>
      <c r="N71" s="415"/>
      <c r="O71" s="1437"/>
      <c r="P71" s="1438"/>
      <c r="Q71" s="1438"/>
      <c r="R71" s="1439"/>
      <c r="S71" s="861"/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69.75" customHeight="1">
      <c r="A72" s="1260"/>
      <c r="B72" s="381" t="s">
        <v>43</v>
      </c>
      <c r="C72" s="1360" t="e">
        <f>#REF!</f>
        <v>#REF!</v>
      </c>
      <c r="D72" s="1360"/>
      <c r="E72" s="1360"/>
      <c r="F72" s="418" t="s">
        <v>879</v>
      </c>
      <c r="G72" s="660" t="e">
        <f>#REF!</f>
        <v>#REF!</v>
      </c>
      <c r="H72" s="880"/>
      <c r="I72" s="418">
        <v>2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415" t="e">
        <f>#REF!</f>
        <v>#REF!</v>
      </c>
      <c r="O72" s="1437" t="e">
        <f>#REF!</f>
        <v>#REF!</v>
      </c>
      <c r="P72" s="1438"/>
      <c r="Q72" s="1438"/>
      <c r="R72" s="1439"/>
      <c r="S72" s="861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126" t="s">
        <v>640</v>
      </c>
      <c r="B73" s="84" t="s">
        <v>0</v>
      </c>
      <c r="C73" s="1427" t="e">
        <f>#REF!</f>
        <v>#REF!</v>
      </c>
      <c r="D73" s="1427"/>
      <c r="E73" s="1427"/>
      <c r="F73" s="827" t="s">
        <v>880</v>
      </c>
      <c r="G73" s="828" t="e">
        <f>#REF!</f>
        <v>#REF!</v>
      </c>
      <c r="H73" s="815"/>
      <c r="I73" s="827">
        <v>4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17.25" customHeight="1">
      <c r="A74" s="1189"/>
      <c r="B74" s="881" t="s">
        <v>43</v>
      </c>
      <c r="C74" s="1360" t="e">
        <f>#REF!</f>
        <v>#REF!</v>
      </c>
      <c r="D74" s="1360"/>
      <c r="E74" s="1360"/>
      <c r="F74" s="418" t="s">
        <v>880</v>
      </c>
      <c r="G74" s="660" t="e">
        <f>#REF!</f>
        <v>#REF!</v>
      </c>
      <c r="H74" s="880"/>
      <c r="I74" s="418">
        <v>3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659" t="e">
        <f>#REF!</f>
        <v>#REF!</v>
      </c>
      <c r="N74" s="658" t="e">
        <f>#REF!</f>
        <v>#REF!</v>
      </c>
      <c r="O74" s="1437" t="e">
        <f>#REF!</f>
        <v>#REF!</v>
      </c>
      <c r="P74" s="1438"/>
      <c r="Q74" s="1438"/>
      <c r="R74" s="1439"/>
      <c r="S74" s="823" t="e">
        <f>#REF!</f>
        <v>#REF!</v>
      </c>
    </row>
    <row r="75" spans="1:79" ht="17.25" customHeight="1">
      <c r="A75" s="1440" t="s">
        <v>26</v>
      </c>
      <c r="B75" s="84" t="s">
        <v>0</v>
      </c>
      <c r="C75" s="1427" t="e">
        <f>#REF!</f>
        <v>#REF!</v>
      </c>
      <c r="D75" s="1427"/>
      <c r="E75" s="1427"/>
      <c r="F75" s="827" t="s">
        <v>880</v>
      </c>
      <c r="G75" s="828" t="e">
        <f>#REF!</f>
        <v>#REF!</v>
      </c>
      <c r="H75" s="815"/>
      <c r="I75" s="827">
        <v>3</v>
      </c>
      <c r="J75" s="828" t="e">
        <f>#REF!</f>
        <v>#REF!</v>
      </c>
      <c r="K75" s="828" t="e">
        <f>#REF!</f>
        <v>#REF!</v>
      </c>
      <c r="L75" s="828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1"/>
      <c r="B76" s="881" t="s">
        <v>43</v>
      </c>
      <c r="C76" s="1360" t="e">
        <f>#REF!</f>
        <v>#REF!</v>
      </c>
      <c r="D76" s="1360"/>
      <c r="E76" s="1360"/>
      <c r="F76" s="418" t="s">
        <v>880</v>
      </c>
      <c r="G76" s="660" t="e">
        <f>#REF!</f>
        <v>#REF!</v>
      </c>
      <c r="H76" s="880"/>
      <c r="I76" s="418">
        <v>3</v>
      </c>
      <c r="J76" s="660" t="e">
        <f>#REF!</f>
        <v>#REF!</v>
      </c>
      <c r="K76" s="660" t="e">
        <f>#REF!</f>
        <v>#REF!</v>
      </c>
      <c r="L76" s="660" t="e">
        <f>#REF!</f>
        <v>#REF!</v>
      </c>
      <c r="M76" s="842" t="e">
        <f>#REF!</f>
        <v>#REF!</v>
      </c>
      <c r="N76" s="415" t="e">
        <f>#REF!</f>
        <v>#REF!</v>
      </c>
      <c r="O76" s="1442" t="e">
        <f>#REF!</f>
        <v>#REF!</v>
      </c>
      <c r="P76" s="1443"/>
      <c r="Q76" s="1443"/>
      <c r="R76" s="1444"/>
      <c r="S76" s="822" t="e">
        <f>#REF!</f>
        <v>#REF!</v>
      </c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27</v>
      </c>
      <c r="B77" s="841" t="s">
        <v>0</v>
      </c>
      <c r="C77" s="1427" t="e">
        <f>#REF!</f>
        <v>#REF!</v>
      </c>
      <c r="D77" s="1427"/>
      <c r="E77" s="1427"/>
      <c r="F77" s="827" t="s">
        <v>881</v>
      </c>
      <c r="G77" s="828" t="e">
        <f>#REF!</f>
        <v>#REF!</v>
      </c>
      <c r="H77" s="815"/>
      <c r="I77" s="827">
        <v>4</v>
      </c>
      <c r="J77" s="828" t="e">
        <f>#REF!</f>
        <v>#REF!</v>
      </c>
      <c r="K77" s="828" t="e">
        <f>#REF!</f>
        <v>#REF!</v>
      </c>
      <c r="L77" s="828" t="e">
        <f>#REF!</f>
        <v>#REF!</v>
      </c>
      <c r="M77" s="842" t="e">
        <f>#REF!</f>
        <v>#REF!</v>
      </c>
      <c r="N77" s="415" t="e">
        <f>#REF!</f>
        <v>#REF!</v>
      </c>
      <c r="O77" s="1442" t="e">
        <f>#REF!</f>
        <v>#REF!</v>
      </c>
      <c r="P77" s="1443"/>
      <c r="Q77" s="1443"/>
      <c r="R77" s="1444"/>
      <c r="S77" s="822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842"/>
      <c r="N78" s="415"/>
      <c r="O78" s="1442"/>
      <c r="P78" s="1443"/>
      <c r="Q78" s="1443"/>
      <c r="R78" s="1444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440" t="s">
        <v>641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441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659"/>
      <c r="N80" s="415"/>
      <c r="O80" s="1437"/>
      <c r="P80" s="1438"/>
      <c r="Q80" s="1438"/>
      <c r="R80" s="1439"/>
      <c r="S80" s="822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642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816"/>
      <c r="N81" s="415"/>
      <c r="O81" s="1437"/>
      <c r="P81" s="1438"/>
      <c r="Q81" s="1438"/>
      <c r="R81" s="1439"/>
      <c r="S81" s="82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89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816"/>
      <c r="N82" s="415"/>
      <c r="O82" s="1437"/>
      <c r="P82" s="1438"/>
      <c r="Q82" s="1438"/>
      <c r="R82" s="1439"/>
      <c r="S82" s="82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 t="s">
        <v>643</v>
      </c>
      <c r="B83" s="84" t="s">
        <v>0</v>
      </c>
      <c r="C83" s="1427" t="e">
        <f>#REF!</f>
        <v>#REF!</v>
      </c>
      <c r="D83" s="1427"/>
      <c r="E83" s="1427"/>
      <c r="F83" s="827" t="s">
        <v>882</v>
      </c>
      <c r="G83" s="828" t="e">
        <f>#REF!</f>
        <v>#REF!</v>
      </c>
      <c r="H83" s="815"/>
      <c r="I83" s="827">
        <v>11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36" customHeight="1">
      <c r="A84" s="1260"/>
      <c r="B84" s="881" t="s">
        <v>43</v>
      </c>
      <c r="C84" s="1360" t="e">
        <f>#REF!</f>
        <v>#REF!</v>
      </c>
      <c r="D84" s="1360"/>
      <c r="E84" s="1360"/>
      <c r="F84" s="418" t="s">
        <v>882</v>
      </c>
      <c r="G84" s="660" t="e">
        <f>#REF!</f>
        <v>#REF!</v>
      </c>
      <c r="H84" s="880"/>
      <c r="I84" s="418">
        <v>11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48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35.25" customHeight="1">
      <c r="A85" s="1260" t="s">
        <v>651</v>
      </c>
      <c r="B85" s="84" t="s">
        <v>0</v>
      </c>
      <c r="C85" s="1427" t="e">
        <f>#REF!</f>
        <v>#REF!</v>
      </c>
      <c r="D85" s="1427"/>
      <c r="E85" s="1427"/>
      <c r="F85" s="827" t="s">
        <v>883</v>
      </c>
      <c r="G85" s="828" t="e">
        <f>#REF!</f>
        <v>#REF!</v>
      </c>
      <c r="H85" s="815"/>
      <c r="I85" s="827">
        <v>5</v>
      </c>
      <c r="J85" s="828" t="e">
        <f>#REF!</f>
        <v>#REF!</v>
      </c>
      <c r="K85" s="828" t="e">
        <f>#REF!</f>
        <v>#REF!</v>
      </c>
      <c r="L85" s="828" t="e">
        <f>#REF!</f>
        <v>#REF!</v>
      </c>
      <c r="M85" s="659" t="e">
        <f>#REF!</f>
        <v>#REF!</v>
      </c>
      <c r="N85" s="415" t="e">
        <f>#REF!</f>
        <v>#REF!</v>
      </c>
      <c r="O85" s="1437" t="e">
        <f>#REF!</f>
        <v>#REF!</v>
      </c>
      <c r="P85" s="1438"/>
      <c r="Q85" s="1438"/>
      <c r="R85" s="1439"/>
      <c r="S85" s="823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1260"/>
      <c r="B86" s="881" t="s">
        <v>43</v>
      </c>
      <c r="C86" s="1360" t="e">
        <f>#REF!</f>
        <v>#REF!</v>
      </c>
      <c r="D86" s="1360"/>
      <c r="E86" s="1360"/>
      <c r="F86" s="418" t="s">
        <v>883</v>
      </c>
      <c r="G86" s="660" t="e">
        <f>#REF!</f>
        <v>#REF!</v>
      </c>
      <c r="H86" s="880"/>
      <c r="I86" s="418">
        <v>11</v>
      </c>
      <c r="J86" s="660" t="e">
        <f>#REF!</f>
        <v>#REF!</v>
      </c>
      <c r="K86" s="660" t="e">
        <f>#REF!</f>
        <v>#REF!</v>
      </c>
      <c r="L86" s="660" t="e">
        <f>#REF!</f>
        <v>#REF!</v>
      </c>
      <c r="M86" s="659" t="e">
        <f>#REF!</f>
        <v>#REF!</v>
      </c>
      <c r="N86" s="415" t="e">
        <f>#REF!</f>
        <v>#REF!</v>
      </c>
      <c r="O86" s="1437" t="e">
        <f>#REF!</f>
        <v>#REF!</v>
      </c>
      <c r="P86" s="1438"/>
      <c r="Q86" s="1438"/>
      <c r="R86" s="1439"/>
      <c r="S86" s="823" t="e">
        <f>#REF!</f>
        <v>#REF!</v>
      </c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ht="17.25" customHeight="1">
      <c r="A87" s="837"/>
      <c r="B87" s="841"/>
      <c r="C87" s="882"/>
      <c r="D87" s="883"/>
      <c r="E87" s="883"/>
      <c r="F87" s="845"/>
      <c r="G87" s="846"/>
      <c r="H87" s="815"/>
      <c r="I87" s="827"/>
      <c r="J87" s="834" t="s">
        <v>666</v>
      </c>
      <c r="K87" s="847" t="e">
        <f>SUM(K69:K86)</f>
        <v>#REF!</v>
      </c>
      <c r="L87" s="829"/>
      <c r="M87" s="659"/>
      <c r="N87" s="415"/>
      <c r="O87" s="1437"/>
      <c r="P87" s="1438"/>
      <c r="Q87" s="1438"/>
      <c r="R87" s="1439"/>
      <c r="S87" s="862"/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  <c r="AF87" s="793"/>
      <c r="AG87" s="793"/>
      <c r="AH87" s="793"/>
      <c r="AI87" s="793"/>
      <c r="AJ87" s="793"/>
      <c r="AK87" s="793"/>
      <c r="AL87" s="793"/>
      <c r="AM87" s="793"/>
      <c r="AN87" s="793"/>
      <c r="AO87" s="793"/>
      <c r="AP87" s="793"/>
      <c r="AQ87" s="793"/>
      <c r="AR87" s="793"/>
      <c r="AS87" s="793"/>
      <c r="AT87" s="793"/>
      <c r="AU87" s="793"/>
      <c r="AV87" s="793"/>
      <c r="AW87" s="793"/>
      <c r="AX87" s="793"/>
      <c r="AY87" s="793"/>
      <c r="AZ87" s="793"/>
      <c r="BA87" s="793"/>
      <c r="BB87" s="793"/>
      <c r="BC87" s="793"/>
      <c r="BD87" s="793"/>
      <c r="BE87" s="793"/>
      <c r="BF87" s="793"/>
      <c r="BG87" s="793"/>
      <c r="BH87" s="793"/>
      <c r="BI87" s="793"/>
      <c r="BJ87" s="793"/>
      <c r="BK87" s="793"/>
      <c r="BL87" s="793"/>
      <c r="BM87" s="793"/>
      <c r="BN87" s="793"/>
      <c r="BO87" s="793"/>
      <c r="BP87" s="793"/>
      <c r="BQ87" s="793"/>
      <c r="BR87" s="793"/>
      <c r="BS87" s="793"/>
      <c r="BT87" s="793"/>
      <c r="BU87" s="793"/>
      <c r="BV87" s="793"/>
      <c r="BW87" s="793"/>
      <c r="BX87" s="793"/>
      <c r="BY87" s="793"/>
      <c r="BZ87" s="793"/>
      <c r="CA87" s="793"/>
    </row>
    <row r="88" spans="1:79" s="76" customFormat="1" ht="39" customHeight="1">
      <c r="A88" s="400" t="s">
        <v>63</v>
      </c>
      <c r="B88" s="400" t="s">
        <v>193</v>
      </c>
      <c r="C88" s="1445" t="s">
        <v>11</v>
      </c>
      <c r="D88" s="1446"/>
      <c r="E88" s="1446"/>
      <c r="F88" s="1446"/>
      <c r="G88" s="1447"/>
      <c r="H88" s="242" t="s">
        <v>216</v>
      </c>
      <c r="I88" s="242" t="s">
        <v>12</v>
      </c>
      <c r="J88" s="242" t="s">
        <v>13</v>
      </c>
      <c r="K88" s="405" t="s">
        <v>218</v>
      </c>
      <c r="L88" s="416" t="s">
        <v>60</v>
      </c>
      <c r="M88" s="257" t="s">
        <v>28</v>
      </c>
      <c r="N88" s="257" t="s">
        <v>45</v>
      </c>
      <c r="O88" s="1448" t="s">
        <v>29</v>
      </c>
      <c r="P88" s="1449"/>
      <c r="Q88" s="1449"/>
      <c r="R88" s="1450"/>
      <c r="S88" s="417" t="s">
        <v>57</v>
      </c>
    </row>
    <row r="89" spans="1:79" ht="18" customHeight="1">
      <c r="A89" s="1199">
        <v>401</v>
      </c>
      <c r="B89" s="84" t="s">
        <v>0</v>
      </c>
      <c r="C89" s="1290">
        <f>印401!I23</f>
        <v>0</v>
      </c>
      <c r="D89" s="1290"/>
      <c r="E89" s="1290"/>
      <c r="F89" s="1290"/>
      <c r="G89" s="1290"/>
      <c r="H89" s="849"/>
      <c r="I89" s="849">
        <f>印401!R23</f>
        <v>0</v>
      </c>
      <c r="J89" s="852">
        <f>印401!S23</f>
        <v>0</v>
      </c>
      <c r="K89" s="872">
        <f>印401!L23</f>
        <v>0</v>
      </c>
      <c r="L89" s="873">
        <f>印401!N23</f>
        <v>0</v>
      </c>
      <c r="M89" s="852">
        <f>印401!P23</f>
        <v>0</v>
      </c>
      <c r="N89" s="853">
        <f>印401!Q23</f>
        <v>0</v>
      </c>
      <c r="O89" s="1451"/>
      <c r="P89" s="1452"/>
      <c r="Q89" s="1452"/>
      <c r="R89" s="1453"/>
      <c r="S89" s="874">
        <f>印401!AB23</f>
        <v>0</v>
      </c>
    </row>
    <row r="90" spans="1:79" ht="18" customHeight="1">
      <c r="A90" s="1216"/>
      <c r="B90" s="84" t="s">
        <v>0</v>
      </c>
      <c r="C90" s="1290">
        <f>印401!I24</f>
        <v>0</v>
      </c>
      <c r="D90" s="1290"/>
      <c r="E90" s="1290"/>
      <c r="F90" s="1290"/>
      <c r="G90" s="1290"/>
      <c r="H90" s="849"/>
      <c r="I90" s="849">
        <f>印401!R24</f>
        <v>0</v>
      </c>
      <c r="J90" s="852">
        <f>印401!S24</f>
        <v>0</v>
      </c>
      <c r="K90" s="872">
        <f>印401!L24</f>
        <v>0</v>
      </c>
      <c r="L90" s="873">
        <f>印401!N24</f>
        <v>0</v>
      </c>
      <c r="M90" s="852">
        <f>印401!P24</f>
        <v>0</v>
      </c>
      <c r="N90" s="853">
        <f>印401!Q24</f>
        <v>0</v>
      </c>
      <c r="O90" s="1451"/>
      <c r="P90" s="1452"/>
      <c r="Q90" s="1452"/>
      <c r="R90" s="1453"/>
      <c r="S90" s="874">
        <f>印401!AB24</f>
        <v>0</v>
      </c>
    </row>
    <row r="91" spans="1:79" ht="18" customHeight="1">
      <c r="A91" s="1165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8" customHeight="1">
      <c r="A92" s="1461">
        <v>402</v>
      </c>
      <c r="B92" s="84" t="s">
        <v>205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73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467"/>
      <c r="B96" s="881" t="s">
        <v>43</v>
      </c>
      <c r="C96" s="1454" t="s">
        <v>633</v>
      </c>
      <c r="D96" s="1454"/>
      <c r="E96" s="1454"/>
      <c r="F96" s="1454"/>
      <c r="G96" s="1454"/>
      <c r="H96" s="664"/>
      <c r="I96" s="664"/>
      <c r="J96" s="840"/>
      <c r="K96" s="424"/>
      <c r="L96" s="840"/>
      <c r="M96" s="840"/>
      <c r="N96" s="672"/>
      <c r="O96" s="1455"/>
      <c r="P96" s="1456"/>
      <c r="Q96" s="1456"/>
      <c r="R96" s="1457"/>
      <c r="S96" s="810"/>
    </row>
    <row r="97" spans="1:19" ht="18" customHeight="1">
      <c r="A97" s="1199">
        <v>405</v>
      </c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165"/>
      <c r="B98" s="881" t="s">
        <v>43</v>
      </c>
      <c r="C98" s="1454" t="s">
        <v>633</v>
      </c>
      <c r="D98" s="1454"/>
      <c r="E98" s="1454"/>
      <c r="F98" s="1454"/>
      <c r="G98" s="1454"/>
      <c r="H98" s="664"/>
      <c r="I98" s="664"/>
      <c r="J98" s="840"/>
      <c r="K98" s="424"/>
      <c r="L98" s="840"/>
      <c r="M98" s="840"/>
      <c r="N98" s="672"/>
      <c r="O98" s="1455"/>
      <c r="P98" s="1456"/>
      <c r="Q98" s="1456"/>
      <c r="R98" s="1457"/>
      <c r="S98" s="810"/>
    </row>
    <row r="99" spans="1:19" ht="18" customHeight="1">
      <c r="A99" s="314"/>
      <c r="B99" s="841"/>
      <c r="C99" s="1458"/>
      <c r="D99" s="1459"/>
      <c r="E99" s="1459"/>
      <c r="F99" s="1459"/>
      <c r="G99" s="1460"/>
      <c r="H99" s="849"/>
      <c r="I99" s="849"/>
      <c r="J99" s="834" t="s">
        <v>666</v>
      </c>
      <c r="K99" s="835" t="e">
        <f>SUM(K89:K98)</f>
        <v>#REF!</v>
      </c>
      <c r="L99" s="852"/>
      <c r="M99" s="852"/>
      <c r="N99" s="853"/>
      <c r="O99" s="886"/>
      <c r="P99" s="887"/>
      <c r="Q99" s="887"/>
      <c r="R99" s="888"/>
      <c r="S99" s="854"/>
    </row>
    <row r="100" spans="1:19" s="76" customFormat="1" ht="31.7" hidden="1" customHeight="1">
      <c r="A100" s="400" t="s">
        <v>425</v>
      </c>
      <c r="B100" s="400" t="s">
        <v>193</v>
      </c>
      <c r="C100" s="1282" t="e">
        <f>[1]印403!J91</f>
        <v>#REF!</v>
      </c>
      <c r="D100" s="1283"/>
      <c r="E100" s="1283"/>
      <c r="F100" s="1283"/>
      <c r="G100" s="1468"/>
      <c r="H100" s="242" t="s">
        <v>216</v>
      </c>
      <c r="I100" s="242" t="s">
        <v>12</v>
      </c>
      <c r="J100" s="242" t="s">
        <v>13</v>
      </c>
      <c r="K100" s="405" t="s">
        <v>218</v>
      </c>
      <c r="L100" s="427" t="s">
        <v>60</v>
      </c>
      <c r="M100" s="399" t="e">
        <f>[1]印403!O90</f>
        <v>#REF!</v>
      </c>
      <c r="N100" s="257" t="s">
        <v>45</v>
      </c>
      <c r="O100" s="1448" t="s">
        <v>29</v>
      </c>
      <c r="P100" s="1449"/>
      <c r="Q100" s="1449"/>
      <c r="R100" s="1450"/>
      <c r="S100" s="417" t="s">
        <v>57</v>
      </c>
    </row>
    <row r="101" spans="1:19" ht="15" hidden="1" customHeight="1">
      <c r="A101" s="1199" t="s">
        <v>426</v>
      </c>
      <c r="B101" s="84" t="s">
        <v>205</v>
      </c>
      <c r="C101" s="1282" t="e">
        <f>[1]印403!J92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[1]印403!O91</f>
        <v>#REF!</v>
      </c>
      <c r="N101" s="399"/>
      <c r="O101" s="1469"/>
      <c r="P101" s="1245"/>
      <c r="Q101" s="1245"/>
      <c r="R101" s="1246"/>
      <c r="S101" s="1470"/>
    </row>
    <row r="102" spans="1:19" ht="13.7" hidden="1" customHeight="1">
      <c r="A102" s="1216"/>
      <c r="B102" s="84" t="s">
        <v>205</v>
      </c>
      <c r="C102" s="1282" t="e">
        <f>[1]印403!J93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[1]印403!O92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[1]印403!J94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[1]印403!O93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[1]印403!J95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[1]印403!O94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[1]印403!J96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[1]印403!O95</f>
        <v>#REF!</v>
      </c>
      <c r="N105" s="425"/>
      <c r="O105" s="669"/>
      <c r="P105" s="670"/>
      <c r="Q105" s="670"/>
      <c r="R105" s="671"/>
      <c r="S105" s="1471"/>
    </row>
    <row r="106" spans="1:19" ht="16.5" hidden="1" customHeight="1">
      <c r="A106" s="1216"/>
      <c r="B106" s="881" t="s">
        <v>43</v>
      </c>
      <c r="C106" s="1282" t="e">
        <f>[1]印403!J97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[1]印403!O96</f>
        <v>#REF!</v>
      </c>
      <c r="N106" s="672"/>
      <c r="O106" s="1476"/>
      <c r="P106" s="1477"/>
      <c r="Q106" s="1477"/>
      <c r="R106" s="1478"/>
      <c r="S106" s="1485"/>
    </row>
    <row r="107" spans="1:19" ht="15" hidden="1" customHeight="1">
      <c r="A107" s="1216"/>
      <c r="B107" s="881" t="s">
        <v>43</v>
      </c>
      <c r="C107" s="1282" t="e">
        <f>[1]印403!J98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[1]印403!O97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216"/>
      <c r="B108" s="881" t="s">
        <v>43</v>
      </c>
      <c r="C108" s="1282" t="e">
        <f>[1]印403!J99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[1]印403!O98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165"/>
      <c r="B109" s="881" t="s">
        <v>43</v>
      </c>
      <c r="C109" s="1282" t="e">
        <f>[1]印403!J100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[1]印403!O99</f>
        <v>#REF!</v>
      </c>
      <c r="N109" s="672"/>
      <c r="O109" s="1482"/>
      <c r="P109" s="1483"/>
      <c r="Q109" s="1483"/>
      <c r="R109" s="1484"/>
      <c r="S109" s="1486"/>
    </row>
    <row r="110" spans="1:19" ht="6" customHeight="1">
      <c r="A110" s="248"/>
      <c r="C110" s="249"/>
    </row>
    <row r="111" spans="1:19" ht="6" customHeight="1" thickBot="1">
      <c r="A111" s="248"/>
      <c r="C111" s="249"/>
    </row>
    <row r="112" spans="1:19" ht="15" customHeight="1" thickTop="1">
      <c r="A112" s="1472" t="s">
        <v>30</v>
      </c>
      <c r="B112" s="1473"/>
      <c r="C112" s="1473"/>
      <c r="D112" s="1473"/>
      <c r="E112" s="376">
        <v>300400</v>
      </c>
      <c r="F112" s="75" t="s">
        <v>64</v>
      </c>
      <c r="G112" s="1472" t="s">
        <v>31</v>
      </c>
      <c r="H112" s="1473"/>
      <c r="I112" s="1473"/>
      <c r="J112" s="1473"/>
      <c r="K112" s="1473"/>
      <c r="L112" s="377">
        <v>160000</v>
      </c>
      <c r="M112" s="75" t="s">
        <v>64</v>
      </c>
      <c r="N112" s="1472" t="s">
        <v>32</v>
      </c>
      <c r="O112" s="1473"/>
      <c r="P112" s="1473"/>
      <c r="Q112" s="377">
        <v>408000</v>
      </c>
      <c r="R112" s="75" t="s">
        <v>64</v>
      </c>
      <c r="S112" s="75"/>
    </row>
    <row r="113" spans="1:20" ht="15" customHeight="1" thickBot="1">
      <c r="A113" s="1474" t="s">
        <v>66</v>
      </c>
      <c r="B113" s="1475"/>
      <c r="C113" s="1475"/>
      <c r="D113" s="1475"/>
      <c r="E113" s="674">
        <f>(72+30)*1000</f>
        <v>102000</v>
      </c>
      <c r="G113" s="1474" t="s">
        <v>66</v>
      </c>
      <c r="H113" s="1475"/>
      <c r="I113" s="1475"/>
      <c r="J113" s="1475"/>
      <c r="K113" s="1475"/>
      <c r="L113" s="674">
        <f>50*1000</f>
        <v>50000</v>
      </c>
      <c r="N113" s="1474" t="s">
        <v>33</v>
      </c>
      <c r="O113" s="1475"/>
      <c r="P113" s="1475"/>
      <c r="Q113" s="674">
        <f>(204+36)*500</f>
        <v>120000</v>
      </c>
      <c r="R113" s="75"/>
      <c r="S113" s="75"/>
    </row>
    <row r="114" spans="1:20" ht="15" customHeight="1" thickTop="1" thickBot="1">
      <c r="A114" s="1487" t="s">
        <v>34</v>
      </c>
      <c r="B114" s="1488"/>
      <c r="C114" s="1488"/>
      <c r="D114" s="1488"/>
      <c r="E114" s="378">
        <f>E112+E113</f>
        <v>402400</v>
      </c>
      <c r="F114" s="75" t="s">
        <v>64</v>
      </c>
      <c r="G114" s="1487" t="s">
        <v>35</v>
      </c>
      <c r="H114" s="1488"/>
      <c r="I114" s="1488"/>
      <c r="J114" s="1488"/>
      <c r="K114" s="1488"/>
      <c r="L114" s="379">
        <f>L112+L113</f>
        <v>210000</v>
      </c>
      <c r="M114" s="75" t="s">
        <v>64</v>
      </c>
      <c r="N114" s="1487" t="s">
        <v>36</v>
      </c>
      <c r="O114" s="1488"/>
      <c r="P114" s="1488"/>
      <c r="Q114" s="379">
        <f>Q112+Q113</f>
        <v>528000</v>
      </c>
      <c r="R114" s="75" t="s">
        <v>64</v>
      </c>
      <c r="S114" s="75"/>
    </row>
    <row r="115" spans="1:20" ht="15" customHeight="1" thickTop="1" thickBot="1">
      <c r="E115" s="252">
        <f>印401!M64</f>
        <v>0</v>
      </c>
      <c r="L115" s="675" t="e">
        <f>#REF!</f>
        <v>#REF!</v>
      </c>
      <c r="O115" s="75"/>
      <c r="P115" s="75"/>
      <c r="Q115" s="675" t="e">
        <f>#REF!</f>
        <v>#REF!</v>
      </c>
      <c r="R115" s="75"/>
      <c r="S115" s="75"/>
    </row>
    <row r="116" spans="1:20" ht="15" customHeight="1" thickBot="1">
      <c r="A116" s="676" t="s">
        <v>37</v>
      </c>
      <c r="B116" s="677"/>
      <c r="C116" s="677"/>
      <c r="D116" s="678"/>
      <c r="E116" s="253">
        <f>印401!P64</f>
        <v>0</v>
      </c>
      <c r="F116" s="75" t="s">
        <v>64</v>
      </c>
      <c r="G116" s="676" t="s">
        <v>38</v>
      </c>
      <c r="H116" s="677"/>
      <c r="I116" s="677"/>
      <c r="J116" s="677"/>
      <c r="K116" s="677"/>
      <c r="L116" s="384" t="e">
        <f>#REF!</f>
        <v>#REF!</v>
      </c>
      <c r="M116" s="75" t="s">
        <v>64</v>
      </c>
      <c r="N116" s="676" t="s">
        <v>39</v>
      </c>
      <c r="O116" s="677"/>
      <c r="P116" s="677"/>
      <c r="Q116" s="384" t="e">
        <f>#REF!</f>
        <v>#REF!</v>
      </c>
      <c r="R116" s="75" t="s">
        <v>64</v>
      </c>
      <c r="S116" s="75"/>
    </row>
    <row r="117" spans="1:20" ht="3" customHeight="1" thickBot="1">
      <c r="J117" s="255"/>
      <c r="K117" s="256"/>
    </row>
    <row r="118" spans="1:20" ht="15" customHeight="1" thickTop="1">
      <c r="B118" s="1509" t="s">
        <v>69</v>
      </c>
      <c r="C118" s="1510"/>
      <c r="D118" s="1511" t="s">
        <v>305</v>
      </c>
      <c r="E118" s="1512"/>
      <c r="F118" s="1489" t="s">
        <v>306</v>
      </c>
      <c r="G118" s="1490"/>
      <c r="H118" s="1491" t="s">
        <v>307</v>
      </c>
      <c r="I118" s="1492"/>
      <c r="J118" s="1492"/>
      <c r="K118" s="1493"/>
      <c r="L118" s="1472" t="s">
        <v>657</v>
      </c>
      <c r="M118" s="1473"/>
      <c r="N118" s="1473"/>
      <c r="O118" s="377">
        <v>1036000</v>
      </c>
      <c r="P118" s="75" t="s">
        <v>64</v>
      </c>
      <c r="Q118" s="1496" t="s">
        <v>65</v>
      </c>
      <c r="R118" s="1497"/>
      <c r="S118" s="385">
        <v>9300445</v>
      </c>
    </row>
    <row r="119" spans="1:20" ht="15" customHeight="1" thickBot="1">
      <c r="B119" s="1498" t="s">
        <v>308</v>
      </c>
      <c r="C119" s="1499"/>
      <c r="D119" s="1500" t="e">
        <f>總表!D20</f>
        <v>#REF!</v>
      </c>
      <c r="E119" s="1501"/>
      <c r="F119" s="1502">
        <f>總表!E20</f>
        <v>1316871</v>
      </c>
      <c r="G119" s="1503"/>
      <c r="H119" s="1504" t="e">
        <f>(D119-F119)/D119</f>
        <v>#REF!</v>
      </c>
      <c r="I119" s="1505"/>
      <c r="J119" s="1505"/>
      <c r="K119" s="1506"/>
      <c r="L119" s="1474" t="s">
        <v>33</v>
      </c>
      <c r="M119" s="1475"/>
      <c r="N119" s="1475"/>
      <c r="O119" s="674">
        <f>400*600</f>
        <v>240000</v>
      </c>
      <c r="P119" s="75"/>
      <c r="Q119" s="1507" t="s">
        <v>67</v>
      </c>
      <c r="R119" s="1508"/>
      <c r="S119" s="386" t="e">
        <f>SUM(L51:L86,L89:L98)</f>
        <v>#REF!</v>
      </c>
    </row>
    <row r="120" spans="1:20" ht="15" customHeight="1" thickTop="1" thickBot="1">
      <c r="B120" s="1513" t="s">
        <v>309</v>
      </c>
      <c r="C120" s="1514"/>
      <c r="D120" s="1515" t="e">
        <f>總表!C43</f>
        <v>#REF!</v>
      </c>
      <c r="E120" s="1516"/>
      <c r="F120" s="1502" t="e">
        <f>總表!F43</f>
        <v>#REF!</v>
      </c>
      <c r="G120" s="1503"/>
      <c r="H120" s="1504" t="e">
        <f>(D120-F120)/D120</f>
        <v>#REF!</v>
      </c>
      <c r="I120" s="1505"/>
      <c r="J120" s="1505"/>
      <c r="K120" s="1506"/>
      <c r="L120" s="1487" t="s">
        <v>658</v>
      </c>
      <c r="M120" s="1488"/>
      <c r="N120" s="1488"/>
      <c r="O120" s="379">
        <f>O118+O119</f>
        <v>1276000</v>
      </c>
      <c r="P120" s="75" t="s">
        <v>64</v>
      </c>
      <c r="Q120" s="1494" t="s">
        <v>68</v>
      </c>
      <c r="R120" s="1495"/>
      <c r="S120" s="387" t="e">
        <f>S118+S119</f>
        <v>#REF!</v>
      </c>
    </row>
    <row r="121" spans="1:20" ht="14.1" customHeight="1" thickTop="1" thickBot="1">
      <c r="B121" s="250" t="s">
        <v>310</v>
      </c>
      <c r="C121" s="250"/>
      <c r="D121" s="250"/>
      <c r="E121" s="233"/>
      <c r="O121" s="675" t="e">
        <f>#REF!</f>
        <v>#REF!</v>
      </c>
      <c r="P121" s="75"/>
      <c r="Q121" s="75"/>
      <c r="R121" s="254" t="e">
        <f>總表!E43+總表!E52</f>
        <v>#REF!</v>
      </c>
      <c r="S121" s="254" t="e">
        <f>R121-S120</f>
        <v>#REF!</v>
      </c>
    </row>
    <row r="122" spans="1:20" ht="17.25" customHeight="1" thickBot="1">
      <c r="B122" s="250" t="s">
        <v>40</v>
      </c>
      <c r="C122" s="233"/>
      <c r="D122" s="233"/>
      <c r="E122" s="233"/>
      <c r="F122" s="233"/>
      <c r="L122" s="676" t="s">
        <v>659</v>
      </c>
      <c r="M122" s="677"/>
      <c r="N122" s="677"/>
      <c r="O122" s="384" t="e">
        <f>#REF!</f>
        <v>#REF!</v>
      </c>
      <c r="P122" s="75" t="s">
        <v>64</v>
      </c>
      <c r="T122" s="233"/>
    </row>
    <row r="123" spans="1:20" ht="15.75" customHeight="1">
      <c r="B123" s="75" t="s">
        <v>41</v>
      </c>
      <c r="N123" s="233"/>
      <c r="S123" s="75"/>
    </row>
  </sheetData>
  <mergeCells count="295">
    <mergeCell ref="C90:G90"/>
    <mergeCell ref="O90:R90"/>
    <mergeCell ref="O89:R89"/>
    <mergeCell ref="C67:E67"/>
    <mergeCell ref="O67:R67"/>
    <mergeCell ref="C84:E84"/>
    <mergeCell ref="O84:R84"/>
    <mergeCell ref="C86:E86"/>
    <mergeCell ref="O86:R86"/>
    <mergeCell ref="O70:R70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O12:R12"/>
    <mergeCell ref="L4:M4"/>
    <mergeCell ref="N4:P4"/>
    <mergeCell ref="Q4:R4"/>
    <mergeCell ref="L5:M5"/>
    <mergeCell ref="N5:P5"/>
    <mergeCell ref="Q5:R5"/>
    <mergeCell ref="A14:A15"/>
    <mergeCell ref="G6:I6"/>
    <mergeCell ref="K6:M6"/>
    <mergeCell ref="O6:R6"/>
    <mergeCell ref="A11:A13"/>
    <mergeCell ref="G11:I11"/>
    <mergeCell ref="K11:M11"/>
    <mergeCell ref="O11:R11"/>
    <mergeCell ref="G12:I12"/>
    <mergeCell ref="K12:M13"/>
    <mergeCell ref="A9:A10"/>
    <mergeCell ref="G9:I9"/>
    <mergeCell ref="K9:M9"/>
    <mergeCell ref="O9:R9"/>
    <mergeCell ref="G10:I10"/>
    <mergeCell ref="K10:M10"/>
    <mergeCell ref="O10:R10"/>
    <mergeCell ref="S55:S56"/>
    <mergeCell ref="A16:A17"/>
    <mergeCell ref="G16:I16"/>
    <mergeCell ref="K16:M16"/>
    <mergeCell ref="O16:R16"/>
    <mergeCell ref="G17:I17"/>
    <mergeCell ref="K17:M17"/>
    <mergeCell ref="O17:R17"/>
    <mergeCell ref="K21:M21"/>
    <mergeCell ref="O21:R21"/>
    <mergeCell ref="K24:M24"/>
    <mergeCell ref="O24:R24"/>
    <mergeCell ref="A25:A30"/>
    <mergeCell ref="G25:I25"/>
    <mergeCell ref="K25:M27"/>
    <mergeCell ref="O25:R27"/>
    <mergeCell ref="G26:I26"/>
    <mergeCell ref="G27:I27"/>
    <mergeCell ref="G28:I28"/>
    <mergeCell ref="K28:M30"/>
    <mergeCell ref="O28:R30"/>
    <mergeCell ref="S28:S30"/>
    <mergeCell ref="G29:I29"/>
    <mergeCell ref="G30:I30"/>
    <mergeCell ref="S25:S27"/>
    <mergeCell ref="C31:E31"/>
    <mergeCell ref="O31:R31"/>
    <mergeCell ref="A32:A38"/>
    <mergeCell ref="C32:E32"/>
    <mergeCell ref="M32:M34"/>
    <mergeCell ref="O32:R34"/>
    <mergeCell ref="S32:S34"/>
    <mergeCell ref="C33:E33"/>
    <mergeCell ref="C34:E34"/>
    <mergeCell ref="C35:E35"/>
    <mergeCell ref="M35:M38"/>
    <mergeCell ref="O35:R38"/>
    <mergeCell ref="S35:S38"/>
    <mergeCell ref="C36:E36"/>
    <mergeCell ref="C37:E37"/>
    <mergeCell ref="C38:E38"/>
    <mergeCell ref="A39:A44"/>
    <mergeCell ref="C39:E39"/>
    <mergeCell ref="M39:M41"/>
    <mergeCell ref="O39:R41"/>
    <mergeCell ref="S39:S41"/>
    <mergeCell ref="C40:E40"/>
    <mergeCell ref="S48:S50"/>
    <mergeCell ref="C49:E49"/>
    <mergeCell ref="C50:E50"/>
    <mergeCell ref="C41:E41"/>
    <mergeCell ref="C42:E42"/>
    <mergeCell ref="M42:M44"/>
    <mergeCell ref="O42:R44"/>
    <mergeCell ref="S42:S44"/>
    <mergeCell ref="C43:E43"/>
    <mergeCell ref="C44:E44"/>
    <mergeCell ref="A45:A50"/>
    <mergeCell ref="C45:E45"/>
    <mergeCell ref="M45:M47"/>
    <mergeCell ref="O45:R47"/>
    <mergeCell ref="S45:S47"/>
    <mergeCell ref="C46:E46"/>
    <mergeCell ref="C47:E47"/>
    <mergeCell ref="C48:E48"/>
    <mergeCell ref="M48:M50"/>
    <mergeCell ref="O48:R50"/>
    <mergeCell ref="V51:X51"/>
    <mergeCell ref="C52:E52"/>
    <mergeCell ref="O52:R52"/>
    <mergeCell ref="V52:X52"/>
    <mergeCell ref="A53:A54"/>
    <mergeCell ref="C53:E53"/>
    <mergeCell ref="O53:R53"/>
    <mergeCell ref="A51:A52"/>
    <mergeCell ref="C51:E51"/>
    <mergeCell ref="O51:R51"/>
    <mergeCell ref="A55:A57"/>
    <mergeCell ref="C55:E55"/>
    <mergeCell ref="O55:R55"/>
    <mergeCell ref="C54:E54"/>
    <mergeCell ref="O54:R54"/>
    <mergeCell ref="C56:E56"/>
    <mergeCell ref="O56:R56"/>
    <mergeCell ref="C57:E57"/>
    <mergeCell ref="O57:R57"/>
    <mergeCell ref="A58:A59"/>
    <mergeCell ref="C58:E58"/>
    <mergeCell ref="O58:R58"/>
    <mergeCell ref="C59:E59"/>
    <mergeCell ref="O59:R59"/>
    <mergeCell ref="A60:A61"/>
    <mergeCell ref="C60:E60"/>
    <mergeCell ref="O60:R60"/>
    <mergeCell ref="C61:E61"/>
    <mergeCell ref="O61:R61"/>
    <mergeCell ref="A62:A63"/>
    <mergeCell ref="C62:E62"/>
    <mergeCell ref="O62:R62"/>
    <mergeCell ref="A64:A65"/>
    <mergeCell ref="C64:E64"/>
    <mergeCell ref="O64:R64"/>
    <mergeCell ref="C65:E65"/>
    <mergeCell ref="O65:R65"/>
    <mergeCell ref="C63:E63"/>
    <mergeCell ref="O63:R63"/>
    <mergeCell ref="A66:A67"/>
    <mergeCell ref="C66:E66"/>
    <mergeCell ref="O66:R66"/>
    <mergeCell ref="O68:R68"/>
    <mergeCell ref="C74:E74"/>
    <mergeCell ref="O74:R74"/>
    <mergeCell ref="A69:A70"/>
    <mergeCell ref="C69:E69"/>
    <mergeCell ref="O69:R69"/>
    <mergeCell ref="C70:E70"/>
    <mergeCell ref="A71:A72"/>
    <mergeCell ref="C71:E71"/>
    <mergeCell ref="O71:R71"/>
    <mergeCell ref="C72:E72"/>
    <mergeCell ref="O72:R72"/>
    <mergeCell ref="A73:A74"/>
    <mergeCell ref="C73:E73"/>
    <mergeCell ref="O73:R73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9:A80"/>
    <mergeCell ref="C79:E79"/>
    <mergeCell ref="O79:R79"/>
    <mergeCell ref="C80:E80"/>
    <mergeCell ref="O80:R80"/>
    <mergeCell ref="A81:A82"/>
    <mergeCell ref="C81:E81"/>
    <mergeCell ref="O81:R81"/>
    <mergeCell ref="C82:E82"/>
    <mergeCell ref="O82:R82"/>
    <mergeCell ref="A83:A84"/>
    <mergeCell ref="C83:E83"/>
    <mergeCell ref="O83:R83"/>
    <mergeCell ref="A85:A86"/>
    <mergeCell ref="C85:E85"/>
    <mergeCell ref="O85:R85"/>
    <mergeCell ref="O87:R87"/>
    <mergeCell ref="C95:G95"/>
    <mergeCell ref="O95:R95"/>
    <mergeCell ref="C88:G88"/>
    <mergeCell ref="O88:R88"/>
    <mergeCell ref="A89:A91"/>
    <mergeCell ref="C89:G89"/>
    <mergeCell ref="C91:G91"/>
    <mergeCell ref="O91:R91"/>
    <mergeCell ref="A92:A93"/>
    <mergeCell ref="C92:G92"/>
    <mergeCell ref="O92:R92"/>
    <mergeCell ref="C93:G93"/>
    <mergeCell ref="O93:R93"/>
    <mergeCell ref="A94:A96"/>
    <mergeCell ref="C94:G94"/>
    <mergeCell ref="O94:R94"/>
    <mergeCell ref="C96:G96"/>
    <mergeCell ref="O96:R96"/>
    <mergeCell ref="A97:A98"/>
    <mergeCell ref="C97:G97"/>
    <mergeCell ref="O97:R97"/>
    <mergeCell ref="C98:G98"/>
    <mergeCell ref="O98:R98"/>
    <mergeCell ref="C99:G99"/>
    <mergeCell ref="C100:G100"/>
    <mergeCell ref="O100:R100"/>
    <mergeCell ref="A101:A109"/>
    <mergeCell ref="C101:G101"/>
    <mergeCell ref="O101:R101"/>
    <mergeCell ref="C109:G109"/>
    <mergeCell ref="S101:S105"/>
    <mergeCell ref="C102:G102"/>
    <mergeCell ref="C103:G103"/>
    <mergeCell ref="C104:G104"/>
    <mergeCell ref="C105:G105"/>
    <mergeCell ref="C106:G106"/>
    <mergeCell ref="O106:R109"/>
    <mergeCell ref="S106:S109"/>
    <mergeCell ref="C107:G107"/>
    <mergeCell ref="C108:G108"/>
    <mergeCell ref="H119:K119"/>
    <mergeCell ref="L119:N119"/>
    <mergeCell ref="Q119:R119"/>
    <mergeCell ref="A112:D112"/>
    <mergeCell ref="G112:K112"/>
    <mergeCell ref="N112:P112"/>
    <mergeCell ref="A113:D113"/>
    <mergeCell ref="G113:K113"/>
    <mergeCell ref="N113:P113"/>
    <mergeCell ref="A114:D114"/>
    <mergeCell ref="G114:K114"/>
    <mergeCell ref="N114:P114"/>
    <mergeCell ref="B120:C120"/>
    <mergeCell ref="D120:E120"/>
    <mergeCell ref="F120:G120"/>
    <mergeCell ref="H120:K120"/>
    <mergeCell ref="L120:N120"/>
    <mergeCell ref="Q120:R120"/>
    <mergeCell ref="A7:A8"/>
    <mergeCell ref="G7:I7"/>
    <mergeCell ref="K7:M7"/>
    <mergeCell ref="O7:R7"/>
    <mergeCell ref="G8:I8"/>
    <mergeCell ref="K8:M8"/>
    <mergeCell ref="O8:R8"/>
    <mergeCell ref="A18:A21"/>
    <mergeCell ref="A22:A23"/>
    <mergeCell ref="B118:C118"/>
    <mergeCell ref="D118:E118"/>
    <mergeCell ref="F118:G118"/>
    <mergeCell ref="H118:K118"/>
    <mergeCell ref="L118:N118"/>
    <mergeCell ref="Q118:R118"/>
    <mergeCell ref="B119:C119"/>
    <mergeCell ref="D119:E119"/>
    <mergeCell ref="F119:G119"/>
    <mergeCell ref="S12:S13"/>
    <mergeCell ref="G13:I13"/>
    <mergeCell ref="O13:R13"/>
    <mergeCell ref="G18:I18"/>
    <mergeCell ref="O18:R18"/>
    <mergeCell ref="G23:I23"/>
    <mergeCell ref="K23:M23"/>
    <mergeCell ref="O23:R23"/>
    <mergeCell ref="G19:I19"/>
    <mergeCell ref="O19:R19"/>
    <mergeCell ref="K18:M20"/>
    <mergeCell ref="S18:S20"/>
    <mergeCell ref="G22:I22"/>
    <mergeCell ref="K22:M22"/>
    <mergeCell ref="O22:R22"/>
    <mergeCell ref="G20:I20"/>
    <mergeCell ref="O20:R20"/>
    <mergeCell ref="G21:I21"/>
    <mergeCell ref="G14:I14"/>
    <mergeCell ref="K14:M14"/>
    <mergeCell ref="O14:R14"/>
    <mergeCell ref="G15:I15"/>
    <mergeCell ref="K15:M15"/>
    <mergeCell ref="O15:R15"/>
  </mergeCells>
  <phoneticPr fontId="26" type="noConversion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A122"/>
  <sheetViews>
    <sheetView topLeftCell="K95" workbookViewId="0">
      <selection activeCell="S119" sqref="S119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904</v>
      </c>
      <c r="O2" s="1319"/>
      <c r="P2" s="1320"/>
      <c r="Q2" s="1318" t="s">
        <v>905</v>
      </c>
      <c r="R2" s="1320"/>
      <c r="S2" s="642" t="s">
        <v>885</v>
      </c>
    </row>
    <row r="3" spans="1:23" ht="80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886</v>
      </c>
      <c r="O3" s="1319"/>
      <c r="P3" s="1320"/>
      <c r="Q3" s="1318" t="s">
        <v>887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45237</v>
      </c>
      <c r="D5" s="419" t="s">
        <v>884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851">
        <v>1.2</v>
      </c>
      <c r="E7" s="856">
        <v>715</v>
      </c>
      <c r="F7" s="858">
        <f>'101'!O16</f>
        <v>500</v>
      </c>
      <c r="G7" s="1342">
        <f>'101'!K16</f>
        <v>5021</v>
      </c>
      <c r="H7" s="1343"/>
      <c r="I7" s="1344"/>
      <c r="J7" s="859">
        <f>'101'!L16</f>
        <v>0</v>
      </c>
      <c r="K7" s="1345">
        <f>'101'!P16</f>
        <v>0.83683333333333332</v>
      </c>
      <c r="L7" s="1346"/>
      <c r="M7" s="1347"/>
      <c r="N7" s="820">
        <f>J7/(G7+J7)</f>
        <v>0</v>
      </c>
      <c r="O7" s="1348" t="str">
        <f>'101'!U16</f>
        <v>18:28最後一支交接班</v>
      </c>
      <c r="P7" s="1349"/>
      <c r="Q7" s="1349"/>
      <c r="R7" s="1350"/>
      <c r="S7" s="875" t="str">
        <f>'101'!V16</f>
        <v>阮明演</v>
      </c>
    </row>
    <row r="8" spans="1:23" s="76" customFormat="1" ht="17.25" customHeight="1">
      <c r="A8" s="1548"/>
      <c r="B8" s="881" t="s">
        <v>43</v>
      </c>
      <c r="C8" s="824" t="s">
        <v>42</v>
      </c>
      <c r="D8" s="421">
        <v>1.2</v>
      </c>
      <c r="E8" s="646">
        <v>715</v>
      </c>
      <c r="F8" s="825">
        <f>'101'!O17</f>
        <v>500</v>
      </c>
      <c r="G8" s="1351">
        <f>'101'!K17</f>
        <v>6485</v>
      </c>
      <c r="H8" s="1352"/>
      <c r="I8" s="1353"/>
      <c r="J8" s="826">
        <f>'101'!L17</f>
        <v>0</v>
      </c>
      <c r="K8" s="1345">
        <f>'101'!P17</f>
        <v>1.0808333333333333</v>
      </c>
      <c r="L8" s="1346"/>
      <c r="M8" s="1347"/>
      <c r="N8" s="820">
        <f>J8/(G8+J8)</f>
        <v>0</v>
      </c>
      <c r="O8" s="1348" t="str">
        <f>'101'!U17</f>
        <v>08:00最後一支交接班</v>
      </c>
      <c r="P8" s="1349"/>
      <c r="Q8" s="1349"/>
      <c r="R8" s="1350"/>
      <c r="S8" s="875" t="str">
        <f>'101'!V17</f>
        <v>阮宏山</v>
      </c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308"/>
      <c r="P9" s="1309"/>
      <c r="Q9" s="1309"/>
      <c r="R9" s="1310"/>
      <c r="S9" s="878"/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314"/>
      <c r="L10" s="1315"/>
      <c r="M10" s="1316"/>
      <c r="N10" s="820"/>
      <c r="O10" s="1308"/>
      <c r="P10" s="1309"/>
      <c r="Q10" s="1309"/>
      <c r="R10" s="1310"/>
      <c r="S10" s="878"/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0.36</v>
      </c>
      <c r="E11" s="815">
        <v>870</v>
      </c>
      <c r="F11" s="815">
        <f>'103'!O20</f>
        <v>350</v>
      </c>
      <c r="G11" s="1311">
        <f>'103'!K20</f>
        <v>3543</v>
      </c>
      <c r="H11" s="1312"/>
      <c r="I11" s="1313"/>
      <c r="J11" s="814">
        <f>'103'!L20</f>
        <v>0</v>
      </c>
      <c r="K11" s="1314">
        <f>'103'!P20</f>
        <v>0.84357142857142853</v>
      </c>
      <c r="L11" s="1315"/>
      <c r="M11" s="1316"/>
      <c r="N11" s="820">
        <f>J11/(G11+J11)</f>
        <v>0</v>
      </c>
      <c r="O11" s="1308" t="str">
        <f>'103'!U20</f>
        <v>18:53最後一支交接班</v>
      </c>
      <c r="P11" s="1309"/>
      <c r="Q11" s="1309"/>
      <c r="R11" s="1310"/>
      <c r="S11" s="822" t="str">
        <f>'103'!V20</f>
        <v>史豐銘</v>
      </c>
    </row>
    <row r="12" spans="1:23" ht="17.25" customHeight="1">
      <c r="A12" s="1326"/>
      <c r="B12" s="881" t="s">
        <v>207</v>
      </c>
      <c r="C12" s="422" t="s">
        <v>42</v>
      </c>
      <c r="D12" s="421">
        <v>0.36</v>
      </c>
      <c r="E12" s="880">
        <v>870</v>
      </c>
      <c r="F12" s="880">
        <f>'103'!O21</f>
        <v>350</v>
      </c>
      <c r="G12" s="1327">
        <f>'103'!K21</f>
        <v>4018</v>
      </c>
      <c r="H12" s="1328"/>
      <c r="I12" s="1329"/>
      <c r="J12" s="423">
        <f>'103'!L21</f>
        <v>0</v>
      </c>
      <c r="K12" s="1314">
        <f>'103'!P21</f>
        <v>0.95666666666666667</v>
      </c>
      <c r="L12" s="1315"/>
      <c r="M12" s="1316"/>
      <c r="N12" s="820">
        <f>J12/(G12+J12)</f>
        <v>0</v>
      </c>
      <c r="O12" s="1308" t="str">
        <f>'103'!U21</f>
        <v>06:54最後一支交接班</v>
      </c>
      <c r="P12" s="1309"/>
      <c r="Q12" s="1309"/>
      <c r="R12" s="1310"/>
      <c r="S12" s="822" t="str">
        <f>'103'!V21</f>
        <v>阮功體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1.65</v>
      </c>
      <c r="E17" s="815">
        <v>805</v>
      </c>
      <c r="F17" s="815">
        <f>'106'!O18</f>
        <v>1185</v>
      </c>
      <c r="G17" s="1311">
        <f>'106'!K18</f>
        <v>5467</v>
      </c>
      <c r="H17" s="1312"/>
      <c r="I17" s="1313"/>
      <c r="J17" s="814">
        <f>'106'!L18</f>
        <v>0</v>
      </c>
      <c r="K17" s="1541">
        <f>'106'!P18+'106'!P19</f>
        <v>0.92257383966244721</v>
      </c>
      <c r="L17" s="1542"/>
      <c r="M17" s="1543"/>
      <c r="N17" s="871">
        <f t="shared" ref="N17:N22" si="0">J17/(G17+J17)</f>
        <v>0</v>
      </c>
      <c r="O17" s="1348" t="str">
        <f>'106'!U18</f>
        <v>12:30-12:32改規格1.55*805,無損耗</v>
      </c>
      <c r="P17" s="1349"/>
      <c r="Q17" s="1349"/>
      <c r="R17" s="1350"/>
      <c r="S17" s="1517" t="str">
        <f>'106'!V18</f>
        <v>黎文中.林子維</v>
      </c>
    </row>
    <row r="18" spans="1:19" ht="17.25" customHeight="1">
      <c r="A18" s="1371"/>
      <c r="B18" s="84" t="s">
        <v>205</v>
      </c>
      <c r="C18" s="850" t="s">
        <v>42</v>
      </c>
      <c r="D18" s="851">
        <v>1.55</v>
      </c>
      <c r="E18" s="815">
        <v>805</v>
      </c>
      <c r="F18" s="815">
        <f>'106'!O19</f>
        <v>1185</v>
      </c>
      <c r="G18" s="1311">
        <f>'106'!K19</f>
        <v>7652</v>
      </c>
      <c r="H18" s="1312"/>
      <c r="I18" s="1313"/>
      <c r="J18" s="814">
        <f>'106'!L19</f>
        <v>0</v>
      </c>
      <c r="K18" s="1544"/>
      <c r="L18" s="1545"/>
      <c r="M18" s="1546"/>
      <c r="N18" s="871">
        <f t="shared" si="0"/>
        <v>0</v>
      </c>
      <c r="O18" s="1367" t="str">
        <f>'106'!U19</f>
        <v>19:20最後一支交接班</v>
      </c>
      <c r="P18" s="1368"/>
      <c r="Q18" s="1368"/>
      <c r="R18" s="1369"/>
      <c r="S18" s="1518"/>
    </row>
    <row r="19" spans="1:19" ht="17.25" customHeight="1">
      <c r="A19" s="1562"/>
      <c r="B19" s="881" t="s">
        <v>43</v>
      </c>
      <c r="C19" s="422" t="s">
        <v>42</v>
      </c>
      <c r="D19" s="421">
        <v>1.55</v>
      </c>
      <c r="E19" s="880">
        <v>805</v>
      </c>
      <c r="F19" s="880">
        <f>'106'!O20</f>
        <v>1185</v>
      </c>
      <c r="G19" s="1327">
        <f>'106'!K20</f>
        <v>13112</v>
      </c>
      <c r="H19" s="1328"/>
      <c r="I19" s="1329"/>
      <c r="J19" s="423">
        <f>'106'!L20</f>
        <v>0</v>
      </c>
      <c r="K19" s="1330">
        <f>'106'!P20</f>
        <v>0.92208157524613221</v>
      </c>
      <c r="L19" s="1331"/>
      <c r="M19" s="1332"/>
      <c r="N19" s="871">
        <f t="shared" si="0"/>
        <v>0</v>
      </c>
      <c r="O19" s="1364" t="str">
        <f>'106'!U20</f>
        <v>07:48最後一支交接班</v>
      </c>
      <c r="P19" s="1365"/>
      <c r="Q19" s="1365"/>
      <c r="R19" s="1366"/>
      <c r="S19" s="822" t="str">
        <f>'106'!V20</f>
        <v>黃隨貴</v>
      </c>
    </row>
    <row r="20" spans="1:19" ht="17.25" customHeight="1">
      <c r="A20" s="1362" t="s">
        <v>418</v>
      </c>
      <c r="B20" s="84" t="s">
        <v>205</v>
      </c>
      <c r="C20" s="850" t="s">
        <v>44</v>
      </c>
      <c r="D20" s="851">
        <v>0.34</v>
      </c>
      <c r="E20" s="815">
        <v>820</v>
      </c>
      <c r="F20" s="815">
        <f>'107'!O18</f>
        <v>450</v>
      </c>
      <c r="G20" s="1311">
        <f>'107'!K18</f>
        <v>1509</v>
      </c>
      <c r="H20" s="1312"/>
      <c r="I20" s="1313"/>
      <c r="J20" s="814">
        <f>'107'!L18</f>
        <v>0</v>
      </c>
      <c r="K20" s="1524">
        <f>'107'!P18+'107'!P19</f>
        <v>0.93129629629629629</v>
      </c>
      <c r="L20" s="1525"/>
      <c r="M20" s="1526"/>
      <c r="N20" s="871">
        <f t="shared" si="0"/>
        <v>0</v>
      </c>
      <c r="O20" s="1348" t="str">
        <f>'107'!U18</f>
        <v>10:54-10:55改規格0.47*820,無損耗</v>
      </c>
      <c r="P20" s="1349"/>
      <c r="Q20" s="1349"/>
      <c r="R20" s="1350"/>
      <c r="S20" s="1517" t="str">
        <f>'107'!V18</f>
        <v>潘文銅</v>
      </c>
    </row>
    <row r="21" spans="1:19" ht="17.25" customHeight="1">
      <c r="A21" s="1540"/>
      <c r="B21" s="84" t="s">
        <v>205</v>
      </c>
      <c r="C21" s="850" t="s">
        <v>44</v>
      </c>
      <c r="D21" s="851">
        <v>0.47</v>
      </c>
      <c r="E21" s="815">
        <v>820</v>
      </c>
      <c r="F21" s="815">
        <f>'107'!O19</f>
        <v>450</v>
      </c>
      <c r="G21" s="1311">
        <f>'107'!K19</f>
        <v>3520</v>
      </c>
      <c r="H21" s="1312"/>
      <c r="I21" s="1313"/>
      <c r="J21" s="814">
        <f>'107'!L19</f>
        <v>0</v>
      </c>
      <c r="K21" s="1527"/>
      <c r="L21" s="1528"/>
      <c r="M21" s="1529"/>
      <c r="N21" s="871">
        <f t="shared" si="0"/>
        <v>0</v>
      </c>
      <c r="O21" s="1367" t="str">
        <f>'107'!U19</f>
        <v>19:15最後一支交接班</v>
      </c>
      <c r="P21" s="1368"/>
      <c r="Q21" s="1368"/>
      <c r="R21" s="1369"/>
      <c r="S21" s="1518"/>
    </row>
    <row r="22" spans="1:19" ht="17.25" customHeight="1">
      <c r="A22" s="1363"/>
      <c r="B22" s="881" t="s">
        <v>43</v>
      </c>
      <c r="C22" s="422" t="s">
        <v>44</v>
      </c>
      <c r="D22" s="421">
        <v>0.47</v>
      </c>
      <c r="E22" s="880">
        <v>820</v>
      </c>
      <c r="F22" s="880">
        <f>'107'!O20</f>
        <v>450</v>
      </c>
      <c r="G22" s="1327">
        <f>'107'!K20</f>
        <v>4533</v>
      </c>
      <c r="H22" s="1328"/>
      <c r="I22" s="1329"/>
      <c r="J22" s="423">
        <f>'107'!L20</f>
        <v>0</v>
      </c>
      <c r="K22" s="1314">
        <f>'107'!P20</f>
        <v>0.83944444444444444</v>
      </c>
      <c r="L22" s="1315"/>
      <c r="M22" s="1316"/>
      <c r="N22" s="871">
        <f t="shared" si="0"/>
        <v>0</v>
      </c>
      <c r="O22" s="1367" t="str">
        <f>'107'!U20</f>
        <v>07:58最後一支交接班</v>
      </c>
      <c r="P22" s="1368"/>
      <c r="Q22" s="1368"/>
      <c r="R22" s="1369"/>
      <c r="S22" s="822" t="str">
        <f>'107'!V20</f>
        <v>磨文林</v>
      </c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54860</v>
      </c>
      <c r="J23" s="833">
        <f>SUM(J7:J22)</f>
        <v>0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1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1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1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1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1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1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43354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s">
        <v>633</v>
      </c>
      <c r="D50" s="1427"/>
      <c r="E50" s="1427"/>
      <c r="F50" s="827"/>
      <c r="G50" s="828"/>
      <c r="H50" s="815"/>
      <c r="I50" s="827"/>
      <c r="J50" s="828"/>
      <c r="K50" s="828"/>
      <c r="L50" s="828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899</v>
      </c>
      <c r="G51" s="660" t="e">
        <f>#REF!</f>
        <v>#REF!</v>
      </c>
      <c r="H51" s="880"/>
      <c r="I51" s="418">
        <v>2</v>
      </c>
      <c r="J51" s="660" t="e">
        <f>#REF!</f>
        <v>#REF!</v>
      </c>
      <c r="K51" s="660" t="e">
        <f>#REF!</f>
        <v>#REF!</v>
      </c>
      <c r="L51" s="660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35.25" customHeight="1">
      <c r="A52" s="1126" t="s">
        <v>22</v>
      </c>
      <c r="B52" s="84" t="s">
        <v>0</v>
      </c>
      <c r="C52" s="1427" t="e">
        <f>#REF!</f>
        <v>#REF!</v>
      </c>
      <c r="D52" s="1427"/>
      <c r="E52" s="1427"/>
      <c r="F52" s="827" t="s">
        <v>723</v>
      </c>
      <c r="G52" s="852" t="e">
        <f>#REF!</f>
        <v>#REF!</v>
      </c>
      <c r="H52" s="815"/>
      <c r="I52" s="827">
        <v>2</v>
      </c>
      <c r="J52" s="852" t="e">
        <f>#REF!</f>
        <v>#REF!</v>
      </c>
      <c r="K52" s="885" t="e">
        <f>#REF!</f>
        <v>#REF!</v>
      </c>
      <c r="L52" s="885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17.25" customHeight="1">
      <c r="A53" s="1189"/>
      <c r="B53" s="881" t="s">
        <v>43</v>
      </c>
      <c r="C53" s="1360" t="e">
        <f>#REF!</f>
        <v>#REF!</v>
      </c>
      <c r="D53" s="1360"/>
      <c r="E53" s="1360"/>
      <c r="F53" s="418" t="s">
        <v>723</v>
      </c>
      <c r="G53" s="840" t="e">
        <f>#REF!</f>
        <v>#REF!</v>
      </c>
      <c r="H53" s="880"/>
      <c r="I53" s="418">
        <v>2</v>
      </c>
      <c r="J53" s="840" t="e">
        <f>#REF!</f>
        <v>#REF!</v>
      </c>
      <c r="K53" s="890" t="e">
        <f>#REF!</f>
        <v>#REF!</v>
      </c>
      <c r="L53" s="890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17.25" customHeight="1">
      <c r="A54" s="1428" t="s">
        <v>23</v>
      </c>
      <c r="B54" s="84" t="s">
        <v>0</v>
      </c>
      <c r="C54" s="1427" t="e">
        <f>#REF!</f>
        <v>#REF!</v>
      </c>
      <c r="D54" s="1427"/>
      <c r="E54" s="1427"/>
      <c r="F54" s="827" t="s">
        <v>724</v>
      </c>
      <c r="G54" s="828" t="e">
        <f>#REF!</f>
        <v>#REF!</v>
      </c>
      <c r="H54" s="815"/>
      <c r="I54" s="827">
        <v>3</v>
      </c>
      <c r="J54" s="828" t="e">
        <f>#REF!</f>
        <v>#REF!</v>
      </c>
      <c r="K54" s="828" t="e">
        <f>#REF!</f>
        <v>#REF!</v>
      </c>
      <c r="L54" s="828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37.5" customHeight="1">
      <c r="A55" s="1563"/>
      <c r="B55" s="381" t="s">
        <v>43</v>
      </c>
      <c r="C55" s="1360" t="e">
        <f>#REF!</f>
        <v>#REF!</v>
      </c>
      <c r="D55" s="1360"/>
      <c r="E55" s="1360"/>
      <c r="F55" s="418" t="s">
        <v>724</v>
      </c>
      <c r="G55" s="660" t="e">
        <f>#REF!</f>
        <v>#REF!</v>
      </c>
      <c r="H55" s="880"/>
      <c r="I55" s="418">
        <v>4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260" t="s">
        <v>634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7"/>
      <c r="O58" s="1430"/>
      <c r="P58" s="1431"/>
      <c r="Q58" s="1431"/>
      <c r="R58" s="1432"/>
      <c r="S58" s="822"/>
    </row>
    <row r="59" spans="1:24" ht="17.25" customHeight="1">
      <c r="A59" s="1260"/>
      <c r="B59" s="381" t="s">
        <v>43</v>
      </c>
      <c r="C59" s="1360" t="e">
        <f>#REF!</f>
        <v>#REF!</v>
      </c>
      <c r="D59" s="1360"/>
      <c r="E59" s="1360"/>
      <c r="F59" s="418" t="s">
        <v>699</v>
      </c>
      <c r="G59" s="660" t="e">
        <f>#REF!</f>
        <v>#REF!</v>
      </c>
      <c r="H59" s="880"/>
      <c r="I59" s="418">
        <v>5</v>
      </c>
      <c r="J59" s="660" t="e">
        <f>#REF!</f>
        <v>#REF!</v>
      </c>
      <c r="K59" s="660" t="e">
        <f>#REF!</f>
        <v>#REF!</v>
      </c>
      <c r="L59" s="660" t="e">
        <f>#REF!</f>
        <v>#REF!</v>
      </c>
      <c r="M59" s="816" t="e">
        <f>#REF!</f>
        <v>#REF!</v>
      </c>
      <c r="N59" s="817" t="e">
        <f>#REF!</f>
        <v>#REF!</v>
      </c>
      <c r="O59" s="1430" t="e">
        <f>#REF!</f>
        <v>#REF!</v>
      </c>
      <c r="P59" s="1431"/>
      <c r="Q59" s="1431"/>
      <c r="R59" s="1432"/>
      <c r="S59" s="822" t="e">
        <f>#REF!</f>
        <v>#REF!</v>
      </c>
    </row>
    <row r="60" spans="1:24" ht="35.25" customHeight="1">
      <c r="A60" s="1126" t="s">
        <v>416</v>
      </c>
      <c r="B60" s="84" t="s">
        <v>0</v>
      </c>
      <c r="C60" s="1427" t="e">
        <f>#REF!</f>
        <v>#REF!</v>
      </c>
      <c r="D60" s="1427"/>
      <c r="E60" s="1427"/>
      <c r="F60" s="827" t="s">
        <v>900</v>
      </c>
      <c r="G60" s="828" t="e">
        <f>#REF!</f>
        <v>#REF!</v>
      </c>
      <c r="H60" s="815"/>
      <c r="I60" s="827">
        <v>3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8" t="e">
        <f>#REF!</f>
        <v>#REF!</v>
      </c>
      <c r="O60" s="1333" t="e">
        <f>#REF!</f>
        <v>#REF!</v>
      </c>
      <c r="P60" s="1334"/>
      <c r="Q60" s="1334"/>
      <c r="R60" s="1335"/>
      <c r="S60" s="855" t="e">
        <f>#REF!</f>
        <v>#REF!</v>
      </c>
    </row>
    <row r="61" spans="1:24" ht="17.25" customHeight="1">
      <c r="A61" s="1189"/>
      <c r="B61" s="381" t="s">
        <v>43</v>
      </c>
      <c r="C61" s="1360" t="e">
        <f>#REF!</f>
        <v>#REF!</v>
      </c>
      <c r="D61" s="1360"/>
      <c r="E61" s="1360"/>
      <c r="F61" s="418" t="s">
        <v>776</v>
      </c>
      <c r="G61" s="660" t="e">
        <f>#REF!</f>
        <v>#REF!</v>
      </c>
      <c r="H61" s="880"/>
      <c r="I61" s="418">
        <v>3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8" t="e">
        <f>#REF!</f>
        <v>#REF!</v>
      </c>
      <c r="O61" s="1333" t="e">
        <f>#REF!</f>
        <v>#REF!</v>
      </c>
      <c r="P61" s="1334"/>
      <c r="Q61" s="1334"/>
      <c r="R61" s="1335"/>
      <c r="S61" s="855" t="e">
        <f>#REF!</f>
        <v>#REF!</v>
      </c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35.25" customHeight="1">
      <c r="A64" s="1126" t="s">
        <v>636</v>
      </c>
      <c r="B64" s="84" t="s">
        <v>0</v>
      </c>
      <c r="C64" s="1427" t="e">
        <f>#REF!</f>
        <v>#REF!</v>
      </c>
      <c r="D64" s="1427"/>
      <c r="E64" s="1427"/>
      <c r="F64" s="827" t="s">
        <v>694</v>
      </c>
      <c r="G64" s="828" t="e">
        <f>#REF!</f>
        <v>#REF!</v>
      </c>
      <c r="H64" s="815"/>
      <c r="I64" s="827">
        <v>3</v>
      </c>
      <c r="J64" s="828" t="e">
        <f>#REF!</f>
        <v>#REF!</v>
      </c>
      <c r="K64" s="828" t="e">
        <f>#REF!</f>
        <v>#REF!</v>
      </c>
      <c r="L64" s="828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21" t="e">
        <f>#REF!</f>
        <v>#REF!</v>
      </c>
    </row>
    <row r="65" spans="1:79" ht="17.25" customHeight="1">
      <c r="A65" s="1127"/>
      <c r="B65" s="381" t="s">
        <v>43</v>
      </c>
      <c r="C65" s="1360" t="e">
        <f>#REF!</f>
        <v>#REF!</v>
      </c>
      <c r="D65" s="1360"/>
      <c r="E65" s="1360"/>
      <c r="F65" s="418" t="s">
        <v>694</v>
      </c>
      <c r="G65" s="660" t="e">
        <f>#REF!</f>
        <v>#REF!</v>
      </c>
      <c r="H65" s="880"/>
      <c r="I65" s="418">
        <v>3</v>
      </c>
      <c r="J65" s="660" t="e">
        <f>#REF!</f>
        <v>#REF!</v>
      </c>
      <c r="K65" s="660" t="e">
        <f>#REF!</f>
        <v>#REF!</v>
      </c>
      <c r="L65" s="660" t="e">
        <f>#REF!</f>
        <v>#REF!</v>
      </c>
      <c r="M65" s="816" t="e">
        <f>#REF!</f>
        <v>#REF!</v>
      </c>
      <c r="N65" s="817" t="e">
        <f>#REF!</f>
        <v>#REF!</v>
      </c>
      <c r="O65" s="1436" t="e">
        <f>#REF!</f>
        <v>#REF!</v>
      </c>
      <c r="P65" s="1436"/>
      <c r="Q65" s="1436"/>
      <c r="R65" s="1436"/>
      <c r="S65" s="821" t="e">
        <f>#REF!</f>
        <v>#REF!</v>
      </c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 t="e">
        <f>SUM(K50:K65)</f>
        <v>#REF!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51.75" customHeight="1">
      <c r="A67" s="1400" t="s">
        <v>25</v>
      </c>
      <c r="B67" s="84" t="s">
        <v>0</v>
      </c>
      <c r="C67" s="1427" t="e">
        <f>#REF!</f>
        <v>#REF!</v>
      </c>
      <c r="D67" s="1427"/>
      <c r="E67" s="1427"/>
      <c r="F67" s="827" t="s">
        <v>729</v>
      </c>
      <c r="G67" s="828" t="e">
        <f>#REF!</f>
        <v>#REF!</v>
      </c>
      <c r="H67" s="815"/>
      <c r="I67" s="827">
        <v>4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76" t="e">
        <f>#REF!</f>
        <v>#REF!</v>
      </c>
    </row>
    <row r="68" spans="1:79" ht="17.25" customHeight="1">
      <c r="A68" s="140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76"/>
    </row>
    <row r="69" spans="1:79" ht="33.75" customHeight="1">
      <c r="A69" s="1260" t="s">
        <v>62</v>
      </c>
      <c r="B69" s="84" t="s">
        <v>0</v>
      </c>
      <c r="C69" s="1427" t="e">
        <f>#REF!</f>
        <v>#REF!</v>
      </c>
      <c r="D69" s="1427"/>
      <c r="E69" s="1427"/>
      <c r="F69" s="827" t="s">
        <v>731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415" t="e">
        <f>#REF!</f>
        <v>#REF!</v>
      </c>
      <c r="O69" s="1437" t="e">
        <f>#REF!</f>
        <v>#REF!</v>
      </c>
      <c r="P69" s="1438"/>
      <c r="Q69" s="1438"/>
      <c r="R69" s="1439"/>
      <c r="S69" s="861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260"/>
      <c r="B70" s="381" t="s">
        <v>43</v>
      </c>
      <c r="C70" s="1360" t="e">
        <f>#REF!</f>
        <v>#REF!</v>
      </c>
      <c r="D70" s="1360"/>
      <c r="E70" s="1360"/>
      <c r="F70" s="418" t="s">
        <v>731</v>
      </c>
      <c r="G70" s="660" t="e">
        <f>#REF!</f>
        <v>#REF!</v>
      </c>
      <c r="H70" s="880"/>
      <c r="I70" s="418">
        <v>4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415" t="e">
        <f>#REF!</f>
        <v>#REF!</v>
      </c>
      <c r="O70" s="1437" t="e">
        <f>#REF!</f>
        <v>#REF!</v>
      </c>
      <c r="P70" s="1438"/>
      <c r="Q70" s="1438"/>
      <c r="R70" s="1439"/>
      <c r="S70" s="861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6" t="s">
        <v>640</v>
      </c>
      <c r="B71" s="84" t="s">
        <v>0</v>
      </c>
      <c r="C71" s="1427" t="e">
        <f>#REF!</f>
        <v>#REF!</v>
      </c>
      <c r="D71" s="1427"/>
      <c r="E71" s="1427"/>
      <c r="F71" s="827" t="s">
        <v>732</v>
      </c>
      <c r="G71" s="828" t="e">
        <f>#REF!</f>
        <v>#REF!</v>
      </c>
      <c r="H71" s="815"/>
      <c r="I71" s="827">
        <v>3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36.75" customHeight="1">
      <c r="A72" s="1189"/>
      <c r="B72" s="881" t="s">
        <v>43</v>
      </c>
      <c r="C72" s="1360" t="e">
        <f>#REF!</f>
        <v>#REF!</v>
      </c>
      <c r="D72" s="1360"/>
      <c r="E72" s="1360"/>
      <c r="F72" s="418" t="s">
        <v>732</v>
      </c>
      <c r="G72" s="660" t="e">
        <f>#REF!</f>
        <v>#REF!</v>
      </c>
      <c r="H72" s="880"/>
      <c r="I72" s="418">
        <v>2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35.25" customHeight="1">
      <c r="A73" s="1440" t="s">
        <v>26</v>
      </c>
      <c r="B73" s="84" t="s">
        <v>0</v>
      </c>
      <c r="C73" s="1427" t="e">
        <f>#REF!</f>
        <v>#REF!</v>
      </c>
      <c r="D73" s="1427"/>
      <c r="E73" s="1427"/>
      <c r="F73" s="827" t="s">
        <v>732</v>
      </c>
      <c r="G73" s="828" t="e">
        <f>#REF!</f>
        <v>#REF!</v>
      </c>
      <c r="H73" s="815"/>
      <c r="I73" s="827">
        <v>2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52.5" customHeight="1">
      <c r="A74" s="1441"/>
      <c r="B74" s="881" t="s">
        <v>43</v>
      </c>
      <c r="C74" s="1360" t="e">
        <f>#REF!</f>
        <v>#REF!</v>
      </c>
      <c r="D74" s="1360"/>
      <c r="E74" s="1360"/>
      <c r="F74" s="418" t="s">
        <v>732</v>
      </c>
      <c r="G74" s="660" t="e">
        <f>#REF!</f>
        <v>#REF!</v>
      </c>
      <c r="H74" s="880"/>
      <c r="I74" s="418">
        <v>2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1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642</v>
      </c>
      <c r="B79" s="84" t="s">
        <v>0</v>
      </c>
      <c r="C79" s="1427" t="e">
        <f>#REF!</f>
        <v>#REF!</v>
      </c>
      <c r="D79" s="1427"/>
      <c r="E79" s="1427"/>
      <c r="F79" s="827" t="s">
        <v>901</v>
      </c>
      <c r="G79" s="828" t="e">
        <f>#REF!</f>
        <v>#REF!</v>
      </c>
      <c r="H79" s="815"/>
      <c r="I79" s="827">
        <v>0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816" t="e">
        <f>#REF!</f>
        <v>#REF!</v>
      </c>
      <c r="N79" s="415" t="e">
        <f>#REF!</f>
        <v>#REF!</v>
      </c>
      <c r="O79" s="1437" t="e">
        <f>#REF!</f>
        <v>#REF!</v>
      </c>
      <c r="P79" s="1438"/>
      <c r="Q79" s="1438"/>
      <c r="R79" s="1439"/>
      <c r="S79" s="823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89"/>
      <c r="B80" s="881" t="s">
        <v>43</v>
      </c>
      <c r="C80" s="1360" t="e">
        <f>#REF!</f>
        <v>#REF!</v>
      </c>
      <c r="D80" s="1360"/>
      <c r="E80" s="1360"/>
      <c r="F80" s="418" t="s">
        <v>901</v>
      </c>
      <c r="G80" s="660" t="e">
        <f>#REF!</f>
        <v>#REF!</v>
      </c>
      <c r="H80" s="880"/>
      <c r="I80" s="418">
        <v>0</v>
      </c>
      <c r="J80" s="660" t="e">
        <f>#REF!</f>
        <v>#REF!</v>
      </c>
      <c r="K80" s="660" t="e">
        <f>#REF!</f>
        <v>#REF!</v>
      </c>
      <c r="L80" s="660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34.5" customHeight="1">
      <c r="A81" s="1260" t="s">
        <v>643</v>
      </c>
      <c r="B81" s="84" t="s">
        <v>0</v>
      </c>
      <c r="C81" s="1427" t="e">
        <f>#REF!</f>
        <v>#REF!</v>
      </c>
      <c r="D81" s="1427"/>
      <c r="E81" s="1427"/>
      <c r="F81" s="827" t="s">
        <v>735</v>
      </c>
      <c r="G81" s="828" t="e">
        <f>#REF!</f>
        <v>#REF!</v>
      </c>
      <c r="H81" s="815"/>
      <c r="I81" s="827">
        <v>7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659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48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/>
      <c r="B82" s="881" t="s">
        <v>43</v>
      </c>
      <c r="C82" s="1360" t="e">
        <f>#REF!</f>
        <v>#REF!</v>
      </c>
      <c r="D82" s="1360"/>
      <c r="E82" s="1360"/>
      <c r="F82" s="418" t="s">
        <v>735</v>
      </c>
      <c r="G82" s="660" t="e">
        <f>#REF!</f>
        <v>#REF!</v>
      </c>
      <c r="H82" s="880"/>
      <c r="I82" s="418">
        <v>11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659" t="e">
        <f>#REF!</f>
        <v>#REF!</v>
      </c>
      <c r="N82" s="415" t="e">
        <f>#REF!</f>
        <v>#REF!</v>
      </c>
      <c r="O82" s="1437" t="e">
        <f>#REF!</f>
        <v>#REF!</v>
      </c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 t="s">
        <v>651</v>
      </c>
      <c r="B83" s="84" t="s">
        <v>0</v>
      </c>
      <c r="C83" s="1427" t="e">
        <f>#REF!</f>
        <v>#REF!</v>
      </c>
      <c r="D83" s="1427"/>
      <c r="E83" s="1427"/>
      <c r="F83" s="827" t="s">
        <v>828</v>
      </c>
      <c r="G83" s="828" t="e">
        <f>#REF!</f>
        <v>#REF!</v>
      </c>
      <c r="H83" s="815"/>
      <c r="I83" s="827">
        <v>10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23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/>
      <c r="B84" s="881" t="s">
        <v>43</v>
      </c>
      <c r="C84" s="1360" t="e">
        <f>#REF!</f>
        <v>#REF!</v>
      </c>
      <c r="D84" s="1360"/>
      <c r="E84" s="1360"/>
      <c r="F84" s="418" t="s">
        <v>828</v>
      </c>
      <c r="G84" s="660" t="e">
        <f>#REF!</f>
        <v>#REF!</v>
      </c>
      <c r="H84" s="880"/>
      <c r="I84" s="418">
        <v>4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 t="e">
        <f>SUM(K67:K84)</f>
        <v>#REF!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>
        <f>印401!I25</f>
        <v>0</v>
      </c>
      <c r="D87" s="1290"/>
      <c r="E87" s="1290"/>
      <c r="F87" s="1290"/>
      <c r="G87" s="1290"/>
      <c r="H87" s="849"/>
      <c r="I87" s="849">
        <f>印401!R25</f>
        <v>0</v>
      </c>
      <c r="J87" s="852">
        <f>印401!S25</f>
        <v>0</v>
      </c>
      <c r="K87" s="872">
        <f>印401!L25</f>
        <v>0</v>
      </c>
      <c r="L87" s="873">
        <f>印401!N25</f>
        <v>0</v>
      </c>
      <c r="M87" s="852">
        <f>印401!P25</f>
        <v>0</v>
      </c>
      <c r="N87" s="853">
        <f>印401!Q25</f>
        <v>0</v>
      </c>
      <c r="O87" s="1451"/>
      <c r="P87" s="1452"/>
      <c r="Q87" s="1452"/>
      <c r="R87" s="1453"/>
      <c r="S87" s="874">
        <f>印401!AB25</f>
        <v>0</v>
      </c>
    </row>
    <row r="88" spans="1:79" ht="18" customHeight="1">
      <c r="A88" s="1216"/>
      <c r="B88" s="84" t="s">
        <v>0</v>
      </c>
      <c r="C88" s="1290">
        <f>印401!I26</f>
        <v>0</v>
      </c>
      <c r="D88" s="1290"/>
      <c r="E88" s="1290"/>
      <c r="F88" s="1290"/>
      <c r="G88" s="1290"/>
      <c r="H88" s="849"/>
      <c r="I88" s="849">
        <f>印401!R26</f>
        <v>0</v>
      </c>
      <c r="J88" s="852">
        <f>印401!S26</f>
        <v>0</v>
      </c>
      <c r="K88" s="872">
        <f>印401!L26</f>
        <v>0</v>
      </c>
      <c r="L88" s="873">
        <f>印401!N26</f>
        <v>0</v>
      </c>
      <c r="M88" s="852">
        <f>印401!P26</f>
        <v>0</v>
      </c>
      <c r="N88" s="853">
        <f>印401!Q26</f>
        <v>0</v>
      </c>
      <c r="O88" s="1451"/>
      <c r="P88" s="1452"/>
      <c r="Q88" s="1452"/>
      <c r="R88" s="1453"/>
      <c r="S88" s="874">
        <f>印401!AB26</f>
        <v>0</v>
      </c>
    </row>
    <row r="89" spans="1:79" ht="18" customHeight="1">
      <c r="A89" s="1165"/>
      <c r="B89" s="881" t="s">
        <v>43</v>
      </c>
      <c r="C89" s="1454" t="s">
        <v>633</v>
      </c>
      <c r="D89" s="1454"/>
      <c r="E89" s="1454"/>
      <c r="F89" s="1454"/>
      <c r="G89" s="1454"/>
      <c r="H89" s="664"/>
      <c r="I89" s="664"/>
      <c r="J89" s="840"/>
      <c r="K89" s="424"/>
      <c r="L89" s="830"/>
      <c r="M89" s="840"/>
      <c r="N89" s="672"/>
      <c r="O89" s="1455"/>
      <c r="P89" s="1456"/>
      <c r="Q89" s="1456"/>
      <c r="R89" s="1457"/>
      <c r="S89" s="810"/>
    </row>
    <row r="90" spans="1:79" ht="18" customHeight="1">
      <c r="A90" s="1461">
        <v>402</v>
      </c>
      <c r="B90" s="84" t="s">
        <v>205</v>
      </c>
      <c r="C90" s="1290" t="e">
        <f>#REF!</f>
        <v>#REF!</v>
      </c>
      <c r="D90" s="1290"/>
      <c r="E90" s="1290"/>
      <c r="F90" s="1290"/>
      <c r="G90" s="1290"/>
      <c r="H90" s="849"/>
      <c r="I90" s="849" t="e">
        <f>#REF!</f>
        <v>#REF!</v>
      </c>
      <c r="J90" s="852" t="e">
        <f>#REF!</f>
        <v>#REF!</v>
      </c>
      <c r="K90" s="872" t="e">
        <f>#REF!</f>
        <v>#REF!</v>
      </c>
      <c r="L90" s="873" t="e">
        <f>#REF!</f>
        <v>#REF!</v>
      </c>
      <c r="M90" s="852" t="e">
        <f>#REF!</f>
        <v>#REF!</v>
      </c>
      <c r="N90" s="853" t="e">
        <f>#REF!</f>
        <v>#REF!</v>
      </c>
      <c r="O90" s="1451"/>
      <c r="P90" s="1452"/>
      <c r="Q90" s="1452"/>
      <c r="R90" s="1453"/>
      <c r="S90" s="874" t="e">
        <f>#REF!</f>
        <v>#REF!</v>
      </c>
    </row>
    <row r="91" spans="1:79" ht="18" customHeight="1">
      <c r="A91" s="1462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7.25" customHeight="1">
      <c r="A92" s="1466">
        <v>403</v>
      </c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533"/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467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1199">
        <v>405</v>
      </c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216"/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165"/>
      <c r="B97" s="881" t="s">
        <v>43</v>
      </c>
      <c r="C97" s="1454" t="s">
        <v>633</v>
      </c>
      <c r="D97" s="1454"/>
      <c r="E97" s="1454"/>
      <c r="F97" s="1454"/>
      <c r="G97" s="1454"/>
      <c r="H97" s="664"/>
      <c r="I97" s="664"/>
      <c r="J97" s="840"/>
      <c r="K97" s="424"/>
      <c r="L97" s="840"/>
      <c r="M97" s="840"/>
      <c r="N97" s="672"/>
      <c r="O97" s="1455"/>
      <c r="P97" s="1456"/>
      <c r="Q97" s="1456"/>
      <c r="R97" s="1457"/>
      <c r="S97" s="810"/>
    </row>
    <row r="98" spans="1:19" ht="18" customHeight="1">
      <c r="A98" s="314"/>
      <c r="B98" s="841"/>
      <c r="C98" s="1458"/>
      <c r="D98" s="1459"/>
      <c r="E98" s="1459"/>
      <c r="F98" s="1459"/>
      <c r="G98" s="1460"/>
      <c r="H98" s="849"/>
      <c r="I98" s="849"/>
      <c r="J98" s="834" t="s">
        <v>666</v>
      </c>
      <c r="K98" s="835" t="e">
        <f>SUM(K87:K97)</f>
        <v>#REF!</v>
      </c>
      <c r="L98" s="852"/>
      <c r="M98" s="852"/>
      <c r="N98" s="853"/>
      <c r="O98" s="886"/>
      <c r="P98" s="887"/>
      <c r="Q98" s="887"/>
      <c r="R98" s="888"/>
      <c r="S98" s="854"/>
    </row>
    <row r="99" spans="1:19" s="76" customFormat="1" ht="31.7" hidden="1" customHeight="1">
      <c r="A99" s="400" t="s">
        <v>425</v>
      </c>
      <c r="B99" s="400" t="s">
        <v>193</v>
      </c>
      <c r="C99" s="1282" t="e">
        <f>[1]印403!J91</f>
        <v>#REF!</v>
      </c>
      <c r="D99" s="1283"/>
      <c r="E99" s="1283"/>
      <c r="F99" s="1283"/>
      <c r="G99" s="1468"/>
      <c r="H99" s="242" t="s">
        <v>216</v>
      </c>
      <c r="I99" s="242" t="s">
        <v>12</v>
      </c>
      <c r="J99" s="242" t="s">
        <v>13</v>
      </c>
      <c r="K99" s="405" t="s">
        <v>218</v>
      </c>
      <c r="L99" s="427" t="s">
        <v>60</v>
      </c>
      <c r="M99" s="399" t="e">
        <f>[1]印403!O90</f>
        <v>#REF!</v>
      </c>
      <c r="N99" s="257" t="s">
        <v>45</v>
      </c>
      <c r="O99" s="1448" t="s">
        <v>29</v>
      </c>
      <c r="P99" s="1449"/>
      <c r="Q99" s="1449"/>
      <c r="R99" s="1450"/>
      <c r="S99" s="417" t="s">
        <v>57</v>
      </c>
    </row>
    <row r="100" spans="1:19" ht="15" hidden="1" customHeight="1">
      <c r="A100" s="1199" t="s">
        <v>426</v>
      </c>
      <c r="B100" s="84" t="s">
        <v>205</v>
      </c>
      <c r="C100" s="1282" t="e">
        <f>[1]印403!J92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[1]印403!O91</f>
        <v>#REF!</v>
      </c>
      <c r="N100" s="399"/>
      <c r="O100" s="1469"/>
      <c r="P100" s="1245"/>
      <c r="Q100" s="1245"/>
      <c r="R100" s="1246"/>
      <c r="S100" s="1470"/>
    </row>
    <row r="101" spans="1:19" ht="13.7" hidden="1" customHeight="1">
      <c r="A101" s="1216"/>
      <c r="B101" s="84" t="s">
        <v>205</v>
      </c>
      <c r="C101" s="1282" t="e">
        <f>[1]印403!J93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[1]印403!O92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[1]印403!J94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[1]印403!O93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[1]印403!J95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[1]印403!O94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[1]印403!J96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[1]印403!O95</f>
        <v>#REF!</v>
      </c>
      <c r="N104" s="425"/>
      <c r="O104" s="669"/>
      <c r="P104" s="670"/>
      <c r="Q104" s="670"/>
      <c r="R104" s="671"/>
      <c r="S104" s="1471"/>
    </row>
    <row r="105" spans="1:19" ht="16.5" hidden="1" customHeight="1">
      <c r="A105" s="1216"/>
      <c r="B105" s="881" t="s">
        <v>43</v>
      </c>
      <c r="C105" s="1282" t="e">
        <f>[1]印403!J97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[1]印403!O96</f>
        <v>#REF!</v>
      </c>
      <c r="N105" s="672"/>
      <c r="O105" s="1476"/>
      <c r="P105" s="1477"/>
      <c r="Q105" s="1477"/>
      <c r="R105" s="1478"/>
      <c r="S105" s="1485"/>
    </row>
    <row r="106" spans="1:19" ht="15" hidden="1" customHeight="1">
      <c r="A106" s="1216"/>
      <c r="B106" s="881" t="s">
        <v>43</v>
      </c>
      <c r="C106" s="1282" t="e">
        <f>[1]印403!J98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[1]印403!O97</f>
        <v>#REF!</v>
      </c>
      <c r="N106" s="672"/>
      <c r="O106" s="1479"/>
      <c r="P106" s="1480"/>
      <c r="Q106" s="1480"/>
      <c r="R106" s="1481"/>
      <c r="S106" s="1485"/>
    </row>
    <row r="107" spans="1:19" ht="15" hidden="1" customHeight="1">
      <c r="A107" s="1216"/>
      <c r="B107" s="881" t="s">
        <v>43</v>
      </c>
      <c r="C107" s="1282" t="e">
        <f>[1]印403!J99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[1]印403!O98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165"/>
      <c r="B108" s="881" t="s">
        <v>43</v>
      </c>
      <c r="C108" s="1282" t="e">
        <f>[1]印403!J100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[1]印403!O99</f>
        <v>#REF!</v>
      </c>
      <c r="N108" s="672"/>
      <c r="O108" s="1482"/>
      <c r="P108" s="1483"/>
      <c r="Q108" s="1483"/>
      <c r="R108" s="1484"/>
      <c r="S108" s="1486"/>
    </row>
    <row r="109" spans="1:19" ht="6" customHeight="1">
      <c r="A109" s="248"/>
      <c r="C109" s="249"/>
    </row>
    <row r="110" spans="1:19" ht="6" customHeight="1" thickBot="1">
      <c r="A110" s="248"/>
      <c r="C110" s="249"/>
    </row>
    <row r="111" spans="1:19" ht="15" customHeight="1" thickTop="1">
      <c r="A111" s="1472" t="s">
        <v>30</v>
      </c>
      <c r="B111" s="1473"/>
      <c r="C111" s="1473"/>
      <c r="D111" s="1473"/>
      <c r="E111" s="376">
        <v>402400</v>
      </c>
      <c r="F111" s="75" t="s">
        <v>64</v>
      </c>
      <c r="G111" s="1472" t="s">
        <v>31</v>
      </c>
      <c r="H111" s="1473"/>
      <c r="I111" s="1473"/>
      <c r="J111" s="1473"/>
      <c r="K111" s="1473"/>
      <c r="L111" s="377">
        <v>210000</v>
      </c>
      <c r="M111" s="75" t="s">
        <v>64</v>
      </c>
      <c r="N111" s="1472" t="s">
        <v>32</v>
      </c>
      <c r="O111" s="1473"/>
      <c r="P111" s="1473"/>
      <c r="Q111" s="377">
        <v>528000</v>
      </c>
      <c r="R111" s="75" t="s">
        <v>64</v>
      </c>
      <c r="S111" s="75"/>
    </row>
    <row r="112" spans="1:19" ht="15" customHeight="1" thickBot="1">
      <c r="A112" s="1474" t="s">
        <v>66</v>
      </c>
      <c r="B112" s="1475"/>
      <c r="C112" s="1475"/>
      <c r="D112" s="1475"/>
      <c r="E112" s="674">
        <f>(30+90)*1000</f>
        <v>120000</v>
      </c>
      <c r="G112" s="1474" t="s">
        <v>66</v>
      </c>
      <c r="H112" s="1475"/>
      <c r="I112" s="1475"/>
      <c r="J112" s="1475"/>
      <c r="K112" s="1475"/>
      <c r="L112" s="674">
        <f>5*2000</f>
        <v>10000</v>
      </c>
      <c r="N112" s="1474" t="s">
        <v>33</v>
      </c>
      <c r="O112" s="1475"/>
      <c r="P112" s="1475"/>
      <c r="Q112" s="674">
        <f>(144*500)+(68*1000)</f>
        <v>140000</v>
      </c>
      <c r="R112" s="75"/>
      <c r="S112" s="75"/>
    </row>
    <row r="113" spans="1:20" ht="15" customHeight="1" thickTop="1" thickBot="1">
      <c r="A113" s="1487" t="s">
        <v>34</v>
      </c>
      <c r="B113" s="1488"/>
      <c r="C113" s="1488"/>
      <c r="D113" s="1488"/>
      <c r="E113" s="378">
        <f>E111+E112</f>
        <v>522400</v>
      </c>
      <c r="F113" s="75" t="s">
        <v>64</v>
      </c>
      <c r="G113" s="1487" t="s">
        <v>35</v>
      </c>
      <c r="H113" s="1488"/>
      <c r="I113" s="1488"/>
      <c r="J113" s="1488"/>
      <c r="K113" s="1488"/>
      <c r="L113" s="379">
        <f>L111+L112</f>
        <v>220000</v>
      </c>
      <c r="M113" s="75" t="s">
        <v>64</v>
      </c>
      <c r="N113" s="1487" t="s">
        <v>36</v>
      </c>
      <c r="O113" s="1488"/>
      <c r="P113" s="1488"/>
      <c r="Q113" s="379">
        <f>Q111+Q112</f>
        <v>668000</v>
      </c>
      <c r="R113" s="75" t="s">
        <v>64</v>
      </c>
      <c r="S113" s="75"/>
    </row>
    <row r="114" spans="1:20" ht="15" customHeight="1" thickTop="1" thickBot="1">
      <c r="E114" s="252">
        <f>印401!M64</f>
        <v>0</v>
      </c>
      <c r="L114" s="675" t="e">
        <f>#REF!</f>
        <v>#REF!</v>
      </c>
      <c r="O114" s="75"/>
      <c r="P114" s="75"/>
      <c r="Q114" s="675" t="e">
        <f>#REF!</f>
        <v>#REF!</v>
      </c>
      <c r="R114" s="75"/>
      <c r="S114" s="75"/>
    </row>
    <row r="115" spans="1:20" ht="15" customHeight="1" thickBot="1">
      <c r="A115" s="676" t="s">
        <v>37</v>
      </c>
      <c r="B115" s="677"/>
      <c r="C115" s="677"/>
      <c r="D115" s="678"/>
      <c r="E115" s="253">
        <f>印401!P64</f>
        <v>0</v>
      </c>
      <c r="F115" s="75" t="s">
        <v>64</v>
      </c>
      <c r="G115" s="676" t="s">
        <v>38</v>
      </c>
      <c r="H115" s="677"/>
      <c r="I115" s="677"/>
      <c r="J115" s="677"/>
      <c r="K115" s="677"/>
      <c r="L115" s="384" t="e">
        <f>#REF!</f>
        <v>#REF!</v>
      </c>
      <c r="M115" s="75" t="s">
        <v>64</v>
      </c>
      <c r="N115" s="676" t="s">
        <v>39</v>
      </c>
      <c r="O115" s="677"/>
      <c r="P115" s="677"/>
      <c r="Q115" s="384" t="e">
        <f>#REF!</f>
        <v>#REF!</v>
      </c>
      <c r="R115" s="75" t="s">
        <v>64</v>
      </c>
      <c r="S115" s="75"/>
    </row>
    <row r="116" spans="1:20" ht="3" customHeight="1" thickBot="1">
      <c r="J116" s="255"/>
      <c r="K116" s="256"/>
    </row>
    <row r="117" spans="1:20" ht="15" customHeight="1" thickTop="1">
      <c r="B117" s="1509" t="s">
        <v>69</v>
      </c>
      <c r="C117" s="1510"/>
      <c r="D117" s="1511" t="s">
        <v>305</v>
      </c>
      <c r="E117" s="1512"/>
      <c r="F117" s="1489" t="s">
        <v>306</v>
      </c>
      <c r="G117" s="1490"/>
      <c r="H117" s="1491" t="s">
        <v>307</v>
      </c>
      <c r="I117" s="1492"/>
      <c r="J117" s="1492"/>
      <c r="K117" s="1493"/>
      <c r="L117" s="1472" t="s">
        <v>657</v>
      </c>
      <c r="M117" s="1473"/>
      <c r="N117" s="1473"/>
      <c r="O117" s="377">
        <v>1276000</v>
      </c>
      <c r="P117" s="75" t="s">
        <v>64</v>
      </c>
      <c r="Q117" s="1496" t="s">
        <v>65</v>
      </c>
      <c r="R117" s="1497"/>
      <c r="S117" s="385">
        <v>11652449</v>
      </c>
    </row>
    <row r="118" spans="1:20" ht="15" customHeight="1" thickBot="1">
      <c r="B118" s="1498" t="s">
        <v>308</v>
      </c>
      <c r="C118" s="1499"/>
      <c r="D118" s="1500" t="e">
        <f>總表!D20</f>
        <v>#REF!</v>
      </c>
      <c r="E118" s="1501"/>
      <c r="F118" s="1502">
        <f>總表!E20</f>
        <v>1316871</v>
      </c>
      <c r="G118" s="1503"/>
      <c r="H118" s="1504" t="e">
        <f>(D118-F118)/D118</f>
        <v>#REF!</v>
      </c>
      <c r="I118" s="1505"/>
      <c r="J118" s="1505"/>
      <c r="K118" s="1506"/>
      <c r="L118" s="1474" t="s">
        <v>33</v>
      </c>
      <c r="M118" s="1475"/>
      <c r="N118" s="1475"/>
      <c r="O118" s="674">
        <f>(52+280)*600</f>
        <v>199200</v>
      </c>
      <c r="P118" s="75"/>
      <c r="Q118" s="1507" t="s">
        <v>67</v>
      </c>
      <c r="R118" s="1508"/>
      <c r="S118" s="386" t="e">
        <f>SUM(L50:L84,L87:L97)</f>
        <v>#REF!</v>
      </c>
    </row>
    <row r="119" spans="1:20" ht="15" customHeight="1" thickTop="1" thickBot="1">
      <c r="B119" s="1513" t="s">
        <v>309</v>
      </c>
      <c r="C119" s="1514"/>
      <c r="D119" s="1515" t="e">
        <f>總表!C43</f>
        <v>#REF!</v>
      </c>
      <c r="E119" s="1516"/>
      <c r="F119" s="1502" t="e">
        <f>總表!F43</f>
        <v>#REF!</v>
      </c>
      <c r="G119" s="1503"/>
      <c r="H119" s="1504" t="e">
        <f>(D119-F119)/D119</f>
        <v>#REF!</v>
      </c>
      <c r="I119" s="1505"/>
      <c r="J119" s="1505"/>
      <c r="K119" s="1506"/>
      <c r="L119" s="1487" t="s">
        <v>658</v>
      </c>
      <c r="M119" s="1488"/>
      <c r="N119" s="1488"/>
      <c r="O119" s="379">
        <f>O117+O118</f>
        <v>1475200</v>
      </c>
      <c r="P119" s="75" t="s">
        <v>64</v>
      </c>
      <c r="Q119" s="1494" t="s">
        <v>68</v>
      </c>
      <c r="R119" s="1495"/>
      <c r="S119" s="387" t="e">
        <f>S117+S118</f>
        <v>#REF!</v>
      </c>
    </row>
    <row r="120" spans="1:20" ht="14.1" customHeight="1" thickTop="1" thickBot="1">
      <c r="B120" s="250" t="s">
        <v>310</v>
      </c>
      <c r="C120" s="250"/>
      <c r="D120" s="250"/>
      <c r="E120" s="233"/>
      <c r="O120" s="675" t="e">
        <f>#REF!</f>
        <v>#REF!</v>
      </c>
      <c r="P120" s="75"/>
      <c r="Q120" s="75"/>
      <c r="R120" s="254" t="e">
        <f>總表!E43+總表!E52</f>
        <v>#REF!</v>
      </c>
      <c r="S120" s="254" t="e">
        <f>R120-S119</f>
        <v>#REF!</v>
      </c>
    </row>
    <row r="121" spans="1:20" ht="17.25" customHeight="1" thickBot="1">
      <c r="B121" s="250" t="s">
        <v>40</v>
      </c>
      <c r="C121" s="233"/>
      <c r="D121" s="233"/>
      <c r="E121" s="233"/>
      <c r="F121" s="233"/>
      <c r="L121" s="676" t="s">
        <v>659</v>
      </c>
      <c r="M121" s="677"/>
      <c r="N121" s="677"/>
      <c r="O121" s="384" t="e">
        <f>#REF!</f>
        <v>#REF!</v>
      </c>
      <c r="P121" s="75" t="s">
        <v>64</v>
      </c>
      <c r="T121" s="233"/>
    </row>
    <row r="122" spans="1:20" ht="15.75" customHeight="1">
      <c r="B122" s="75" t="s">
        <v>41</v>
      </c>
      <c r="N122" s="233"/>
      <c r="S122" s="75"/>
    </row>
  </sheetData>
  <mergeCells count="292">
    <mergeCell ref="O82:R82"/>
    <mergeCell ref="A83:A84"/>
    <mergeCell ref="C83:E83"/>
    <mergeCell ref="O83:R83"/>
    <mergeCell ref="C84:E84"/>
    <mergeCell ref="O84:R84"/>
    <mergeCell ref="A90:A91"/>
    <mergeCell ref="C90:G90"/>
    <mergeCell ref="O90:R90"/>
    <mergeCell ref="C91:G91"/>
    <mergeCell ref="O91:R91"/>
    <mergeCell ref="L1:M1"/>
    <mergeCell ref="N1:P1"/>
    <mergeCell ref="Q1:R1"/>
    <mergeCell ref="L2:M2"/>
    <mergeCell ref="N2:P2"/>
    <mergeCell ref="Q2:R2"/>
    <mergeCell ref="G6:I6"/>
    <mergeCell ref="K6:M6"/>
    <mergeCell ref="O6:R6"/>
    <mergeCell ref="L4:M4"/>
    <mergeCell ref="N4:P4"/>
    <mergeCell ref="Q4:R4"/>
    <mergeCell ref="L5:M5"/>
    <mergeCell ref="N5:P5"/>
    <mergeCell ref="Q5:R5"/>
    <mergeCell ref="A1:K4"/>
    <mergeCell ref="A15:A16"/>
    <mergeCell ref="G15:I15"/>
    <mergeCell ref="K15:M15"/>
    <mergeCell ref="O15:R15"/>
    <mergeCell ref="L3:M3"/>
    <mergeCell ref="N3:P3"/>
    <mergeCell ref="Q3:R3"/>
    <mergeCell ref="A52:A53"/>
    <mergeCell ref="C52:E52"/>
    <mergeCell ref="O52:R52"/>
    <mergeCell ref="C53:E53"/>
    <mergeCell ref="O53:R53"/>
    <mergeCell ref="K10:M10"/>
    <mergeCell ref="O10:R10"/>
    <mergeCell ref="A13:A14"/>
    <mergeCell ref="G13:I13"/>
    <mergeCell ref="K13:M13"/>
    <mergeCell ref="O13:R13"/>
    <mergeCell ref="G14:I14"/>
    <mergeCell ref="K14:M14"/>
    <mergeCell ref="O14:R14"/>
    <mergeCell ref="K20:M21"/>
    <mergeCell ref="G20:I20"/>
    <mergeCell ref="O20:R20"/>
    <mergeCell ref="G21:I21"/>
    <mergeCell ref="O21:R21"/>
    <mergeCell ref="K19:M19"/>
    <mergeCell ref="O19:R19"/>
    <mergeCell ref="S17:S18"/>
    <mergeCell ref="A20:A22"/>
    <mergeCell ref="S20:S21"/>
    <mergeCell ref="G22:I22"/>
    <mergeCell ref="K22:M22"/>
    <mergeCell ref="O22:R22"/>
    <mergeCell ref="K23:M23"/>
    <mergeCell ref="O23:R23"/>
    <mergeCell ref="A24:A29"/>
    <mergeCell ref="G24:I24"/>
    <mergeCell ref="K24:M26"/>
    <mergeCell ref="O24:R26"/>
    <mergeCell ref="S24:S26"/>
    <mergeCell ref="G25:I25"/>
    <mergeCell ref="G26:I26"/>
    <mergeCell ref="G27:I27"/>
    <mergeCell ref="K27:M29"/>
    <mergeCell ref="O27:R29"/>
    <mergeCell ref="S27:S29"/>
    <mergeCell ref="G28:I28"/>
    <mergeCell ref="G29:I29"/>
    <mergeCell ref="C30:E30"/>
    <mergeCell ref="O30:R30"/>
    <mergeCell ref="A31:A37"/>
    <mergeCell ref="C31:E31"/>
    <mergeCell ref="M31:M33"/>
    <mergeCell ref="O31:R33"/>
    <mergeCell ref="S31:S33"/>
    <mergeCell ref="C32:E32"/>
    <mergeCell ref="C33:E33"/>
    <mergeCell ref="C34:E34"/>
    <mergeCell ref="M34:M37"/>
    <mergeCell ref="O34:R37"/>
    <mergeCell ref="S34:S37"/>
    <mergeCell ref="C35:E35"/>
    <mergeCell ref="C36:E36"/>
    <mergeCell ref="C37:E37"/>
    <mergeCell ref="A38:A43"/>
    <mergeCell ref="C38:E38"/>
    <mergeCell ref="M38:M40"/>
    <mergeCell ref="O38:R40"/>
    <mergeCell ref="S38:S40"/>
    <mergeCell ref="C39:E39"/>
    <mergeCell ref="C40:E40"/>
    <mergeCell ref="C41:E41"/>
    <mergeCell ref="M41:M43"/>
    <mergeCell ref="O41:R43"/>
    <mergeCell ref="S41:S43"/>
    <mergeCell ref="C42:E42"/>
    <mergeCell ref="C43:E43"/>
    <mergeCell ref="A44:A49"/>
    <mergeCell ref="C44:E44"/>
    <mergeCell ref="M44:M46"/>
    <mergeCell ref="O44:R46"/>
    <mergeCell ref="S44:S46"/>
    <mergeCell ref="C45:E45"/>
    <mergeCell ref="C46:E46"/>
    <mergeCell ref="C47:E47"/>
    <mergeCell ref="M47:M49"/>
    <mergeCell ref="O47:R49"/>
    <mergeCell ref="S47:S49"/>
    <mergeCell ref="C48:E48"/>
    <mergeCell ref="C49:E49"/>
    <mergeCell ref="A50:A51"/>
    <mergeCell ref="C50:E50"/>
    <mergeCell ref="O50:R50"/>
    <mergeCell ref="V50:X50"/>
    <mergeCell ref="C51:E51"/>
    <mergeCell ref="O51:R51"/>
    <mergeCell ref="V51:X51"/>
    <mergeCell ref="C54:E54"/>
    <mergeCell ref="O54:R54"/>
    <mergeCell ref="C55:E55"/>
    <mergeCell ref="O55:R55"/>
    <mergeCell ref="A54:A55"/>
    <mergeCell ref="A58:A59"/>
    <mergeCell ref="C58:E58"/>
    <mergeCell ref="O58:R58"/>
    <mergeCell ref="C59:E59"/>
    <mergeCell ref="O59:R59"/>
    <mergeCell ref="A56:A57"/>
    <mergeCell ref="C56:E56"/>
    <mergeCell ref="O56:R56"/>
    <mergeCell ref="C57:E57"/>
    <mergeCell ref="O57:R57"/>
    <mergeCell ref="A60:A61"/>
    <mergeCell ref="C60:E60"/>
    <mergeCell ref="O60:R60"/>
    <mergeCell ref="C61:E61"/>
    <mergeCell ref="O61:R61"/>
    <mergeCell ref="O64:R64"/>
    <mergeCell ref="C65:E65"/>
    <mergeCell ref="O65:R65"/>
    <mergeCell ref="C67:E67"/>
    <mergeCell ref="O67:R67"/>
    <mergeCell ref="A67:A68"/>
    <mergeCell ref="A62:A63"/>
    <mergeCell ref="C62:E62"/>
    <mergeCell ref="O62:R62"/>
    <mergeCell ref="C63:E63"/>
    <mergeCell ref="O63:R63"/>
    <mergeCell ref="C68:E68"/>
    <mergeCell ref="O68:R68"/>
    <mergeCell ref="O66:R66"/>
    <mergeCell ref="A64:A65"/>
    <mergeCell ref="C64:E64"/>
    <mergeCell ref="C69:E69"/>
    <mergeCell ref="O69:R69"/>
    <mergeCell ref="C70:E70"/>
    <mergeCell ref="O70:R70"/>
    <mergeCell ref="A69:A70"/>
    <mergeCell ref="A71:A72"/>
    <mergeCell ref="C71:E71"/>
    <mergeCell ref="O71:R71"/>
    <mergeCell ref="C72:E72"/>
    <mergeCell ref="O72:R72"/>
    <mergeCell ref="A73:A74"/>
    <mergeCell ref="C73:E73"/>
    <mergeCell ref="O73:R73"/>
    <mergeCell ref="C74:E74"/>
    <mergeCell ref="O74:R74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9:A80"/>
    <mergeCell ref="C79:E79"/>
    <mergeCell ref="O79:R79"/>
    <mergeCell ref="C89:G89"/>
    <mergeCell ref="O89:R89"/>
    <mergeCell ref="C80:E80"/>
    <mergeCell ref="O80:R80"/>
    <mergeCell ref="O85:R85"/>
    <mergeCell ref="C86:G86"/>
    <mergeCell ref="O86:R86"/>
    <mergeCell ref="A87:A89"/>
    <mergeCell ref="C87:G87"/>
    <mergeCell ref="O87:R87"/>
    <mergeCell ref="C88:G88"/>
    <mergeCell ref="O88:R88"/>
    <mergeCell ref="A81:A82"/>
    <mergeCell ref="C81:E81"/>
    <mergeCell ref="O81:R81"/>
    <mergeCell ref="C82:E82"/>
    <mergeCell ref="O93:R93"/>
    <mergeCell ref="C95:G95"/>
    <mergeCell ref="O95:R95"/>
    <mergeCell ref="C94:G94"/>
    <mergeCell ref="O94:R94"/>
    <mergeCell ref="C98:G98"/>
    <mergeCell ref="C99:G99"/>
    <mergeCell ref="O99:R99"/>
    <mergeCell ref="A100:A108"/>
    <mergeCell ref="C100:G100"/>
    <mergeCell ref="O100:R100"/>
    <mergeCell ref="C108:G108"/>
    <mergeCell ref="C96:G96"/>
    <mergeCell ref="O96:R96"/>
    <mergeCell ref="C97:G97"/>
    <mergeCell ref="O97:R97"/>
    <mergeCell ref="A95:A97"/>
    <mergeCell ref="A92:A94"/>
    <mergeCell ref="C92:G92"/>
    <mergeCell ref="O92:R92"/>
    <mergeCell ref="C93:G93"/>
    <mergeCell ref="G111:K111"/>
    <mergeCell ref="N111:P111"/>
    <mergeCell ref="A112:D112"/>
    <mergeCell ref="G112:K112"/>
    <mergeCell ref="N112:P112"/>
    <mergeCell ref="A113:D113"/>
    <mergeCell ref="G113:K113"/>
    <mergeCell ref="N113:P113"/>
    <mergeCell ref="S100:S104"/>
    <mergeCell ref="C101:G101"/>
    <mergeCell ref="C102:G102"/>
    <mergeCell ref="C103:G103"/>
    <mergeCell ref="C104:G104"/>
    <mergeCell ref="C105:G105"/>
    <mergeCell ref="O105:R108"/>
    <mergeCell ref="S105:S108"/>
    <mergeCell ref="C106:G106"/>
    <mergeCell ref="C107:G107"/>
    <mergeCell ref="B119:C119"/>
    <mergeCell ref="D119:E119"/>
    <mergeCell ref="F119:G119"/>
    <mergeCell ref="H119:K119"/>
    <mergeCell ref="L119:N119"/>
    <mergeCell ref="Q119:R119"/>
    <mergeCell ref="G12:I12"/>
    <mergeCell ref="K12:M12"/>
    <mergeCell ref="O12:R12"/>
    <mergeCell ref="G18:I18"/>
    <mergeCell ref="O18:R18"/>
    <mergeCell ref="B117:C117"/>
    <mergeCell ref="D117:E117"/>
    <mergeCell ref="F117:G117"/>
    <mergeCell ref="H117:K117"/>
    <mergeCell ref="L117:N117"/>
    <mergeCell ref="Q117:R117"/>
    <mergeCell ref="B118:C118"/>
    <mergeCell ref="D118:E118"/>
    <mergeCell ref="F118:G118"/>
    <mergeCell ref="H118:K118"/>
    <mergeCell ref="L118:N118"/>
    <mergeCell ref="Q118:R118"/>
    <mergeCell ref="A111:D111"/>
    <mergeCell ref="A7:A8"/>
    <mergeCell ref="G7:I7"/>
    <mergeCell ref="K7:M7"/>
    <mergeCell ref="O7:R7"/>
    <mergeCell ref="G8:I8"/>
    <mergeCell ref="K8:M8"/>
    <mergeCell ref="O8:R8"/>
    <mergeCell ref="A11:A12"/>
    <mergeCell ref="G17:I17"/>
    <mergeCell ref="O17:R17"/>
    <mergeCell ref="A17:A19"/>
    <mergeCell ref="K17:M18"/>
    <mergeCell ref="G11:I11"/>
    <mergeCell ref="K11:M11"/>
    <mergeCell ref="O11:R11"/>
    <mergeCell ref="G16:I16"/>
    <mergeCell ref="K16:M16"/>
    <mergeCell ref="O16:R16"/>
    <mergeCell ref="G19:I19"/>
    <mergeCell ref="A9:A10"/>
    <mergeCell ref="G9:I9"/>
    <mergeCell ref="K9:M9"/>
    <mergeCell ref="O9:R9"/>
    <mergeCell ref="G10:I10"/>
  </mergeCells>
  <phoneticPr fontId="26" type="noConversion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A124"/>
  <sheetViews>
    <sheetView topLeftCell="A99" workbookViewId="0">
      <selection activeCell="E115" sqref="E115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885</v>
      </c>
    </row>
    <row r="3" spans="1:23" ht="86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906</v>
      </c>
      <c r="O3" s="1319"/>
      <c r="P3" s="1320"/>
      <c r="Q3" s="1318" t="s">
        <v>907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45238</v>
      </c>
      <c r="D5" s="419" t="s">
        <v>902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308"/>
      <c r="P9" s="1309"/>
      <c r="Q9" s="1309"/>
      <c r="R9" s="1310"/>
      <c r="S9" s="878"/>
      <c r="U9" s="420" t="s">
        <v>633</v>
      </c>
      <c r="V9" s="880"/>
      <c r="W9" s="880"/>
    </row>
    <row r="10" spans="1:23" ht="36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'102'!O19</f>
        <v>750</v>
      </c>
      <c r="G10" s="1327">
        <f>'102'!K19</f>
        <v>8025</v>
      </c>
      <c r="H10" s="1328"/>
      <c r="I10" s="1329"/>
      <c r="J10" s="423">
        <f>'102'!L19</f>
        <v>86</v>
      </c>
      <c r="K10" s="1314">
        <f>'102'!P19</f>
        <v>0.89166666666666672</v>
      </c>
      <c r="L10" s="1315"/>
      <c r="M10" s="1316"/>
      <c r="N10" s="820">
        <f>J10/(G10+J10)</f>
        <v>1.0602884971027E-2</v>
      </c>
      <c r="O10" s="1308" t="str">
        <f>'102'!U19</f>
        <v>07:40最後一支交接班
早班更換壓光輪後補料,19:43開機,NG  86KG</v>
      </c>
      <c r="P10" s="1309"/>
      <c r="Q10" s="1309"/>
      <c r="R10" s="1310"/>
      <c r="S10" s="878" t="str">
        <f>'102'!V19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0.36</v>
      </c>
      <c r="E11" s="815">
        <v>870</v>
      </c>
      <c r="F11" s="815">
        <f>'103'!O22</f>
        <v>350</v>
      </c>
      <c r="G11" s="1311">
        <f>'103'!K22</f>
        <v>2528</v>
      </c>
      <c r="H11" s="1312"/>
      <c r="I11" s="1313"/>
      <c r="J11" s="814">
        <f>'103'!L22</f>
        <v>289</v>
      </c>
      <c r="K11" s="1314">
        <f>'103'!P22</f>
        <v>0.60190476190476194</v>
      </c>
      <c r="L11" s="1315"/>
      <c r="M11" s="1316"/>
      <c r="N11" s="820">
        <f>J11/(G11+J11)</f>
        <v>0.10259140930067448</v>
      </c>
      <c r="O11" s="1308" t="str">
        <f>'103'!U22</f>
        <v>18:56最後一支交接班
08:28-09:30測試板材0.3*800,NG  121KG
09:30-11:30環保局來測試噪音後再開機,NG  48KG
16:14-17:16測試板材0.3*800,NG  120KG</v>
      </c>
      <c r="P11" s="1309"/>
      <c r="Q11" s="1309"/>
      <c r="R11" s="1310"/>
      <c r="S11" s="822" t="str">
        <f>'103'!V22</f>
        <v>史豐銘</v>
      </c>
    </row>
    <row r="12" spans="1:23" ht="17.25" customHeight="1">
      <c r="A12" s="1336"/>
      <c r="B12" s="881" t="s">
        <v>207</v>
      </c>
      <c r="C12" s="422" t="s">
        <v>42</v>
      </c>
      <c r="D12" s="421">
        <v>0.36</v>
      </c>
      <c r="E12" s="880">
        <v>870</v>
      </c>
      <c r="F12" s="880">
        <f>'103'!O23</f>
        <v>350</v>
      </c>
      <c r="G12" s="1327">
        <f>'103'!K23</f>
        <v>2519</v>
      </c>
      <c r="H12" s="1328"/>
      <c r="I12" s="1329"/>
      <c r="J12" s="423">
        <f>'103'!L23</f>
        <v>0</v>
      </c>
      <c r="K12" s="1524">
        <f>'103'!P23+'103'!P24</f>
        <v>0.95952380952380945</v>
      </c>
      <c r="L12" s="1525"/>
      <c r="M12" s="1526"/>
      <c r="N12" s="820">
        <f>J12/(G12+J12)</f>
        <v>0</v>
      </c>
      <c r="O12" s="1521" t="str">
        <f>'103'!U23</f>
        <v>02:50-02:53改規格0.25*840,無損耗</v>
      </c>
      <c r="P12" s="1522"/>
      <c r="Q12" s="1522"/>
      <c r="R12" s="1523"/>
      <c r="S12" s="1517" t="str">
        <f>'103'!V23</f>
        <v>阮宏山</v>
      </c>
    </row>
    <row r="13" spans="1:23" ht="17.25" customHeight="1">
      <c r="A13" s="1326"/>
      <c r="B13" s="881" t="s">
        <v>207</v>
      </c>
      <c r="C13" s="422" t="s">
        <v>42</v>
      </c>
      <c r="D13" s="421">
        <v>0.25</v>
      </c>
      <c r="E13" s="880">
        <v>840</v>
      </c>
      <c r="F13" s="880">
        <f>'103'!O24</f>
        <v>350</v>
      </c>
      <c r="G13" s="1327">
        <f>'103'!K24</f>
        <v>1511</v>
      </c>
      <c r="H13" s="1328"/>
      <c r="I13" s="1329"/>
      <c r="J13" s="423">
        <f>'103'!L24</f>
        <v>0</v>
      </c>
      <c r="K13" s="1527"/>
      <c r="L13" s="1528"/>
      <c r="M13" s="1529"/>
      <c r="N13" s="820">
        <f>J13/(G13+J13)</f>
        <v>0</v>
      </c>
      <c r="O13" s="1530" t="str">
        <f>'103'!U24</f>
        <v>07:35最後一支交接班</v>
      </c>
      <c r="P13" s="1531"/>
      <c r="Q13" s="1531"/>
      <c r="R13" s="1532"/>
      <c r="S13" s="1518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649" t="s">
        <v>633</v>
      </c>
      <c r="E16" s="815"/>
      <c r="F16" s="815"/>
      <c r="G16" s="1311"/>
      <c r="H16" s="1312"/>
      <c r="I16" s="1313"/>
      <c r="J16" s="814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102"/>
      <c r="B17" s="881" t="s">
        <v>43</v>
      </c>
      <c r="C17" s="422" t="s">
        <v>44</v>
      </c>
      <c r="D17" s="421" t="s">
        <v>633</v>
      </c>
      <c r="E17" s="880"/>
      <c r="F17" s="880"/>
      <c r="G17" s="1327"/>
      <c r="H17" s="1328"/>
      <c r="I17" s="1329"/>
      <c r="J17" s="423"/>
      <c r="K17" s="1330"/>
      <c r="L17" s="1331"/>
      <c r="M17" s="1332"/>
      <c r="N17" s="871"/>
      <c r="O17" s="1333"/>
      <c r="P17" s="1334"/>
      <c r="Q17" s="1334"/>
      <c r="R17" s="1335"/>
      <c r="S17" s="860"/>
    </row>
    <row r="18" spans="1:19" ht="36" customHeight="1">
      <c r="A18" s="1370" t="s">
        <v>644</v>
      </c>
      <c r="B18" s="84" t="s">
        <v>205</v>
      </c>
      <c r="C18" s="850" t="s">
        <v>42</v>
      </c>
      <c r="D18" s="851">
        <v>1.55</v>
      </c>
      <c r="E18" s="815">
        <v>805</v>
      </c>
      <c r="F18" s="815">
        <f>'106'!O21</f>
        <v>1185</v>
      </c>
      <c r="G18" s="1311">
        <f>'106'!K21</f>
        <v>9856</v>
      </c>
      <c r="H18" s="1312"/>
      <c r="I18" s="1313"/>
      <c r="J18" s="814">
        <f>'106'!L21</f>
        <v>92</v>
      </c>
      <c r="K18" s="1330">
        <f>'106'!P21</f>
        <v>0.69310829817158937</v>
      </c>
      <c r="L18" s="1331"/>
      <c r="M18" s="1332"/>
      <c r="N18" s="871">
        <f t="shared" ref="N18:N23" si="0">J18/(G18+J18)</f>
        <v>9.2480900683554485E-3</v>
      </c>
      <c r="O18" s="1364" t="str">
        <f>'106'!U21</f>
        <v>20:02最後一支交接班
08:30-12:00環保局測試噪音停機,人員安排擦輪、換網及清理真空,NG  92KG</v>
      </c>
      <c r="P18" s="1365"/>
      <c r="Q18" s="1365"/>
      <c r="R18" s="1366"/>
      <c r="S18" s="822" t="str">
        <f>'106'!V21</f>
        <v>黎文中.林子維</v>
      </c>
    </row>
    <row r="19" spans="1:19" ht="17.25" customHeight="1">
      <c r="A19" s="1562"/>
      <c r="B19" s="881" t="s">
        <v>43</v>
      </c>
      <c r="C19" s="422" t="s">
        <v>42</v>
      </c>
      <c r="D19" s="421">
        <v>1.55</v>
      </c>
      <c r="E19" s="880">
        <v>805</v>
      </c>
      <c r="F19" s="880">
        <f>'106'!O22</f>
        <v>1185</v>
      </c>
      <c r="G19" s="1327">
        <f>'106'!K22</f>
        <v>13116</v>
      </c>
      <c r="H19" s="1328"/>
      <c r="I19" s="1329"/>
      <c r="J19" s="423">
        <f>'106'!L22</f>
        <v>0</v>
      </c>
      <c r="K19" s="1330">
        <f>'106'!P22</f>
        <v>0.92236286919831223</v>
      </c>
      <c r="L19" s="1331"/>
      <c r="M19" s="1332"/>
      <c r="N19" s="871">
        <f t="shared" si="0"/>
        <v>0</v>
      </c>
      <c r="O19" s="1364" t="str">
        <f>'106'!U22</f>
        <v>07:36最後一支交接班</v>
      </c>
      <c r="P19" s="1365"/>
      <c r="Q19" s="1365"/>
      <c r="R19" s="1366"/>
      <c r="S19" s="822" t="str">
        <f>'106'!V22</f>
        <v>黃隨貴</v>
      </c>
    </row>
    <row r="20" spans="1:19" ht="17.25" customHeight="1">
      <c r="A20" s="1362" t="s">
        <v>418</v>
      </c>
      <c r="B20" s="84" t="s">
        <v>205</v>
      </c>
      <c r="C20" s="850" t="s">
        <v>44</v>
      </c>
      <c r="D20" s="851">
        <v>0.47</v>
      </c>
      <c r="E20" s="815">
        <v>820</v>
      </c>
      <c r="F20" s="815">
        <f>'107'!O21</f>
        <v>450</v>
      </c>
      <c r="G20" s="1311">
        <f>'107'!K21</f>
        <v>2515</v>
      </c>
      <c r="H20" s="1312"/>
      <c r="I20" s="1313"/>
      <c r="J20" s="814">
        <f>'107'!L21</f>
        <v>56</v>
      </c>
      <c r="K20" s="1524">
        <f>'107'!P21+'107'!P22</f>
        <v>0.74537037037037035</v>
      </c>
      <c r="L20" s="1525"/>
      <c r="M20" s="1526"/>
      <c r="N20" s="871">
        <f t="shared" si="0"/>
        <v>2.1781408012446518E-2</v>
      </c>
      <c r="O20" s="1348" t="str">
        <f>'107'!U21</f>
        <v>09:02-11:15環保局檢測噪音停機,NG  56KG</v>
      </c>
      <c r="P20" s="1349"/>
      <c r="Q20" s="1349"/>
      <c r="R20" s="1350"/>
      <c r="S20" s="1517" t="str">
        <f>'107'!V21</f>
        <v>潘文銅</v>
      </c>
    </row>
    <row r="21" spans="1:19" ht="17.25" customHeight="1">
      <c r="A21" s="1540"/>
      <c r="B21" s="84" t="s">
        <v>205</v>
      </c>
      <c r="C21" s="850" t="s">
        <v>44</v>
      </c>
      <c r="D21" s="851">
        <v>0.38</v>
      </c>
      <c r="E21" s="815">
        <v>850</v>
      </c>
      <c r="F21" s="815">
        <f>'107'!O22</f>
        <v>450</v>
      </c>
      <c r="G21" s="1311">
        <f>'107'!K22</f>
        <v>1510</v>
      </c>
      <c r="H21" s="1312"/>
      <c r="I21" s="1313"/>
      <c r="J21" s="814">
        <f>'107'!L22</f>
        <v>0</v>
      </c>
      <c r="K21" s="1527"/>
      <c r="L21" s="1528"/>
      <c r="M21" s="1529"/>
      <c r="N21" s="871">
        <f t="shared" si="0"/>
        <v>0</v>
      </c>
      <c r="O21" s="1367" t="str">
        <f>'107'!U22</f>
        <v>15:55-15:56改規格0.38*850,無損耗
19:32最後一支交接班</v>
      </c>
      <c r="P21" s="1368"/>
      <c r="Q21" s="1368"/>
      <c r="R21" s="1369"/>
      <c r="S21" s="1518"/>
    </row>
    <row r="22" spans="1:19" ht="17.25" customHeight="1">
      <c r="A22" s="1540"/>
      <c r="B22" s="881" t="s">
        <v>43</v>
      </c>
      <c r="C22" s="422" t="s">
        <v>44</v>
      </c>
      <c r="D22" s="421">
        <v>0.38</v>
      </c>
      <c r="E22" s="880">
        <v>850</v>
      </c>
      <c r="F22" s="880">
        <f>'107'!O23</f>
        <v>450</v>
      </c>
      <c r="G22" s="1327">
        <f>'107'!K23</f>
        <v>3528</v>
      </c>
      <c r="H22" s="1328"/>
      <c r="I22" s="1329"/>
      <c r="J22" s="423">
        <f>'107'!L23</f>
        <v>0</v>
      </c>
      <c r="K22" s="1524">
        <f>'107'!P23+'107'!P24</f>
        <v>0.93240740740740735</v>
      </c>
      <c r="L22" s="1525"/>
      <c r="M22" s="1526"/>
      <c r="N22" s="871">
        <f t="shared" si="0"/>
        <v>0</v>
      </c>
      <c r="O22" s="1348" t="str">
        <f>'107'!U23</f>
        <v>03:40改規格0.36*850,無損耗</v>
      </c>
      <c r="P22" s="1349"/>
      <c r="Q22" s="1349"/>
      <c r="R22" s="1350"/>
      <c r="S22" s="1517" t="str">
        <f>'107'!V23</f>
        <v>磨文林</v>
      </c>
    </row>
    <row r="23" spans="1:19" ht="17.25" customHeight="1">
      <c r="A23" s="1363"/>
      <c r="B23" s="881" t="s">
        <v>43</v>
      </c>
      <c r="C23" s="422" t="s">
        <v>44</v>
      </c>
      <c r="D23" s="421">
        <v>0.36</v>
      </c>
      <c r="E23" s="880">
        <v>850</v>
      </c>
      <c r="F23" s="880">
        <f>'107'!O24</f>
        <v>450</v>
      </c>
      <c r="G23" s="1327">
        <f>'107'!K24</f>
        <v>1507</v>
      </c>
      <c r="H23" s="1328"/>
      <c r="I23" s="1329"/>
      <c r="J23" s="423">
        <f>'107'!L24</f>
        <v>0</v>
      </c>
      <c r="K23" s="1527"/>
      <c r="L23" s="1528"/>
      <c r="M23" s="1529"/>
      <c r="N23" s="871">
        <f t="shared" si="0"/>
        <v>0</v>
      </c>
      <c r="O23" s="1367" t="str">
        <f>'107'!U24</f>
        <v>07:10最後一支交接班</v>
      </c>
      <c r="P23" s="1368"/>
      <c r="Q23" s="1368"/>
      <c r="R23" s="1369"/>
      <c r="S23" s="1518"/>
    </row>
    <row r="24" spans="1:19" ht="17.25" customHeight="1">
      <c r="A24" s="843"/>
      <c r="B24" s="841"/>
      <c r="C24" s="850"/>
      <c r="D24" s="851"/>
      <c r="E24" s="815"/>
      <c r="F24" s="815"/>
      <c r="G24" s="832" t="s">
        <v>666</v>
      </c>
      <c r="H24" s="838"/>
      <c r="I24" s="833">
        <f>SUM(G7:I23)</f>
        <v>46615</v>
      </c>
      <c r="J24" s="833">
        <f>SUM(J7:J23)</f>
        <v>523</v>
      </c>
      <c r="K24" s="1314"/>
      <c r="L24" s="1315"/>
      <c r="M24" s="1316"/>
      <c r="N24" s="647"/>
      <c r="O24" s="1372"/>
      <c r="P24" s="1373"/>
      <c r="Q24" s="1373"/>
      <c r="R24" s="1374"/>
      <c r="S24" s="812"/>
    </row>
    <row r="25" spans="1:19" ht="20.100000000000001" hidden="1" customHeight="1">
      <c r="A25" s="1400" t="s">
        <v>10</v>
      </c>
      <c r="B25" s="84" t="s">
        <v>205</v>
      </c>
      <c r="C25" s="648" t="s">
        <v>44</v>
      </c>
      <c r="D25" s="649">
        <v>2.35</v>
      </c>
      <c r="E25" s="85">
        <v>800</v>
      </c>
      <c r="F25" s="85"/>
      <c r="G25" s="1401"/>
      <c r="H25" s="1401"/>
      <c r="I25" s="1401"/>
      <c r="J25" s="650"/>
      <c r="K25" s="1402"/>
      <c r="L25" s="1403"/>
      <c r="M25" s="1404"/>
      <c r="N25" s="647" t="e">
        <f t="shared" ref="N25:N30" si="1">J25/(G25+J25)</f>
        <v>#DIV/0!</v>
      </c>
      <c r="O25" s="1348"/>
      <c r="P25" s="1349"/>
      <c r="Q25" s="1349"/>
      <c r="R25" s="1350"/>
      <c r="S25" s="1414"/>
    </row>
    <row r="26" spans="1:19" ht="20.100000000000001" hidden="1" customHeight="1">
      <c r="A26" s="1400"/>
      <c r="B26" s="84" t="s">
        <v>0</v>
      </c>
      <c r="C26" s="648" t="s">
        <v>44</v>
      </c>
      <c r="D26" s="649">
        <v>1.85</v>
      </c>
      <c r="E26" s="85">
        <v>800</v>
      </c>
      <c r="F26" s="85"/>
      <c r="G26" s="1401"/>
      <c r="H26" s="1401"/>
      <c r="I26" s="1401"/>
      <c r="J26" s="650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415"/>
    </row>
    <row r="27" spans="1:19" ht="20.100000000000001" hidden="1" customHeight="1">
      <c r="A27" s="1400"/>
      <c r="B27" s="84" t="s">
        <v>205</v>
      </c>
      <c r="C27" s="648" t="s">
        <v>44</v>
      </c>
      <c r="D27" s="649"/>
      <c r="E27" s="85"/>
      <c r="F27" s="85"/>
      <c r="G27" s="1401"/>
      <c r="H27" s="1401"/>
      <c r="I27" s="1401"/>
      <c r="J27" s="650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41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2.35</v>
      </c>
      <c r="E28" s="880">
        <v>800</v>
      </c>
      <c r="F28" s="880"/>
      <c r="G28" s="1358"/>
      <c r="H28" s="1358"/>
      <c r="I28" s="1358"/>
      <c r="J28" s="423"/>
      <c r="K28" s="1402"/>
      <c r="L28" s="1403"/>
      <c r="M28" s="1404"/>
      <c r="N28" s="647" t="e">
        <f t="shared" si="1"/>
        <v>#DIV/0!</v>
      </c>
      <c r="O28" s="1348"/>
      <c r="P28" s="1349"/>
      <c r="Q28" s="1349"/>
      <c r="R28" s="1350"/>
      <c r="S28" s="1375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1.75</v>
      </c>
      <c r="E29" s="880">
        <v>715</v>
      </c>
      <c r="F29" s="880"/>
      <c r="G29" s="1358"/>
      <c r="H29" s="1358"/>
      <c r="I29" s="1358"/>
      <c r="J29" s="423"/>
      <c r="K29" s="1405"/>
      <c r="L29" s="1406"/>
      <c r="M29" s="1407"/>
      <c r="N29" s="647" t="e">
        <f t="shared" si="1"/>
        <v>#DIV/0!</v>
      </c>
      <c r="O29" s="1411"/>
      <c r="P29" s="1412"/>
      <c r="Q29" s="1412"/>
      <c r="R29" s="1413"/>
      <c r="S29" s="1376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1.6</v>
      </c>
      <c r="E30" s="880">
        <v>715</v>
      </c>
      <c r="F30" s="880"/>
      <c r="G30" s="1358"/>
      <c r="H30" s="1358"/>
      <c r="I30" s="1358"/>
      <c r="J30" s="423"/>
      <c r="K30" s="1408"/>
      <c r="L30" s="1409"/>
      <c r="M30" s="1410"/>
      <c r="N30" s="647" t="e">
        <f t="shared" si="1"/>
        <v>#DIV/0!</v>
      </c>
      <c r="O30" s="1367"/>
      <c r="P30" s="1368"/>
      <c r="Q30" s="1368"/>
      <c r="R30" s="1369"/>
      <c r="S30" s="1377"/>
    </row>
    <row r="31" spans="1:19" s="76" customFormat="1" ht="31.7" customHeight="1">
      <c r="A31" s="56" t="s">
        <v>212</v>
      </c>
      <c r="B31" s="388" t="s">
        <v>193</v>
      </c>
      <c r="C31" s="1378" t="s">
        <v>11</v>
      </c>
      <c r="D31" s="1379"/>
      <c r="E31" s="1380"/>
      <c r="F31" s="409" t="s">
        <v>12</v>
      </c>
      <c r="G31" s="409" t="s">
        <v>13</v>
      </c>
      <c r="H31" s="410" t="s">
        <v>215</v>
      </c>
      <c r="I31" s="411" t="s">
        <v>14</v>
      </c>
      <c r="J31" s="412" t="s">
        <v>15</v>
      </c>
      <c r="K31" s="651" t="s">
        <v>16</v>
      </c>
      <c r="L31" s="652" t="s">
        <v>60</v>
      </c>
      <c r="M31" s="653" t="s">
        <v>17</v>
      </c>
      <c r="N31" s="652" t="s">
        <v>18</v>
      </c>
      <c r="O31" s="1381" t="s">
        <v>29</v>
      </c>
      <c r="P31" s="1381"/>
      <c r="Q31" s="1381"/>
      <c r="R31" s="1381"/>
      <c r="S31" s="383" t="s">
        <v>4</v>
      </c>
    </row>
    <row r="32" spans="1:19" s="132" customFormat="1" ht="16.5" hidden="1" customHeight="1">
      <c r="A32" s="1126" t="s">
        <v>19</v>
      </c>
      <c r="B32" s="134" t="s">
        <v>0</v>
      </c>
      <c r="C32" s="1382"/>
      <c r="D32" s="1383"/>
      <c r="E32" s="1384"/>
      <c r="F32" s="380"/>
      <c r="G32" s="246">
        <f>SUM(G9:G30)</f>
        <v>46615</v>
      </c>
      <c r="H32" s="95"/>
      <c r="I32" s="844" t="e">
        <f>SUM(#REF!)</f>
        <v>#REF!</v>
      </c>
      <c r="J32" s="390"/>
      <c r="K32" s="390"/>
      <c r="L32" s="389"/>
      <c r="M32" s="1385"/>
      <c r="N32" s="654"/>
      <c r="O32" s="1388"/>
      <c r="P32" s="1389"/>
      <c r="Q32" s="1389"/>
      <c r="R32" s="1390"/>
      <c r="S32" s="1397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6"/>
      <c r="N33" s="654"/>
      <c r="O33" s="1391"/>
      <c r="P33" s="1392"/>
      <c r="Q33" s="1392"/>
      <c r="R33" s="1393"/>
      <c r="S33" s="1398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7"/>
      <c r="N34" s="654"/>
      <c r="O34" s="1394"/>
      <c r="P34" s="1395"/>
      <c r="Q34" s="1395"/>
      <c r="R34" s="1396"/>
      <c r="S34" s="1399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5"/>
      <c r="N35" s="654"/>
      <c r="O35" s="1388"/>
      <c r="P35" s="1389"/>
      <c r="Q35" s="1389"/>
      <c r="R35" s="1390"/>
      <c r="S35" s="1420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7"/>
      <c r="N38" s="654"/>
      <c r="O38" s="1394"/>
      <c r="P38" s="1395"/>
      <c r="Q38" s="1395"/>
      <c r="R38" s="1396"/>
      <c r="S38" s="1422"/>
    </row>
    <row r="39" spans="1:19" ht="18" hidden="1" customHeight="1">
      <c r="A39" s="1426" t="s">
        <v>61</v>
      </c>
      <c r="B39" s="84" t="s">
        <v>205</v>
      </c>
      <c r="C39" s="1382"/>
      <c r="D39" s="1383"/>
      <c r="E39" s="1384"/>
      <c r="F39" s="380"/>
      <c r="G39" s="245"/>
      <c r="H39" s="85"/>
      <c r="I39" s="85"/>
      <c r="J39" s="656"/>
      <c r="K39" s="392"/>
      <c r="L39" s="251"/>
      <c r="M39" s="1385"/>
      <c r="N39" s="428"/>
      <c r="O39" s="1388"/>
      <c r="P39" s="1389"/>
      <c r="Q39" s="1389"/>
      <c r="R39" s="1390"/>
      <c r="S39" s="1423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6"/>
      <c r="N40" s="654"/>
      <c r="O40" s="1391"/>
      <c r="P40" s="1392"/>
      <c r="Q40" s="1392"/>
      <c r="R40" s="1393"/>
      <c r="S40" s="1424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7"/>
      <c r="N41" s="654"/>
      <c r="O41" s="1394"/>
      <c r="P41" s="1395"/>
      <c r="Q41" s="1395"/>
      <c r="R41" s="1396"/>
      <c r="S41" s="1425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5"/>
      <c r="N42" s="654"/>
      <c r="O42" s="1388"/>
      <c r="P42" s="1389"/>
      <c r="Q42" s="1389"/>
      <c r="R42" s="1390"/>
      <c r="S42" s="1420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6"/>
      <c r="N43" s="654"/>
      <c r="O43" s="1391"/>
      <c r="P43" s="1392"/>
      <c r="Q43" s="1392"/>
      <c r="R43" s="1393"/>
      <c r="S43" s="1421"/>
    </row>
    <row r="44" spans="1:19" ht="18" hidden="1" customHeight="1">
      <c r="A44" s="1426"/>
      <c r="B44" s="381" t="s">
        <v>207</v>
      </c>
      <c r="C44" s="1417"/>
      <c r="D44" s="1418"/>
      <c r="E44" s="1419"/>
      <c r="F44" s="657"/>
      <c r="G44" s="243"/>
      <c r="H44" s="114"/>
      <c r="I44" s="114"/>
      <c r="J44" s="655"/>
      <c r="K44" s="391"/>
      <c r="L44" s="240"/>
      <c r="M44" s="1387"/>
      <c r="N44" s="428"/>
      <c r="O44" s="1394"/>
      <c r="P44" s="1395"/>
      <c r="Q44" s="1395"/>
      <c r="R44" s="1396"/>
      <c r="S44" s="1422"/>
    </row>
    <row r="45" spans="1:19" ht="18" hidden="1" customHeight="1">
      <c r="A45" s="1260" t="s">
        <v>20</v>
      </c>
      <c r="B45" s="84" t="s">
        <v>205</v>
      </c>
      <c r="C45" s="1382"/>
      <c r="D45" s="1383"/>
      <c r="E45" s="1384"/>
      <c r="F45" s="380"/>
      <c r="G45" s="245"/>
      <c r="H45" s="85"/>
      <c r="I45" s="85"/>
      <c r="J45" s="656"/>
      <c r="K45" s="393"/>
      <c r="L45" s="251"/>
      <c r="M45" s="1385"/>
      <c r="N45" s="428"/>
      <c r="O45" s="1388"/>
      <c r="P45" s="1389"/>
      <c r="Q45" s="1389"/>
      <c r="R45" s="1390"/>
      <c r="S45" s="1423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6"/>
      <c r="N46" s="654"/>
      <c r="O46" s="1391"/>
      <c r="P46" s="1392"/>
      <c r="Q46" s="1392"/>
      <c r="R46" s="1393"/>
      <c r="S46" s="1424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7"/>
      <c r="N47" s="654"/>
      <c r="O47" s="1394"/>
      <c r="P47" s="1395"/>
      <c r="Q47" s="1395"/>
      <c r="R47" s="1396"/>
      <c r="S47" s="1425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5"/>
      <c r="N48" s="654"/>
      <c r="O48" s="1388"/>
      <c r="P48" s="1389"/>
      <c r="Q48" s="1389"/>
      <c r="R48" s="1390"/>
      <c r="S48" s="1420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6"/>
      <c r="N49" s="654"/>
      <c r="O49" s="1391"/>
      <c r="P49" s="1392"/>
      <c r="Q49" s="1392"/>
      <c r="R49" s="1393"/>
      <c r="S49" s="1421"/>
    </row>
    <row r="50" spans="1:24" ht="15.75" hidden="1" customHeight="1">
      <c r="A50" s="1260"/>
      <c r="B50" s="381" t="s">
        <v>207</v>
      </c>
      <c r="C50" s="1417"/>
      <c r="D50" s="1418"/>
      <c r="E50" s="1419"/>
      <c r="F50" s="657"/>
      <c r="G50" s="243"/>
      <c r="H50" s="114"/>
      <c r="I50" s="114"/>
      <c r="J50" s="655"/>
      <c r="K50" s="391"/>
      <c r="L50" s="240"/>
      <c r="M50" s="1387"/>
      <c r="N50" s="428"/>
      <c r="O50" s="1394"/>
      <c r="P50" s="1395"/>
      <c r="Q50" s="1395"/>
      <c r="R50" s="1396"/>
      <c r="S50" s="1422"/>
    </row>
    <row r="51" spans="1:24" ht="36" customHeight="1">
      <c r="A51" s="1126" t="s">
        <v>21</v>
      </c>
      <c r="B51" s="84" t="s">
        <v>0</v>
      </c>
      <c r="C51" s="1427" t="e">
        <f>#REF!</f>
        <v>#REF!</v>
      </c>
      <c r="D51" s="1427"/>
      <c r="E51" s="1427"/>
      <c r="F51" s="827" t="s">
        <v>899</v>
      </c>
      <c r="G51" s="828" t="e">
        <f>#REF!</f>
        <v>#REF!</v>
      </c>
      <c r="H51" s="815"/>
      <c r="I51" s="827">
        <v>4</v>
      </c>
      <c r="J51" s="828" t="e">
        <f>#REF!</f>
        <v>#REF!</v>
      </c>
      <c r="K51" s="828" t="e">
        <f>#REF!</f>
        <v>#REF!</v>
      </c>
      <c r="L51" s="828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36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899</v>
      </c>
      <c r="G52" s="660" t="e">
        <f>#REF!</f>
        <v>#REF!</v>
      </c>
      <c r="H52" s="880"/>
      <c r="I52" s="418">
        <v>4</v>
      </c>
      <c r="J52" s="660" t="e">
        <f>#REF!</f>
        <v>#REF!</v>
      </c>
      <c r="K52" s="660" t="e">
        <f>#REF!</f>
        <v>#REF!</v>
      </c>
      <c r="L52" s="660" t="e">
        <f>#REF!</f>
        <v>#REF!</v>
      </c>
      <c r="M52" s="661" t="e">
        <f>#REF!</f>
        <v>#REF!</v>
      </c>
      <c r="N52" s="662" t="e">
        <f>#REF!</f>
        <v>#REF!</v>
      </c>
      <c r="O52" s="1361" t="e">
        <f>#REF!</f>
        <v>#REF!</v>
      </c>
      <c r="P52" s="1361"/>
      <c r="Q52" s="1361"/>
      <c r="R52" s="1361"/>
      <c r="S52" s="822" t="e">
        <f>#REF!</f>
        <v>#REF!</v>
      </c>
      <c r="V52" s="1382" t="s">
        <v>633</v>
      </c>
      <c r="W52" s="1383"/>
      <c r="X52" s="1384"/>
    </row>
    <row r="53" spans="1:24" ht="17.25" customHeight="1">
      <c r="A53" s="1126" t="s">
        <v>22</v>
      </c>
      <c r="B53" s="84" t="s">
        <v>0</v>
      </c>
      <c r="C53" s="1427" t="e">
        <f>#REF!</f>
        <v>#REF!</v>
      </c>
      <c r="D53" s="1427"/>
      <c r="E53" s="1427"/>
      <c r="F53" s="827" t="s">
        <v>723</v>
      </c>
      <c r="G53" s="852" t="e">
        <f>#REF!</f>
        <v>#REF!</v>
      </c>
      <c r="H53" s="815"/>
      <c r="I53" s="827">
        <v>2</v>
      </c>
      <c r="J53" s="852" t="e">
        <f>#REF!</f>
        <v>#REF!</v>
      </c>
      <c r="K53" s="885" t="e">
        <f>#REF!</f>
        <v>#REF!</v>
      </c>
      <c r="L53" s="885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36.75" customHeight="1">
      <c r="A54" s="1189"/>
      <c r="B54" s="881" t="s">
        <v>43</v>
      </c>
      <c r="C54" s="1360" t="e">
        <f>#REF!</f>
        <v>#REF!</v>
      </c>
      <c r="D54" s="1360"/>
      <c r="E54" s="1360"/>
      <c r="F54" s="418" t="s">
        <v>723</v>
      </c>
      <c r="G54" s="840" t="e">
        <f>#REF!</f>
        <v>#REF!</v>
      </c>
      <c r="H54" s="880"/>
      <c r="I54" s="418">
        <v>2</v>
      </c>
      <c r="J54" s="840" t="e">
        <f>#REF!</f>
        <v>#REF!</v>
      </c>
      <c r="K54" s="890" t="e">
        <f>#REF!</f>
        <v>#REF!</v>
      </c>
      <c r="L54" s="890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17.25" customHeight="1">
      <c r="A55" s="1428" t="s">
        <v>23</v>
      </c>
      <c r="B55" s="84" t="s">
        <v>0</v>
      </c>
      <c r="C55" s="1427" t="e">
        <f>#REF!</f>
        <v>#REF!</v>
      </c>
      <c r="D55" s="1427"/>
      <c r="E55" s="1427"/>
      <c r="F55" s="827" t="s">
        <v>922</v>
      </c>
      <c r="G55" s="828" t="e">
        <f>#REF!</f>
        <v>#REF!</v>
      </c>
      <c r="H55" s="815"/>
      <c r="I55" s="827">
        <v>1</v>
      </c>
      <c r="J55" s="828" t="e">
        <f>#REF!</f>
        <v>#REF!</v>
      </c>
      <c r="K55" s="828" t="e">
        <f>#REF!</f>
        <v>#REF!</v>
      </c>
      <c r="L55" s="828" t="e">
        <f>#REF!</f>
        <v>#REF!</v>
      </c>
      <c r="M55" s="865" t="e">
        <f>#REF!</f>
        <v>#REF!</v>
      </c>
      <c r="N55" s="662" t="e">
        <f>#REF!</f>
        <v>#REF!</v>
      </c>
      <c r="O55" s="1348" t="e">
        <f>#REF!</f>
        <v>#REF!</v>
      </c>
      <c r="P55" s="1349"/>
      <c r="Q55" s="1349"/>
      <c r="R55" s="1350"/>
      <c r="S55" s="1517" t="e">
        <f>#REF!</f>
        <v>#REF!</v>
      </c>
    </row>
    <row r="56" spans="1:24" ht="17.25" customHeight="1">
      <c r="A56" s="1429"/>
      <c r="B56" s="84" t="s">
        <v>0</v>
      </c>
      <c r="C56" s="1427" t="e">
        <f>#REF!</f>
        <v>#REF!</v>
      </c>
      <c r="D56" s="1427"/>
      <c r="E56" s="1427"/>
      <c r="F56" s="827" t="s">
        <v>923</v>
      </c>
      <c r="G56" s="828" t="e">
        <f>#REF!</f>
        <v>#REF!</v>
      </c>
      <c r="H56" s="815"/>
      <c r="I56" s="827">
        <v>2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65" t="e">
        <f>#REF!</f>
        <v>#REF!</v>
      </c>
      <c r="N56" s="662" t="e">
        <f>#REF!</f>
        <v>#REF!</v>
      </c>
      <c r="O56" s="1367" t="e">
        <f>#REF!</f>
        <v>#REF!</v>
      </c>
      <c r="P56" s="1368"/>
      <c r="Q56" s="1368"/>
      <c r="R56" s="1369"/>
      <c r="S56" s="1518"/>
    </row>
    <row r="57" spans="1:24" ht="35.25" customHeight="1">
      <c r="A57" s="1563"/>
      <c r="B57" s="381" t="s">
        <v>43</v>
      </c>
      <c r="C57" s="1360" t="e">
        <f>#REF!</f>
        <v>#REF!</v>
      </c>
      <c r="D57" s="1360"/>
      <c r="E57" s="1360"/>
      <c r="F57" s="418" t="s">
        <v>923</v>
      </c>
      <c r="G57" s="660" t="e">
        <f>#REF!</f>
        <v>#REF!</v>
      </c>
      <c r="H57" s="880"/>
      <c r="I57" s="418">
        <v>2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65" t="e">
        <f>#REF!</f>
        <v>#REF!</v>
      </c>
      <c r="N57" s="662" t="e">
        <f>#REF!</f>
        <v>#REF!</v>
      </c>
      <c r="O57" s="1364" t="e">
        <f>#REF!</f>
        <v>#REF!</v>
      </c>
      <c r="P57" s="1365"/>
      <c r="Q57" s="1365"/>
      <c r="R57" s="1366"/>
      <c r="S57" s="822" t="e">
        <f>#REF!</f>
        <v>#REF!</v>
      </c>
    </row>
    <row r="58" spans="1:24" ht="17.25" customHeight="1">
      <c r="A58" s="1126" t="s">
        <v>24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661"/>
      <c r="N59" s="662"/>
      <c r="O59" s="1361"/>
      <c r="P59" s="1361"/>
      <c r="Q59" s="1361"/>
      <c r="R59" s="1361"/>
      <c r="S59" s="877"/>
    </row>
    <row r="60" spans="1:24" ht="17.25" customHeight="1">
      <c r="A60" s="1260" t="s">
        <v>634</v>
      </c>
      <c r="B60" s="84" t="s">
        <v>0</v>
      </c>
      <c r="C60" s="1427" t="e">
        <f>#REF!</f>
        <v>#REF!</v>
      </c>
      <c r="D60" s="1427"/>
      <c r="E60" s="1427"/>
      <c r="F60" s="827" t="s">
        <v>699</v>
      </c>
      <c r="G60" s="828" t="e">
        <f>#REF!</f>
        <v>#REF!</v>
      </c>
      <c r="H60" s="815"/>
      <c r="I60" s="827">
        <v>4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17.25" customHeight="1">
      <c r="A61" s="1260"/>
      <c r="B61" s="381" t="s">
        <v>43</v>
      </c>
      <c r="C61" s="1360" t="e">
        <f>#REF!</f>
        <v>#REF!</v>
      </c>
      <c r="D61" s="1360"/>
      <c r="E61" s="1360"/>
      <c r="F61" s="418" t="s">
        <v>699</v>
      </c>
      <c r="G61" s="660" t="e">
        <f>#REF!</f>
        <v>#REF!</v>
      </c>
      <c r="H61" s="880"/>
      <c r="I61" s="418">
        <v>6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7" t="e">
        <f>#REF!</f>
        <v>#REF!</v>
      </c>
      <c r="O61" s="1430" t="e">
        <f>#REF!</f>
        <v>#REF!</v>
      </c>
      <c r="P61" s="1431"/>
      <c r="Q61" s="1431"/>
      <c r="R61" s="1432"/>
      <c r="S61" s="822" t="e">
        <f>#REF!</f>
        <v>#REF!</v>
      </c>
    </row>
    <row r="62" spans="1:24" ht="17.25" customHeight="1">
      <c r="A62" s="1126" t="s">
        <v>416</v>
      </c>
      <c r="B62" s="84" t="s">
        <v>0</v>
      </c>
      <c r="C62" s="1427" t="e">
        <f>#REF!</f>
        <v>#REF!</v>
      </c>
      <c r="D62" s="1427"/>
      <c r="E62" s="1427"/>
      <c r="F62" s="827" t="s">
        <v>776</v>
      </c>
      <c r="G62" s="828" t="e">
        <f>#REF!</f>
        <v>#REF!</v>
      </c>
      <c r="H62" s="815"/>
      <c r="I62" s="827">
        <v>0</v>
      </c>
      <c r="J62" s="828" t="e">
        <f>#REF!</f>
        <v>#REF!</v>
      </c>
      <c r="K62" s="828" t="e">
        <f>#REF!</f>
        <v>#REF!</v>
      </c>
      <c r="L62" s="828" t="e">
        <f>#REF!</f>
        <v>#REF!</v>
      </c>
      <c r="M62" s="816" t="e">
        <f>#REF!</f>
        <v>#REF!</v>
      </c>
      <c r="N62" s="818" t="e">
        <f>#REF!</f>
        <v>#REF!</v>
      </c>
      <c r="O62" s="1333" t="e">
        <f>#REF!</f>
        <v>#REF!</v>
      </c>
      <c r="P62" s="1334"/>
      <c r="Q62" s="1334"/>
      <c r="R62" s="1335"/>
      <c r="S62" s="855" t="e">
        <f>#REF!</f>
        <v>#REF!</v>
      </c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8"/>
      <c r="O63" s="1333"/>
      <c r="P63" s="1334"/>
      <c r="Q63" s="1334"/>
      <c r="R63" s="1335"/>
      <c r="S63" s="855"/>
    </row>
    <row r="64" spans="1:24" ht="17.25" customHeight="1">
      <c r="A64" s="1126" t="s">
        <v>635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48"/>
    </row>
    <row r="66" spans="1:79" ht="35.25" customHeight="1">
      <c r="A66" s="1126" t="s">
        <v>636</v>
      </c>
      <c r="B66" s="84" t="s">
        <v>0</v>
      </c>
      <c r="C66" s="1427" t="e">
        <f>#REF!</f>
        <v>#REF!</v>
      </c>
      <c r="D66" s="1427"/>
      <c r="E66" s="1427"/>
      <c r="F66" s="827" t="s">
        <v>694</v>
      </c>
      <c r="G66" s="828" t="e">
        <f>#REF!</f>
        <v>#REF!</v>
      </c>
      <c r="H66" s="815"/>
      <c r="I66" s="827">
        <v>3</v>
      </c>
      <c r="J66" s="828" t="e">
        <f>#REF!</f>
        <v>#REF!</v>
      </c>
      <c r="K66" s="828" t="e">
        <f>#REF!</f>
        <v>#REF!</v>
      </c>
      <c r="L66" s="828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21" t="e">
        <f>#REF!</f>
        <v>#REF!</v>
      </c>
    </row>
    <row r="67" spans="1:79" ht="17.25" customHeight="1">
      <c r="A67" s="1127"/>
      <c r="B67" s="381" t="s">
        <v>43</v>
      </c>
      <c r="C67" s="1360" t="s">
        <v>633</v>
      </c>
      <c r="D67" s="1360"/>
      <c r="E67" s="1360"/>
      <c r="F67" s="418"/>
      <c r="G67" s="660"/>
      <c r="H67" s="880"/>
      <c r="I67" s="418"/>
      <c r="J67" s="660"/>
      <c r="K67" s="660"/>
      <c r="L67" s="660"/>
      <c r="M67" s="816"/>
      <c r="N67" s="817"/>
      <c r="O67" s="1436"/>
      <c r="P67" s="1436"/>
      <c r="Q67" s="1436"/>
      <c r="R67" s="1436"/>
      <c r="S67" s="821"/>
    </row>
    <row r="68" spans="1:79" ht="17.25" customHeight="1">
      <c r="A68" s="831"/>
      <c r="B68" s="841"/>
      <c r="C68" s="882"/>
      <c r="D68" s="883"/>
      <c r="E68" s="884"/>
      <c r="F68" s="827"/>
      <c r="G68" s="828"/>
      <c r="H68" s="815"/>
      <c r="I68" s="827"/>
      <c r="J68" s="832" t="s">
        <v>666</v>
      </c>
      <c r="K68" s="836" t="e">
        <f>SUM(K51:K67)</f>
        <v>#REF!</v>
      </c>
      <c r="L68" s="839"/>
      <c r="M68" s="816"/>
      <c r="N68" s="817"/>
      <c r="O68" s="1433"/>
      <c r="P68" s="1434"/>
      <c r="Q68" s="1434"/>
      <c r="R68" s="1435"/>
      <c r="S68" s="811"/>
    </row>
    <row r="69" spans="1:79" ht="17.25" customHeight="1">
      <c r="A69" s="1400" t="s">
        <v>25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437"/>
      <c r="P69" s="1438"/>
      <c r="Q69" s="1438"/>
      <c r="R69" s="1439"/>
      <c r="S69" s="876"/>
    </row>
    <row r="70" spans="1:79" ht="17.25" customHeight="1">
      <c r="A70" s="1400"/>
      <c r="B70" s="3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415"/>
      <c r="O70" s="1437"/>
      <c r="P70" s="1438"/>
      <c r="Q70" s="1438"/>
      <c r="R70" s="1439"/>
      <c r="S70" s="876"/>
    </row>
    <row r="71" spans="1:79" ht="17.25" customHeight="1">
      <c r="A71" s="1260" t="s">
        <v>62</v>
      </c>
      <c r="B71" s="84" t="s">
        <v>0</v>
      </c>
      <c r="C71" s="1427" t="e">
        <f>#REF!</f>
        <v>#REF!</v>
      </c>
      <c r="D71" s="1427"/>
      <c r="E71" s="1427"/>
      <c r="F71" s="827" t="s">
        <v>731</v>
      </c>
      <c r="G71" s="828" t="e">
        <f>#REF!</f>
        <v>#REF!</v>
      </c>
      <c r="H71" s="815"/>
      <c r="I71" s="827">
        <v>4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415" t="e">
        <f>#REF!</f>
        <v>#REF!</v>
      </c>
      <c r="O71" s="1437" t="e">
        <f>#REF!</f>
        <v>#REF!</v>
      </c>
      <c r="P71" s="1438"/>
      <c r="Q71" s="1438"/>
      <c r="R71" s="1439"/>
      <c r="S71" s="861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260"/>
      <c r="B72" s="381" t="s">
        <v>43</v>
      </c>
      <c r="C72" s="1360" t="e">
        <f>#REF!</f>
        <v>#REF!</v>
      </c>
      <c r="D72" s="1360"/>
      <c r="E72" s="1360"/>
      <c r="F72" s="418" t="s">
        <v>731</v>
      </c>
      <c r="G72" s="660" t="e">
        <f>#REF!</f>
        <v>#REF!</v>
      </c>
      <c r="H72" s="880"/>
      <c r="I72" s="418">
        <v>0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415" t="e">
        <f>#REF!</f>
        <v>#REF!</v>
      </c>
      <c r="O72" s="1437" t="e">
        <f>#REF!</f>
        <v>#REF!</v>
      </c>
      <c r="P72" s="1438"/>
      <c r="Q72" s="1438"/>
      <c r="R72" s="1439"/>
      <c r="S72" s="861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126" t="s">
        <v>640</v>
      </c>
      <c r="B73" s="84" t="s">
        <v>0</v>
      </c>
      <c r="C73" s="1427" t="e">
        <f>#REF!</f>
        <v>#REF!</v>
      </c>
      <c r="D73" s="1427"/>
      <c r="E73" s="1427"/>
      <c r="F73" s="827" t="s">
        <v>924</v>
      </c>
      <c r="G73" s="828" t="e">
        <f>#REF!</f>
        <v>#REF!</v>
      </c>
      <c r="H73" s="815"/>
      <c r="I73" s="827">
        <v>3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17.25" customHeight="1">
      <c r="A74" s="1189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659"/>
      <c r="N74" s="658"/>
      <c r="O74" s="1437"/>
      <c r="P74" s="1438"/>
      <c r="Q74" s="1438"/>
      <c r="R74" s="1439"/>
      <c r="S74" s="823"/>
    </row>
    <row r="75" spans="1:79" ht="52.5" customHeight="1">
      <c r="A75" s="1440" t="s">
        <v>26</v>
      </c>
      <c r="B75" s="84" t="s">
        <v>0</v>
      </c>
      <c r="C75" s="1427" t="e">
        <f>#REF!</f>
        <v>#REF!</v>
      </c>
      <c r="D75" s="1427"/>
      <c r="E75" s="1427"/>
      <c r="F75" s="827" t="s">
        <v>732</v>
      </c>
      <c r="G75" s="828" t="e">
        <f>#REF!</f>
        <v>#REF!</v>
      </c>
      <c r="H75" s="815"/>
      <c r="I75" s="827">
        <v>2</v>
      </c>
      <c r="J75" s="828" t="e">
        <f>#REF!</f>
        <v>#REF!</v>
      </c>
      <c r="K75" s="828" t="e">
        <f>#REF!</f>
        <v>#REF!</v>
      </c>
      <c r="L75" s="828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52.5" customHeight="1">
      <c r="A76" s="1441"/>
      <c r="B76" s="881" t="s">
        <v>43</v>
      </c>
      <c r="C76" s="1360" t="e">
        <f>#REF!</f>
        <v>#REF!</v>
      </c>
      <c r="D76" s="1360"/>
      <c r="E76" s="1360"/>
      <c r="F76" s="418" t="s">
        <v>732</v>
      </c>
      <c r="G76" s="660" t="e">
        <f>#REF!</f>
        <v>#REF!</v>
      </c>
      <c r="H76" s="880"/>
      <c r="I76" s="418">
        <v>4</v>
      </c>
      <c r="J76" s="660" t="e">
        <f>#REF!</f>
        <v>#REF!</v>
      </c>
      <c r="K76" s="660" t="e">
        <f>#REF!</f>
        <v>#REF!</v>
      </c>
      <c r="L76" s="660" t="e">
        <f>#REF!</f>
        <v>#REF!</v>
      </c>
      <c r="M76" s="842" t="e">
        <f>#REF!</f>
        <v>#REF!</v>
      </c>
      <c r="N76" s="415" t="e">
        <f>#REF!</f>
        <v>#REF!</v>
      </c>
      <c r="O76" s="1442" t="e">
        <f>#REF!</f>
        <v>#REF!</v>
      </c>
      <c r="P76" s="1443"/>
      <c r="Q76" s="1443"/>
      <c r="R76" s="1444"/>
      <c r="S76" s="822" t="e">
        <f>#REF!</f>
        <v>#REF!</v>
      </c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35.25" customHeight="1">
      <c r="A77" s="1440" t="s">
        <v>27</v>
      </c>
      <c r="B77" s="841" t="s">
        <v>0</v>
      </c>
      <c r="C77" s="1427" t="e">
        <f>#REF!</f>
        <v>#REF!</v>
      </c>
      <c r="D77" s="1427"/>
      <c r="E77" s="1427"/>
      <c r="F77" s="827" t="s">
        <v>925</v>
      </c>
      <c r="G77" s="828" t="e">
        <f>#REF!</f>
        <v>#REF!</v>
      </c>
      <c r="H77" s="815"/>
      <c r="I77" s="827">
        <v>4</v>
      </c>
      <c r="J77" s="828" t="e">
        <f>#REF!</f>
        <v>#REF!</v>
      </c>
      <c r="K77" s="828" t="e">
        <f>#REF!</f>
        <v>#REF!</v>
      </c>
      <c r="L77" s="828" t="e">
        <f>#REF!</f>
        <v>#REF!</v>
      </c>
      <c r="M77" s="842" t="e">
        <f>#REF!</f>
        <v>#REF!</v>
      </c>
      <c r="N77" s="415" t="e">
        <f>#REF!</f>
        <v>#REF!</v>
      </c>
      <c r="O77" s="1442" t="e">
        <f>#REF!</f>
        <v>#REF!</v>
      </c>
      <c r="P77" s="1443"/>
      <c r="Q77" s="1443"/>
      <c r="R77" s="1444"/>
      <c r="S77" s="822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1"/>
      <c r="B78" s="881" t="s">
        <v>43</v>
      </c>
      <c r="C78" s="1360" t="e">
        <f>#REF!</f>
        <v>#REF!</v>
      </c>
      <c r="D78" s="1360"/>
      <c r="E78" s="1360"/>
      <c r="F78" s="418" t="s">
        <v>925</v>
      </c>
      <c r="G78" s="660" t="e">
        <f>#REF!</f>
        <v>#REF!</v>
      </c>
      <c r="H78" s="880"/>
      <c r="I78" s="418">
        <v>4</v>
      </c>
      <c r="J78" s="660" t="e">
        <f>#REF!</f>
        <v>#REF!</v>
      </c>
      <c r="K78" s="660" t="e">
        <f>#REF!</f>
        <v>#REF!</v>
      </c>
      <c r="L78" s="660" t="e">
        <f>#REF!</f>
        <v>#REF!</v>
      </c>
      <c r="M78" s="842" t="e">
        <f>#REF!</f>
        <v>#REF!</v>
      </c>
      <c r="N78" s="415" t="e">
        <f>#REF!</f>
        <v>#REF!</v>
      </c>
      <c r="O78" s="1442" t="e">
        <f>#REF!</f>
        <v>#REF!</v>
      </c>
      <c r="P78" s="1443"/>
      <c r="Q78" s="1443"/>
      <c r="R78" s="1444"/>
      <c r="S78" s="822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440" t="s">
        <v>641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441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659"/>
      <c r="N80" s="415"/>
      <c r="O80" s="1437"/>
      <c r="P80" s="1438"/>
      <c r="Q80" s="1438"/>
      <c r="R80" s="1439"/>
      <c r="S80" s="822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642</v>
      </c>
      <c r="B81" s="84" t="s">
        <v>0</v>
      </c>
      <c r="C81" s="1427" t="e">
        <f>#REF!</f>
        <v>#REF!</v>
      </c>
      <c r="D81" s="1427"/>
      <c r="E81" s="1427"/>
      <c r="F81" s="827" t="s">
        <v>901</v>
      </c>
      <c r="G81" s="828" t="e">
        <f>#REF!</f>
        <v>#REF!</v>
      </c>
      <c r="H81" s="815"/>
      <c r="I81" s="827">
        <v>0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816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89"/>
      <c r="B82" s="881" t="s">
        <v>43</v>
      </c>
      <c r="C82" s="1360" t="e">
        <f>#REF!</f>
        <v>#REF!</v>
      </c>
      <c r="D82" s="1360"/>
      <c r="E82" s="1360"/>
      <c r="F82" s="418" t="s">
        <v>901</v>
      </c>
      <c r="G82" s="660" t="e">
        <f>#REF!</f>
        <v>#REF!</v>
      </c>
      <c r="H82" s="880"/>
      <c r="I82" s="418">
        <v>0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816" t="e">
        <f>#REF!</f>
        <v>#REF!</v>
      </c>
      <c r="N82" s="415" t="e">
        <f>#REF!</f>
        <v>#REF!</v>
      </c>
      <c r="O82" s="1437"/>
      <c r="P82" s="1438"/>
      <c r="Q82" s="1438"/>
      <c r="R82" s="1439"/>
      <c r="S82" s="823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 t="s">
        <v>643</v>
      </c>
      <c r="B83" s="84" t="s">
        <v>0</v>
      </c>
      <c r="C83" s="1427" t="e">
        <f>#REF!</f>
        <v>#REF!</v>
      </c>
      <c r="D83" s="1427"/>
      <c r="E83" s="1427"/>
      <c r="F83" s="827" t="s">
        <v>735</v>
      </c>
      <c r="G83" s="828" t="e">
        <f>#REF!</f>
        <v>#REF!</v>
      </c>
      <c r="H83" s="815"/>
      <c r="I83" s="827">
        <v>11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/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/>
      <c r="B84" s="881" t="s">
        <v>43</v>
      </c>
      <c r="C84" s="1360" t="e">
        <f>#REF!</f>
        <v>#REF!</v>
      </c>
      <c r="D84" s="1360"/>
      <c r="E84" s="1360"/>
      <c r="F84" s="418" t="s">
        <v>735</v>
      </c>
      <c r="G84" s="660" t="e">
        <f>#REF!</f>
        <v>#REF!</v>
      </c>
      <c r="H84" s="880"/>
      <c r="I84" s="418">
        <v>12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48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260" t="s">
        <v>651</v>
      </c>
      <c r="B85" s="84" t="s">
        <v>0</v>
      </c>
      <c r="C85" s="1427" t="s">
        <v>633</v>
      </c>
      <c r="D85" s="1427"/>
      <c r="E85" s="1427"/>
      <c r="F85" s="827"/>
      <c r="G85" s="828"/>
      <c r="H85" s="815"/>
      <c r="I85" s="827"/>
      <c r="J85" s="828"/>
      <c r="K85" s="828"/>
      <c r="L85" s="828"/>
      <c r="M85" s="659"/>
      <c r="N85" s="415"/>
      <c r="O85" s="1437"/>
      <c r="P85" s="1438"/>
      <c r="Q85" s="1438"/>
      <c r="R85" s="1439"/>
      <c r="S85" s="82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1260"/>
      <c r="B86" s="881" t="s">
        <v>43</v>
      </c>
      <c r="C86" s="1360" t="s">
        <v>633</v>
      </c>
      <c r="D86" s="1360"/>
      <c r="E86" s="1360"/>
      <c r="F86" s="418"/>
      <c r="G86" s="660"/>
      <c r="H86" s="880"/>
      <c r="I86" s="418"/>
      <c r="J86" s="660"/>
      <c r="K86" s="660"/>
      <c r="L86" s="660"/>
      <c r="M86" s="659"/>
      <c r="N86" s="415"/>
      <c r="O86" s="1437"/>
      <c r="P86" s="1438"/>
      <c r="Q86" s="1438"/>
      <c r="R86" s="1439"/>
      <c r="S86" s="823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ht="17.25" customHeight="1">
      <c r="A87" s="837"/>
      <c r="B87" s="841"/>
      <c r="C87" s="882"/>
      <c r="D87" s="883"/>
      <c r="E87" s="883"/>
      <c r="F87" s="845"/>
      <c r="G87" s="846"/>
      <c r="H87" s="815"/>
      <c r="I87" s="827"/>
      <c r="J87" s="834" t="s">
        <v>666</v>
      </c>
      <c r="K87" s="847" t="e">
        <f>SUM(K69:K86)</f>
        <v>#REF!</v>
      </c>
      <c r="L87" s="829"/>
      <c r="M87" s="659"/>
      <c r="N87" s="415"/>
      <c r="O87" s="1437"/>
      <c r="P87" s="1438"/>
      <c r="Q87" s="1438"/>
      <c r="R87" s="1439"/>
      <c r="S87" s="862"/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  <c r="AF87" s="793"/>
      <c r="AG87" s="793"/>
      <c r="AH87" s="793"/>
      <c r="AI87" s="793"/>
      <c r="AJ87" s="793"/>
      <c r="AK87" s="793"/>
      <c r="AL87" s="793"/>
      <c r="AM87" s="793"/>
      <c r="AN87" s="793"/>
      <c r="AO87" s="793"/>
      <c r="AP87" s="793"/>
      <c r="AQ87" s="793"/>
      <c r="AR87" s="793"/>
      <c r="AS87" s="793"/>
      <c r="AT87" s="793"/>
      <c r="AU87" s="793"/>
      <c r="AV87" s="793"/>
      <c r="AW87" s="793"/>
      <c r="AX87" s="793"/>
      <c r="AY87" s="793"/>
      <c r="AZ87" s="793"/>
      <c r="BA87" s="793"/>
      <c r="BB87" s="793"/>
      <c r="BC87" s="793"/>
      <c r="BD87" s="793"/>
      <c r="BE87" s="793"/>
      <c r="BF87" s="793"/>
      <c r="BG87" s="793"/>
      <c r="BH87" s="793"/>
      <c r="BI87" s="793"/>
      <c r="BJ87" s="793"/>
      <c r="BK87" s="793"/>
      <c r="BL87" s="793"/>
      <c r="BM87" s="793"/>
      <c r="BN87" s="793"/>
      <c r="BO87" s="793"/>
      <c r="BP87" s="793"/>
      <c r="BQ87" s="793"/>
      <c r="BR87" s="793"/>
      <c r="BS87" s="793"/>
      <c r="BT87" s="793"/>
      <c r="BU87" s="793"/>
      <c r="BV87" s="793"/>
      <c r="BW87" s="793"/>
      <c r="BX87" s="793"/>
      <c r="BY87" s="793"/>
      <c r="BZ87" s="793"/>
      <c r="CA87" s="793"/>
    </row>
    <row r="88" spans="1:79" s="76" customFormat="1" ht="39" customHeight="1">
      <c r="A88" s="400" t="s">
        <v>63</v>
      </c>
      <c r="B88" s="400" t="s">
        <v>193</v>
      </c>
      <c r="C88" s="1445" t="s">
        <v>11</v>
      </c>
      <c r="D88" s="1446"/>
      <c r="E88" s="1446"/>
      <c r="F88" s="1446"/>
      <c r="G88" s="1447"/>
      <c r="H88" s="242" t="s">
        <v>216</v>
      </c>
      <c r="I88" s="242" t="s">
        <v>12</v>
      </c>
      <c r="J88" s="242" t="s">
        <v>13</v>
      </c>
      <c r="K88" s="405" t="s">
        <v>218</v>
      </c>
      <c r="L88" s="416" t="s">
        <v>60</v>
      </c>
      <c r="M88" s="257" t="s">
        <v>28</v>
      </c>
      <c r="N88" s="257" t="s">
        <v>45</v>
      </c>
      <c r="O88" s="1448" t="s">
        <v>29</v>
      </c>
      <c r="P88" s="1449"/>
      <c r="Q88" s="1449"/>
      <c r="R88" s="1450"/>
      <c r="S88" s="417" t="s">
        <v>57</v>
      </c>
    </row>
    <row r="89" spans="1:79" ht="18" customHeight="1">
      <c r="A89" s="1199">
        <v>401</v>
      </c>
      <c r="B89" s="84" t="s">
        <v>0</v>
      </c>
      <c r="C89" s="1290">
        <f>印401!I27</f>
        <v>0</v>
      </c>
      <c r="D89" s="1290"/>
      <c r="E89" s="1290"/>
      <c r="F89" s="1290"/>
      <c r="G89" s="1290"/>
      <c r="H89" s="849"/>
      <c r="I89" s="849">
        <f>印401!R27</f>
        <v>0</v>
      </c>
      <c r="J89" s="852">
        <f>印401!S27</f>
        <v>0</v>
      </c>
      <c r="K89" s="872">
        <f>印401!L27</f>
        <v>0</v>
      </c>
      <c r="L89" s="873">
        <f>印401!N27</f>
        <v>0</v>
      </c>
      <c r="M89" s="852">
        <f>印401!P27</f>
        <v>0</v>
      </c>
      <c r="N89" s="853">
        <f>印401!Q27</f>
        <v>0</v>
      </c>
      <c r="O89" s="1451"/>
      <c r="P89" s="1452"/>
      <c r="Q89" s="1452"/>
      <c r="R89" s="1453"/>
      <c r="S89" s="874">
        <f>印401!AB27</f>
        <v>0</v>
      </c>
    </row>
    <row r="90" spans="1:79" ht="18" customHeight="1">
      <c r="A90" s="1165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461">
        <v>402</v>
      </c>
      <c r="B91" s="84" t="s">
        <v>205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73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462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30"/>
      <c r="M92" s="840"/>
      <c r="N92" s="672"/>
      <c r="O92" s="1455"/>
      <c r="P92" s="1456"/>
      <c r="Q92" s="1456"/>
      <c r="R92" s="1457"/>
      <c r="S92" s="810"/>
    </row>
    <row r="93" spans="1:79" ht="17.25" customHeight="1">
      <c r="A93" s="1466">
        <v>403</v>
      </c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467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1199">
        <v>405</v>
      </c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216"/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216"/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216"/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165"/>
      <c r="B99" s="881" t="s">
        <v>43</v>
      </c>
      <c r="C99" s="1454" t="s">
        <v>633</v>
      </c>
      <c r="D99" s="1454"/>
      <c r="E99" s="1454"/>
      <c r="F99" s="1454"/>
      <c r="G99" s="1454"/>
      <c r="H99" s="664"/>
      <c r="I99" s="664"/>
      <c r="J99" s="840"/>
      <c r="K99" s="424"/>
      <c r="L99" s="840"/>
      <c r="M99" s="840"/>
      <c r="N99" s="672"/>
      <c r="O99" s="1455"/>
      <c r="P99" s="1456"/>
      <c r="Q99" s="1456"/>
      <c r="R99" s="1457"/>
      <c r="S99" s="810"/>
    </row>
    <row r="100" spans="1:19" ht="18" customHeight="1">
      <c r="A100" s="314"/>
      <c r="B100" s="841"/>
      <c r="C100" s="1458"/>
      <c r="D100" s="1459"/>
      <c r="E100" s="1459"/>
      <c r="F100" s="1459"/>
      <c r="G100" s="1460"/>
      <c r="H100" s="849"/>
      <c r="I100" s="849"/>
      <c r="J100" s="834" t="s">
        <v>666</v>
      </c>
      <c r="K100" s="835" t="e">
        <f>SUM(K89:K99)</f>
        <v>#REF!</v>
      </c>
      <c r="L100" s="852"/>
      <c r="M100" s="852"/>
      <c r="N100" s="853"/>
      <c r="O100" s="886"/>
      <c r="P100" s="887"/>
      <c r="Q100" s="887"/>
      <c r="R100" s="888"/>
      <c r="S100" s="854"/>
    </row>
    <row r="101" spans="1:19" s="76" customFormat="1" ht="31.7" hidden="1" customHeight="1">
      <c r="A101" s="400" t="s">
        <v>425</v>
      </c>
      <c r="B101" s="400" t="s">
        <v>193</v>
      </c>
      <c r="C101" s="1282" t="e">
        <f>[1]印403!J91</f>
        <v>#REF!</v>
      </c>
      <c r="D101" s="1283"/>
      <c r="E101" s="1283"/>
      <c r="F101" s="1283"/>
      <c r="G101" s="1468"/>
      <c r="H101" s="242" t="s">
        <v>216</v>
      </c>
      <c r="I101" s="242" t="s">
        <v>12</v>
      </c>
      <c r="J101" s="242" t="s">
        <v>13</v>
      </c>
      <c r="K101" s="405" t="s">
        <v>218</v>
      </c>
      <c r="L101" s="427" t="s">
        <v>60</v>
      </c>
      <c r="M101" s="399" t="e">
        <f>[1]印403!O90</f>
        <v>#REF!</v>
      </c>
      <c r="N101" s="257" t="s">
        <v>45</v>
      </c>
      <c r="O101" s="1448" t="s">
        <v>29</v>
      </c>
      <c r="P101" s="1449"/>
      <c r="Q101" s="1449"/>
      <c r="R101" s="1450"/>
      <c r="S101" s="417" t="s">
        <v>57</v>
      </c>
    </row>
    <row r="102" spans="1:19" ht="15" hidden="1" customHeight="1">
      <c r="A102" s="1199" t="s">
        <v>426</v>
      </c>
      <c r="B102" s="84" t="s">
        <v>205</v>
      </c>
      <c r="C102" s="1282" t="e">
        <f>[1]印403!J92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[1]印403!O91</f>
        <v>#REF!</v>
      </c>
      <c r="N102" s="399"/>
      <c r="O102" s="1469"/>
      <c r="P102" s="1245"/>
      <c r="Q102" s="1245"/>
      <c r="R102" s="1246"/>
      <c r="S102" s="1470"/>
    </row>
    <row r="103" spans="1:19" ht="13.7" hidden="1" customHeight="1">
      <c r="A103" s="1216"/>
      <c r="B103" s="84" t="s">
        <v>205</v>
      </c>
      <c r="C103" s="1282" t="e">
        <f>[1]印403!J93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[1]印403!O92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[1]印403!J94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[1]印403!O93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[1]印403!J95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[1]印403!O94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[1]印403!J96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[1]印403!O95</f>
        <v>#REF!</v>
      </c>
      <c r="N106" s="425"/>
      <c r="O106" s="669"/>
      <c r="P106" s="670"/>
      <c r="Q106" s="670"/>
      <c r="R106" s="671"/>
      <c r="S106" s="1471"/>
    </row>
    <row r="107" spans="1:19" ht="16.5" hidden="1" customHeight="1">
      <c r="A107" s="1216"/>
      <c r="B107" s="881" t="s">
        <v>43</v>
      </c>
      <c r="C107" s="1282" t="e">
        <f>[1]印403!J97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[1]印403!O96</f>
        <v>#REF!</v>
      </c>
      <c r="N107" s="672"/>
      <c r="O107" s="1476"/>
      <c r="P107" s="1477"/>
      <c r="Q107" s="1477"/>
      <c r="R107" s="1478"/>
      <c r="S107" s="1485"/>
    </row>
    <row r="108" spans="1:19" ht="15" hidden="1" customHeight="1">
      <c r="A108" s="1216"/>
      <c r="B108" s="881" t="s">
        <v>43</v>
      </c>
      <c r="C108" s="1282" t="e">
        <f>[1]印403!J98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[1]印403!O97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216"/>
      <c r="B109" s="881" t="s">
        <v>43</v>
      </c>
      <c r="C109" s="1282" t="e">
        <f>[1]印403!J99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[1]印403!O98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165"/>
      <c r="B110" s="881" t="s">
        <v>43</v>
      </c>
      <c r="C110" s="1282" t="e">
        <f>[1]印403!J100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[1]印403!O99</f>
        <v>#REF!</v>
      </c>
      <c r="N110" s="672"/>
      <c r="O110" s="1482"/>
      <c r="P110" s="1483"/>
      <c r="Q110" s="1483"/>
      <c r="R110" s="1484"/>
      <c r="S110" s="1486"/>
    </row>
    <row r="111" spans="1:19" ht="6" customHeight="1">
      <c r="A111" s="248"/>
      <c r="C111" s="249"/>
    </row>
    <row r="112" spans="1:19" ht="6" customHeight="1" thickBot="1">
      <c r="A112" s="248"/>
      <c r="C112" s="249"/>
    </row>
    <row r="113" spans="1:20" ht="15" customHeight="1" thickTop="1">
      <c r="A113" s="1472" t="s">
        <v>30</v>
      </c>
      <c r="B113" s="1473"/>
      <c r="C113" s="1473"/>
      <c r="D113" s="1473"/>
      <c r="E113" s="376">
        <v>522400</v>
      </c>
      <c r="F113" s="75" t="s">
        <v>64</v>
      </c>
      <c r="G113" s="1472" t="s">
        <v>31</v>
      </c>
      <c r="H113" s="1473"/>
      <c r="I113" s="1473"/>
      <c r="J113" s="1473"/>
      <c r="K113" s="1473"/>
      <c r="L113" s="377">
        <v>220000</v>
      </c>
      <c r="M113" s="75" t="s">
        <v>64</v>
      </c>
      <c r="N113" s="1472" t="s">
        <v>32</v>
      </c>
      <c r="O113" s="1473"/>
      <c r="P113" s="1473"/>
      <c r="Q113" s="377">
        <v>668000</v>
      </c>
      <c r="R113" s="75" t="s">
        <v>64</v>
      </c>
      <c r="S113" s="75"/>
    </row>
    <row r="114" spans="1:20" ht="15" customHeight="1" thickBot="1">
      <c r="A114" s="1474" t="s">
        <v>66</v>
      </c>
      <c r="B114" s="1475"/>
      <c r="C114" s="1475"/>
      <c r="D114" s="1475"/>
      <c r="E114" s="674">
        <f>12*1000</f>
        <v>12000</v>
      </c>
      <c r="G114" s="1474" t="s">
        <v>66</v>
      </c>
      <c r="H114" s="1475"/>
      <c r="I114" s="1475"/>
      <c r="J114" s="1475"/>
      <c r="K114" s="1475"/>
      <c r="L114" s="674">
        <f>45*2000</f>
        <v>90000</v>
      </c>
      <c r="N114" s="1474" t="s">
        <v>33</v>
      </c>
      <c r="O114" s="1475"/>
      <c r="P114" s="1475"/>
      <c r="Q114" s="674">
        <f>162*1000</f>
        <v>162000</v>
      </c>
      <c r="R114" s="75"/>
      <c r="S114" s="75"/>
    </row>
    <row r="115" spans="1:20" ht="15" customHeight="1" thickTop="1" thickBot="1">
      <c r="A115" s="1487" t="s">
        <v>34</v>
      </c>
      <c r="B115" s="1488"/>
      <c r="C115" s="1488"/>
      <c r="D115" s="1488"/>
      <c r="E115" s="378">
        <f>E113+E114</f>
        <v>534400</v>
      </c>
      <c r="F115" s="75" t="s">
        <v>64</v>
      </c>
      <c r="G115" s="1487" t="s">
        <v>35</v>
      </c>
      <c r="H115" s="1488"/>
      <c r="I115" s="1488"/>
      <c r="J115" s="1488"/>
      <c r="K115" s="1488"/>
      <c r="L115" s="379">
        <f>L113+L114</f>
        <v>310000</v>
      </c>
      <c r="M115" s="75" t="s">
        <v>64</v>
      </c>
      <c r="N115" s="1487" t="s">
        <v>36</v>
      </c>
      <c r="O115" s="1488"/>
      <c r="P115" s="1488"/>
      <c r="Q115" s="379">
        <f>Q113+Q114</f>
        <v>830000</v>
      </c>
      <c r="R115" s="75" t="s">
        <v>64</v>
      </c>
      <c r="S115" s="75"/>
    </row>
    <row r="116" spans="1:20" ht="15" customHeight="1" thickTop="1" thickBot="1">
      <c r="E116" s="252">
        <f>印401!M64</f>
        <v>0</v>
      </c>
      <c r="L116" s="675" t="e">
        <f>#REF!</f>
        <v>#REF!</v>
      </c>
      <c r="O116" s="75"/>
      <c r="P116" s="75"/>
      <c r="Q116" s="675" t="e">
        <f>#REF!</f>
        <v>#REF!</v>
      </c>
      <c r="R116" s="75"/>
      <c r="S116" s="75"/>
    </row>
    <row r="117" spans="1:20" ht="15" customHeight="1" thickBot="1">
      <c r="A117" s="676" t="s">
        <v>37</v>
      </c>
      <c r="B117" s="677"/>
      <c r="C117" s="677"/>
      <c r="D117" s="678"/>
      <c r="E117" s="253">
        <f>印401!P64</f>
        <v>0</v>
      </c>
      <c r="F117" s="75" t="s">
        <v>64</v>
      </c>
      <c r="G117" s="676" t="s">
        <v>38</v>
      </c>
      <c r="H117" s="677"/>
      <c r="I117" s="677"/>
      <c r="J117" s="677"/>
      <c r="K117" s="677"/>
      <c r="L117" s="384" t="e">
        <f>#REF!</f>
        <v>#REF!</v>
      </c>
      <c r="M117" s="75" t="s">
        <v>64</v>
      </c>
      <c r="N117" s="676" t="s">
        <v>39</v>
      </c>
      <c r="O117" s="677"/>
      <c r="P117" s="677"/>
      <c r="Q117" s="384" t="e">
        <f>#REF!</f>
        <v>#REF!</v>
      </c>
      <c r="R117" s="75" t="s">
        <v>64</v>
      </c>
      <c r="S117" s="75"/>
    </row>
    <row r="118" spans="1:20" ht="3" customHeight="1" thickBot="1">
      <c r="J118" s="255"/>
      <c r="K118" s="256"/>
    </row>
    <row r="119" spans="1:20" ht="15" customHeight="1" thickTop="1">
      <c r="B119" s="1509" t="s">
        <v>69</v>
      </c>
      <c r="C119" s="1510"/>
      <c r="D119" s="1511" t="s">
        <v>305</v>
      </c>
      <c r="E119" s="1512"/>
      <c r="F119" s="1489" t="s">
        <v>306</v>
      </c>
      <c r="G119" s="1490"/>
      <c r="H119" s="1491" t="s">
        <v>307</v>
      </c>
      <c r="I119" s="1492"/>
      <c r="J119" s="1492"/>
      <c r="K119" s="1493"/>
      <c r="L119" s="1472" t="s">
        <v>657</v>
      </c>
      <c r="M119" s="1473"/>
      <c r="N119" s="1473"/>
      <c r="O119" s="377">
        <v>1475200</v>
      </c>
      <c r="P119" s="75" t="s">
        <v>64</v>
      </c>
      <c r="Q119" s="1496" t="s">
        <v>65</v>
      </c>
      <c r="R119" s="1497"/>
      <c r="S119" s="385">
        <v>13954436</v>
      </c>
    </row>
    <row r="120" spans="1:20" ht="15" customHeight="1" thickBot="1">
      <c r="B120" s="1498" t="s">
        <v>308</v>
      </c>
      <c r="C120" s="1499"/>
      <c r="D120" s="1500" t="e">
        <f>總表!D20</f>
        <v>#REF!</v>
      </c>
      <c r="E120" s="1501"/>
      <c r="F120" s="1502">
        <f>總表!E20</f>
        <v>1316871</v>
      </c>
      <c r="G120" s="1503"/>
      <c r="H120" s="1504" t="e">
        <f>(D120-F120)/D120</f>
        <v>#REF!</v>
      </c>
      <c r="I120" s="1505"/>
      <c r="J120" s="1505"/>
      <c r="K120" s="1506"/>
      <c r="L120" s="1474" t="s">
        <v>33</v>
      </c>
      <c r="M120" s="1475"/>
      <c r="N120" s="1475"/>
      <c r="O120" s="674">
        <f>(48*600)+((50+60+50)*1000)</f>
        <v>188800</v>
      </c>
      <c r="P120" s="75"/>
      <c r="Q120" s="1507" t="s">
        <v>67</v>
      </c>
      <c r="R120" s="1508"/>
      <c r="S120" s="386" t="e">
        <f>SUM(L51:L86,L89:L99)</f>
        <v>#REF!</v>
      </c>
    </row>
    <row r="121" spans="1:20" ht="15" customHeight="1" thickTop="1" thickBot="1">
      <c r="B121" s="1513" t="s">
        <v>309</v>
      </c>
      <c r="C121" s="1514"/>
      <c r="D121" s="1515" t="e">
        <f>總表!C43</f>
        <v>#REF!</v>
      </c>
      <c r="E121" s="1516"/>
      <c r="F121" s="1502" t="e">
        <f>總表!F43</f>
        <v>#REF!</v>
      </c>
      <c r="G121" s="1503"/>
      <c r="H121" s="1504" t="e">
        <f>(D121-F121)/D121</f>
        <v>#REF!</v>
      </c>
      <c r="I121" s="1505"/>
      <c r="J121" s="1505"/>
      <c r="K121" s="1506"/>
      <c r="L121" s="1487" t="s">
        <v>658</v>
      </c>
      <c r="M121" s="1488"/>
      <c r="N121" s="1488"/>
      <c r="O121" s="379">
        <f>O119+O120</f>
        <v>1664000</v>
      </c>
      <c r="P121" s="75" t="s">
        <v>64</v>
      </c>
      <c r="Q121" s="1494" t="s">
        <v>68</v>
      </c>
      <c r="R121" s="1495"/>
      <c r="S121" s="387" t="e">
        <f>S119+S120</f>
        <v>#REF!</v>
      </c>
    </row>
    <row r="122" spans="1:20" ht="14.1" customHeight="1" thickTop="1" thickBot="1">
      <c r="B122" s="250" t="s">
        <v>310</v>
      </c>
      <c r="C122" s="250"/>
      <c r="D122" s="250"/>
      <c r="E122" s="233"/>
      <c r="O122" s="675" t="e">
        <f>#REF!</f>
        <v>#REF!</v>
      </c>
      <c r="P122" s="75"/>
      <c r="Q122" s="75"/>
      <c r="R122" s="254" t="e">
        <f>總表!E43+總表!E52</f>
        <v>#REF!</v>
      </c>
      <c r="S122" s="254" t="e">
        <f>R122-S121</f>
        <v>#REF!</v>
      </c>
    </row>
    <row r="123" spans="1:20" ht="17.25" customHeight="1" thickBot="1">
      <c r="B123" s="250" t="s">
        <v>40</v>
      </c>
      <c r="C123" s="233"/>
      <c r="D123" s="233"/>
      <c r="E123" s="233"/>
      <c r="F123" s="233"/>
      <c r="L123" s="676" t="s">
        <v>659</v>
      </c>
      <c r="M123" s="677"/>
      <c r="N123" s="677"/>
      <c r="O123" s="384" t="e">
        <f>#REF!</f>
        <v>#REF!</v>
      </c>
      <c r="P123" s="75" t="s">
        <v>64</v>
      </c>
      <c r="T123" s="233"/>
    </row>
    <row r="124" spans="1:20" ht="15.75" customHeight="1">
      <c r="B124" s="75" t="s">
        <v>41</v>
      </c>
      <c r="N124" s="233"/>
      <c r="S124" s="75"/>
    </row>
  </sheetData>
  <mergeCells count="298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9:A10"/>
    <mergeCell ref="G9:I9"/>
    <mergeCell ref="K9:M9"/>
    <mergeCell ref="O9:R9"/>
    <mergeCell ref="G10:I10"/>
    <mergeCell ref="K10:M10"/>
    <mergeCell ref="O10:R10"/>
    <mergeCell ref="G23:I23"/>
    <mergeCell ref="O23:R23"/>
    <mergeCell ref="A20:A23"/>
    <mergeCell ref="K22:M23"/>
    <mergeCell ref="A11:A13"/>
    <mergeCell ref="G11:I11"/>
    <mergeCell ref="K11:M11"/>
    <mergeCell ref="O11:R11"/>
    <mergeCell ref="S22:S23"/>
    <mergeCell ref="A51:A52"/>
    <mergeCell ref="G22:I22"/>
    <mergeCell ref="O22:R22"/>
    <mergeCell ref="G20:I20"/>
    <mergeCell ref="K20:M21"/>
    <mergeCell ref="A14:A15"/>
    <mergeCell ref="G14:I14"/>
    <mergeCell ref="K14:M14"/>
    <mergeCell ref="O14:R14"/>
    <mergeCell ref="G15:I15"/>
    <mergeCell ref="K15:M15"/>
    <mergeCell ref="O15:R15"/>
    <mergeCell ref="A16:A17"/>
    <mergeCell ref="G16:I16"/>
    <mergeCell ref="K16:M16"/>
    <mergeCell ref="O16:R16"/>
    <mergeCell ref="G17:I17"/>
    <mergeCell ref="K17:M17"/>
    <mergeCell ref="O17:R17"/>
    <mergeCell ref="O20:R20"/>
    <mergeCell ref="S20:S21"/>
    <mergeCell ref="G21:I21"/>
    <mergeCell ref="O21:R21"/>
    <mergeCell ref="C51:E51"/>
    <mergeCell ref="O51:R51"/>
    <mergeCell ref="O31:R31"/>
    <mergeCell ref="S35:S38"/>
    <mergeCell ref="C36:E36"/>
    <mergeCell ref="C37:E37"/>
    <mergeCell ref="V51:X51"/>
    <mergeCell ref="C52:E52"/>
    <mergeCell ref="O52:R52"/>
    <mergeCell ref="V52:X52"/>
    <mergeCell ref="K24:M24"/>
    <mergeCell ref="O24:R24"/>
    <mergeCell ref="S28:S30"/>
    <mergeCell ref="G29:I29"/>
    <mergeCell ref="G30:I30"/>
    <mergeCell ref="C31:E31"/>
    <mergeCell ref="A25:A30"/>
    <mergeCell ref="G25:I25"/>
    <mergeCell ref="K25:M27"/>
    <mergeCell ref="O25:R27"/>
    <mergeCell ref="S25:S27"/>
    <mergeCell ref="G26:I26"/>
    <mergeCell ref="G27:I27"/>
    <mergeCell ref="G28:I28"/>
    <mergeCell ref="K28:M30"/>
    <mergeCell ref="O28:R30"/>
    <mergeCell ref="A32:A38"/>
    <mergeCell ref="C32:E32"/>
    <mergeCell ref="M32:M34"/>
    <mergeCell ref="O32:R34"/>
    <mergeCell ref="S32:S34"/>
    <mergeCell ref="C33:E33"/>
    <mergeCell ref="C34:E34"/>
    <mergeCell ref="C35:E35"/>
    <mergeCell ref="M35:M38"/>
    <mergeCell ref="O35:R38"/>
    <mergeCell ref="C38:E38"/>
    <mergeCell ref="A39:A44"/>
    <mergeCell ref="C39:E39"/>
    <mergeCell ref="M39:M41"/>
    <mergeCell ref="O39:R41"/>
    <mergeCell ref="S39:S41"/>
    <mergeCell ref="C40:E40"/>
    <mergeCell ref="C41:E41"/>
    <mergeCell ref="C42:E42"/>
    <mergeCell ref="M42:M44"/>
    <mergeCell ref="O42:R44"/>
    <mergeCell ref="S42:S44"/>
    <mergeCell ref="C43:E43"/>
    <mergeCell ref="C44:E44"/>
    <mergeCell ref="A45:A50"/>
    <mergeCell ref="C45:E45"/>
    <mergeCell ref="M45:M47"/>
    <mergeCell ref="O45:R47"/>
    <mergeCell ref="S45:S47"/>
    <mergeCell ref="C46:E46"/>
    <mergeCell ref="C47:E47"/>
    <mergeCell ref="C48:E48"/>
    <mergeCell ref="M48:M50"/>
    <mergeCell ref="O48:R50"/>
    <mergeCell ref="S48:S50"/>
    <mergeCell ref="C49:E49"/>
    <mergeCell ref="C50:E50"/>
    <mergeCell ref="A53:A54"/>
    <mergeCell ref="C53:E53"/>
    <mergeCell ref="O53:R53"/>
    <mergeCell ref="C54:E54"/>
    <mergeCell ref="O54:R54"/>
    <mergeCell ref="C56:E56"/>
    <mergeCell ref="O56:R56"/>
    <mergeCell ref="O67:R67"/>
    <mergeCell ref="A75:A76"/>
    <mergeCell ref="C75:E75"/>
    <mergeCell ref="O75:R75"/>
    <mergeCell ref="C76:E76"/>
    <mergeCell ref="O76:R76"/>
    <mergeCell ref="C67:E67"/>
    <mergeCell ref="O68:R68"/>
    <mergeCell ref="A66:A67"/>
    <mergeCell ref="C66:E66"/>
    <mergeCell ref="O59:R59"/>
    <mergeCell ref="A62:A63"/>
    <mergeCell ref="C62:E62"/>
    <mergeCell ref="O62:R62"/>
    <mergeCell ref="O63:R63"/>
    <mergeCell ref="C55:E55"/>
    <mergeCell ref="O55:R55"/>
    <mergeCell ref="A55:A57"/>
    <mergeCell ref="C57:E57"/>
    <mergeCell ref="O57:R57"/>
    <mergeCell ref="C63:E63"/>
    <mergeCell ref="A64:A65"/>
    <mergeCell ref="C64:E64"/>
    <mergeCell ref="O64:R64"/>
    <mergeCell ref="C65:E65"/>
    <mergeCell ref="O65:R65"/>
    <mergeCell ref="A60:A61"/>
    <mergeCell ref="A58:A59"/>
    <mergeCell ref="O66:R66"/>
    <mergeCell ref="A71:A72"/>
    <mergeCell ref="C71:E71"/>
    <mergeCell ref="O71:R71"/>
    <mergeCell ref="C72:E72"/>
    <mergeCell ref="O72:R72"/>
    <mergeCell ref="A69:A70"/>
    <mergeCell ref="C69:E69"/>
    <mergeCell ref="O69:R69"/>
    <mergeCell ref="C70:E70"/>
    <mergeCell ref="O70:R70"/>
    <mergeCell ref="C83:E83"/>
    <mergeCell ref="O83:R83"/>
    <mergeCell ref="C84:E84"/>
    <mergeCell ref="O84:R84"/>
    <mergeCell ref="A77:A78"/>
    <mergeCell ref="C77:E77"/>
    <mergeCell ref="O77:R77"/>
    <mergeCell ref="A79:A80"/>
    <mergeCell ref="C79:E79"/>
    <mergeCell ref="O79:R79"/>
    <mergeCell ref="C80:E80"/>
    <mergeCell ref="O80:R80"/>
    <mergeCell ref="A81:A82"/>
    <mergeCell ref="C81:E81"/>
    <mergeCell ref="O81:R81"/>
    <mergeCell ref="C82:E82"/>
    <mergeCell ref="C94:G94"/>
    <mergeCell ref="O94:R94"/>
    <mergeCell ref="C97:G97"/>
    <mergeCell ref="O97:R97"/>
    <mergeCell ref="C93:G93"/>
    <mergeCell ref="O93:R93"/>
    <mergeCell ref="C90:G90"/>
    <mergeCell ref="O90:R90"/>
    <mergeCell ref="A93:A94"/>
    <mergeCell ref="C95:G95"/>
    <mergeCell ref="O95:R95"/>
    <mergeCell ref="C96:G96"/>
    <mergeCell ref="O96:R96"/>
    <mergeCell ref="A89:A90"/>
    <mergeCell ref="A91:A92"/>
    <mergeCell ref="O92:R92"/>
    <mergeCell ref="C89:G89"/>
    <mergeCell ref="O89:R89"/>
    <mergeCell ref="C100:G100"/>
    <mergeCell ref="O99:R99"/>
    <mergeCell ref="A95:A99"/>
    <mergeCell ref="C98:G98"/>
    <mergeCell ref="O98:R98"/>
    <mergeCell ref="C101:G101"/>
    <mergeCell ref="O101:R101"/>
    <mergeCell ref="A102:A110"/>
    <mergeCell ref="C102:G102"/>
    <mergeCell ref="O102:R102"/>
    <mergeCell ref="C110:G110"/>
    <mergeCell ref="C99:G99"/>
    <mergeCell ref="S102:S106"/>
    <mergeCell ref="C103:G103"/>
    <mergeCell ref="C104:G104"/>
    <mergeCell ref="C105:G105"/>
    <mergeCell ref="C106:G106"/>
    <mergeCell ref="C107:G107"/>
    <mergeCell ref="O107:R110"/>
    <mergeCell ref="S107:S110"/>
    <mergeCell ref="C108:G108"/>
    <mergeCell ref="C109:G109"/>
    <mergeCell ref="A113:D113"/>
    <mergeCell ref="G113:K113"/>
    <mergeCell ref="N113:P113"/>
    <mergeCell ref="A114:D114"/>
    <mergeCell ref="G114:K114"/>
    <mergeCell ref="N114:P114"/>
    <mergeCell ref="A115:D115"/>
    <mergeCell ref="G115:K115"/>
    <mergeCell ref="N115:P115"/>
    <mergeCell ref="D119:E119"/>
    <mergeCell ref="F119:G119"/>
    <mergeCell ref="H119:K119"/>
    <mergeCell ref="L119:N119"/>
    <mergeCell ref="Q119:R119"/>
    <mergeCell ref="B120:C120"/>
    <mergeCell ref="D120:E120"/>
    <mergeCell ref="F120:G120"/>
    <mergeCell ref="H120:K120"/>
    <mergeCell ref="L120:N120"/>
    <mergeCell ref="Q120:R120"/>
    <mergeCell ref="B121:C121"/>
    <mergeCell ref="D121:E121"/>
    <mergeCell ref="F121:G121"/>
    <mergeCell ref="H121:K121"/>
    <mergeCell ref="L121:N121"/>
    <mergeCell ref="Q121:R121"/>
    <mergeCell ref="G12:I12"/>
    <mergeCell ref="O12:R12"/>
    <mergeCell ref="G19:I19"/>
    <mergeCell ref="K19:M19"/>
    <mergeCell ref="O19:R19"/>
    <mergeCell ref="G13:I13"/>
    <mergeCell ref="O13:R13"/>
    <mergeCell ref="K12:M13"/>
    <mergeCell ref="C60:E60"/>
    <mergeCell ref="O60:R60"/>
    <mergeCell ref="C61:E61"/>
    <mergeCell ref="O61:R61"/>
    <mergeCell ref="C58:E58"/>
    <mergeCell ref="O58:R58"/>
    <mergeCell ref="C91:G91"/>
    <mergeCell ref="O91:R91"/>
    <mergeCell ref="C92:G92"/>
    <mergeCell ref="B119:C119"/>
    <mergeCell ref="O87:R87"/>
    <mergeCell ref="C88:G88"/>
    <mergeCell ref="O88:R88"/>
    <mergeCell ref="A73:A74"/>
    <mergeCell ref="C73:E73"/>
    <mergeCell ref="S12:S13"/>
    <mergeCell ref="G18:I18"/>
    <mergeCell ref="K18:M18"/>
    <mergeCell ref="O18:R18"/>
    <mergeCell ref="A18:A19"/>
    <mergeCell ref="C59:E59"/>
    <mergeCell ref="O82:R82"/>
    <mergeCell ref="A85:A86"/>
    <mergeCell ref="C85:E85"/>
    <mergeCell ref="O85:R85"/>
    <mergeCell ref="C86:E86"/>
    <mergeCell ref="O86:R86"/>
    <mergeCell ref="S55:S56"/>
    <mergeCell ref="O73:R73"/>
    <mergeCell ref="O74:R74"/>
    <mergeCell ref="C74:E74"/>
    <mergeCell ref="C78:E78"/>
    <mergeCell ref="O78:R78"/>
    <mergeCell ref="A83:A84"/>
  </mergeCells>
  <phoneticPr fontId="26" type="noConversion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A126"/>
  <sheetViews>
    <sheetView topLeftCell="K102" workbookViewId="0">
      <selection activeCell="S123" sqref="S123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750</v>
      </c>
    </row>
    <row r="3" spans="1:23" ht="86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927</v>
      </c>
      <c r="O3" s="1319"/>
      <c r="P3" s="1320"/>
      <c r="Q3" s="1318" t="s">
        <v>928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45239</v>
      </c>
      <c r="D5" s="419" t="s">
        <v>926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'102'!O20</f>
        <v>750</v>
      </c>
      <c r="G9" s="1311">
        <f>'102'!K20</f>
        <v>7528</v>
      </c>
      <c r="H9" s="1312"/>
      <c r="I9" s="1313"/>
      <c r="J9" s="814">
        <f>'102'!L20</f>
        <v>0</v>
      </c>
      <c r="K9" s="1314">
        <f>'102'!P20</f>
        <v>0.83644444444444443</v>
      </c>
      <c r="L9" s="1315"/>
      <c r="M9" s="1316"/>
      <c r="N9" s="820">
        <f>J9/(G9+J9)</f>
        <v>0</v>
      </c>
      <c r="O9" s="1308" t="str">
        <f>'102'!U20</f>
        <v>19:45最後一支交接班</v>
      </c>
      <c r="P9" s="1309"/>
      <c r="Q9" s="1309"/>
      <c r="R9" s="1310"/>
      <c r="S9" s="878" t="str">
        <f>'102'!V20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'102'!O21</f>
        <v>750</v>
      </c>
      <c r="G10" s="1327">
        <f>'102'!K21</f>
        <v>8028</v>
      </c>
      <c r="H10" s="1328"/>
      <c r="I10" s="1329"/>
      <c r="J10" s="423">
        <f>'102'!L21</f>
        <v>0</v>
      </c>
      <c r="K10" s="1314">
        <f>'102'!P21</f>
        <v>0.89200000000000002</v>
      </c>
      <c r="L10" s="1315"/>
      <c r="M10" s="1316"/>
      <c r="N10" s="820">
        <f>J10/(G10+J10)</f>
        <v>0</v>
      </c>
      <c r="O10" s="1308" t="str">
        <f>'102'!U21</f>
        <v>07:55最後一支交接班</v>
      </c>
      <c r="P10" s="1309"/>
      <c r="Q10" s="1309"/>
      <c r="R10" s="1310"/>
      <c r="S10" s="878" t="str">
        <f>'102'!V21</f>
        <v>阮功體</v>
      </c>
      <c r="U10" s="420" t="s">
        <v>633</v>
      </c>
      <c r="V10" s="880"/>
      <c r="W10" s="880"/>
    </row>
    <row r="11" spans="1:23" ht="17.25" customHeight="1">
      <c r="A11" s="1325" t="s">
        <v>933</v>
      </c>
      <c r="B11" s="84" t="s">
        <v>205</v>
      </c>
      <c r="C11" s="850" t="s">
        <v>42</v>
      </c>
      <c r="D11" s="851">
        <v>0.25</v>
      </c>
      <c r="E11" s="815">
        <v>840</v>
      </c>
      <c r="F11" s="815">
        <f>'103'!O25</f>
        <v>350</v>
      </c>
      <c r="G11" s="1311">
        <f>'103'!K25</f>
        <v>3540</v>
      </c>
      <c r="H11" s="1312"/>
      <c r="I11" s="1313"/>
      <c r="J11" s="814">
        <f>'103'!L25</f>
        <v>0</v>
      </c>
      <c r="K11" s="1314">
        <f>'103'!P25</f>
        <v>0.84285714285714286</v>
      </c>
      <c r="L11" s="1315"/>
      <c r="M11" s="1316"/>
      <c r="N11" s="820">
        <f>J11/(G11+J11)</f>
        <v>0</v>
      </c>
      <c r="O11" s="1308" t="str">
        <f>'103'!U25</f>
        <v>18:50最後一支交接班</v>
      </c>
      <c r="P11" s="1309"/>
      <c r="Q11" s="1309"/>
      <c r="R11" s="1310"/>
      <c r="S11" s="822" t="str">
        <f>'103'!V25</f>
        <v>史豐銘</v>
      </c>
    </row>
    <row r="12" spans="1:23" ht="17.25" customHeight="1">
      <c r="A12" s="1326"/>
      <c r="B12" s="881" t="s">
        <v>207</v>
      </c>
      <c r="C12" s="422" t="s">
        <v>42</v>
      </c>
      <c r="D12" s="421">
        <v>0.25</v>
      </c>
      <c r="E12" s="880">
        <v>840</v>
      </c>
      <c r="F12" s="880">
        <f>'103'!O26</f>
        <v>350</v>
      </c>
      <c r="G12" s="1327">
        <f>'103'!K26</f>
        <v>4030</v>
      </c>
      <c r="H12" s="1328"/>
      <c r="I12" s="1329"/>
      <c r="J12" s="423">
        <f>'103'!L26</f>
        <v>0</v>
      </c>
      <c r="K12" s="1314">
        <f>'103'!P26</f>
        <v>0.95952380952380956</v>
      </c>
      <c r="L12" s="1315"/>
      <c r="M12" s="1316"/>
      <c r="N12" s="820">
        <f>J12/(G12+J12)</f>
        <v>0</v>
      </c>
      <c r="O12" s="1308" t="str">
        <f>'103'!U26</f>
        <v>06:58最後一支交接班</v>
      </c>
      <c r="P12" s="1309"/>
      <c r="Q12" s="1309"/>
      <c r="R12" s="1310"/>
      <c r="S12" s="822" t="str">
        <f>'103'!V26</f>
        <v>阮宏山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1.55</v>
      </c>
      <c r="E17" s="815">
        <v>805</v>
      </c>
      <c r="F17" s="815">
        <f>'106'!O23</f>
        <v>1185</v>
      </c>
      <c r="G17" s="1311">
        <f>'106'!K23</f>
        <v>13121</v>
      </c>
      <c r="H17" s="1312"/>
      <c r="I17" s="1313"/>
      <c r="J17" s="814">
        <f>'106'!L23</f>
        <v>0</v>
      </c>
      <c r="K17" s="1330">
        <f>'106'!P23</f>
        <v>0.92271448663853728</v>
      </c>
      <c r="L17" s="1331"/>
      <c r="M17" s="1332"/>
      <c r="N17" s="871">
        <f>J17/(G17+J17)</f>
        <v>0</v>
      </c>
      <c r="O17" s="1364" t="str">
        <f>'106'!U23</f>
        <v>19:22最後一支交接班</v>
      </c>
      <c r="P17" s="1365"/>
      <c r="Q17" s="1365"/>
      <c r="R17" s="1366"/>
      <c r="S17" s="822" t="str">
        <f>'106'!V23</f>
        <v>黎文中.林子維</v>
      </c>
    </row>
    <row r="18" spans="1:19" ht="17.25" customHeight="1">
      <c r="A18" s="1562"/>
      <c r="B18" s="881" t="s">
        <v>43</v>
      </c>
      <c r="C18" s="422" t="s">
        <v>42</v>
      </c>
      <c r="D18" s="421">
        <v>1.55</v>
      </c>
      <c r="E18" s="880">
        <v>805</v>
      </c>
      <c r="F18" s="880">
        <f>'106'!O24</f>
        <v>1185</v>
      </c>
      <c r="G18" s="1327">
        <f>'106'!K24</f>
        <v>14209</v>
      </c>
      <c r="H18" s="1328"/>
      <c r="I18" s="1329"/>
      <c r="J18" s="423">
        <f>'106'!L24</f>
        <v>0</v>
      </c>
      <c r="K18" s="1330">
        <f>'106'!P24</f>
        <v>0.99922644163150487</v>
      </c>
      <c r="L18" s="1331"/>
      <c r="M18" s="1332"/>
      <c r="N18" s="871">
        <f>J18/(G18+J18)</f>
        <v>0</v>
      </c>
      <c r="O18" s="1364" t="str">
        <f>'106'!U24</f>
        <v>07:46最後一支交接班</v>
      </c>
      <c r="P18" s="1365"/>
      <c r="Q18" s="1365"/>
      <c r="R18" s="1366"/>
      <c r="S18" s="822" t="str">
        <f>'106'!V24</f>
        <v>黃隨貴</v>
      </c>
    </row>
    <row r="19" spans="1:19" ht="17.25" customHeight="1">
      <c r="A19" s="1362" t="s">
        <v>418</v>
      </c>
      <c r="B19" s="84" t="s">
        <v>205</v>
      </c>
      <c r="C19" s="850" t="s">
        <v>44</v>
      </c>
      <c r="D19" s="851">
        <v>0.36</v>
      </c>
      <c r="E19" s="815">
        <v>850</v>
      </c>
      <c r="F19" s="815">
        <f>'107'!O25</f>
        <v>450</v>
      </c>
      <c r="G19" s="1311">
        <f>'107'!K25</f>
        <v>5534</v>
      </c>
      <c r="H19" s="1312"/>
      <c r="I19" s="1313"/>
      <c r="J19" s="814">
        <f>'107'!L25</f>
        <v>0</v>
      </c>
      <c r="K19" s="1314">
        <f>'107'!P25</f>
        <v>1.0248148148148148</v>
      </c>
      <c r="L19" s="1315"/>
      <c r="M19" s="1316"/>
      <c r="N19" s="871">
        <f>J19/(G19+J19)</f>
        <v>0</v>
      </c>
      <c r="O19" s="1364" t="str">
        <f>'107'!U25</f>
        <v>19:50最後一支交接班</v>
      </c>
      <c r="P19" s="1365"/>
      <c r="Q19" s="1365"/>
      <c r="R19" s="1366"/>
      <c r="S19" s="822" t="str">
        <f>'107'!V25</f>
        <v>潘文銅</v>
      </c>
    </row>
    <row r="20" spans="1:19" ht="17.25" customHeight="1">
      <c r="A20" s="1363"/>
      <c r="B20" s="881" t="s">
        <v>43</v>
      </c>
      <c r="C20" s="422" t="s">
        <v>44</v>
      </c>
      <c r="D20" s="421">
        <v>0.36</v>
      </c>
      <c r="E20" s="880">
        <v>850</v>
      </c>
      <c r="F20" s="880">
        <f>'107'!O26</f>
        <v>450</v>
      </c>
      <c r="G20" s="1327">
        <f>'107'!K26</f>
        <v>5034</v>
      </c>
      <c r="H20" s="1328"/>
      <c r="I20" s="1329"/>
      <c r="J20" s="423">
        <f>'107'!L26</f>
        <v>0</v>
      </c>
      <c r="K20" s="1314">
        <f>'107'!P26</f>
        <v>0.93222222222222217</v>
      </c>
      <c r="L20" s="1315"/>
      <c r="M20" s="1316"/>
      <c r="N20" s="871">
        <f>J20/(G20+J20)</f>
        <v>0</v>
      </c>
      <c r="O20" s="1367" t="str">
        <f>'107'!U26</f>
        <v>07:12最後一支交接班</v>
      </c>
      <c r="P20" s="1368"/>
      <c r="Q20" s="1368"/>
      <c r="R20" s="1369"/>
      <c r="S20" s="822" t="str">
        <f>'107'!V26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61024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61024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s">
        <v>633</v>
      </c>
      <c r="D48" s="1427"/>
      <c r="E48" s="1427"/>
      <c r="F48" s="827"/>
      <c r="G48" s="828"/>
      <c r="H48" s="815"/>
      <c r="I48" s="827"/>
      <c r="J48" s="828"/>
      <c r="K48" s="828"/>
      <c r="L48" s="828"/>
      <c r="M48" s="661"/>
      <c r="N48" s="662"/>
      <c r="O48" s="1361"/>
      <c r="P48" s="1361"/>
      <c r="Q48" s="1361"/>
      <c r="R48" s="1361"/>
      <c r="S48" s="822"/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s">
        <v>633</v>
      </c>
      <c r="D49" s="1360"/>
      <c r="E49" s="1360"/>
      <c r="F49" s="418"/>
      <c r="G49" s="660"/>
      <c r="H49" s="880"/>
      <c r="I49" s="418"/>
      <c r="J49" s="660"/>
      <c r="K49" s="660"/>
      <c r="L49" s="660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89" t="s">
        <v>22</v>
      </c>
      <c r="B50" s="84" t="s">
        <v>0</v>
      </c>
      <c r="C50" s="1427" t="e">
        <f>#REF!</f>
        <v>#REF!</v>
      </c>
      <c r="D50" s="1427"/>
      <c r="E50" s="1427"/>
      <c r="F50" s="827" t="s">
        <v>939</v>
      </c>
      <c r="G50" s="852" t="e">
        <f>#REF!</f>
        <v>#REF!</v>
      </c>
      <c r="H50" s="815"/>
      <c r="I50" s="827">
        <v>2</v>
      </c>
      <c r="J50" s="852" t="e">
        <f>#REF!</f>
        <v>#REF!</v>
      </c>
      <c r="K50" s="885" t="e">
        <f>#REF!</f>
        <v>#REF!</v>
      </c>
      <c r="L50" s="885" t="e">
        <f>#REF!</f>
        <v>#REF!</v>
      </c>
      <c r="M50" s="863" t="e">
        <f>#REF!</f>
        <v>#REF!</v>
      </c>
      <c r="N50" s="415" t="e">
        <f>#REF!</f>
        <v>#REF!</v>
      </c>
      <c r="O50" s="1348" t="e">
        <f>#REF!</f>
        <v>#REF!</v>
      </c>
      <c r="P50" s="1349"/>
      <c r="Q50" s="1349"/>
      <c r="R50" s="1350"/>
      <c r="S50" s="1564" t="e">
        <f>#REF!</f>
        <v>#REF!</v>
      </c>
    </row>
    <row r="51" spans="1:24" ht="17.25" customHeight="1">
      <c r="A51" s="1189"/>
      <c r="B51" s="84" t="s">
        <v>0</v>
      </c>
      <c r="C51" s="1427" t="e">
        <f>#REF!</f>
        <v>#REF!</v>
      </c>
      <c r="D51" s="1427"/>
      <c r="E51" s="1427"/>
      <c r="F51" s="827" t="s">
        <v>940</v>
      </c>
      <c r="G51" s="852" t="e">
        <f>#REF!</f>
        <v>#REF!</v>
      </c>
      <c r="H51" s="815"/>
      <c r="I51" s="827">
        <v>0</v>
      </c>
      <c r="J51" s="852" t="e">
        <f>#REF!</f>
        <v>#REF!</v>
      </c>
      <c r="K51" s="885" t="e">
        <f>#REF!</f>
        <v>#REF!</v>
      </c>
      <c r="L51" s="885" t="e">
        <f>#REF!</f>
        <v>#REF!</v>
      </c>
      <c r="M51" s="863" t="e">
        <f>#REF!</f>
        <v>#REF!</v>
      </c>
      <c r="N51" s="415" t="e">
        <f>#REF!</f>
        <v>#REF!</v>
      </c>
      <c r="O51" s="1367" t="e">
        <f>#REF!</f>
        <v>#REF!</v>
      </c>
      <c r="P51" s="1368"/>
      <c r="Q51" s="1368"/>
      <c r="R51" s="1369"/>
      <c r="S51" s="1565"/>
    </row>
    <row r="52" spans="1:24" ht="36.75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941</v>
      </c>
      <c r="G52" s="840" t="e">
        <f>#REF!</f>
        <v>#REF!</v>
      </c>
      <c r="H52" s="880"/>
      <c r="I52" s="418">
        <v>3</v>
      </c>
      <c r="J52" s="840" t="e">
        <f>#REF!</f>
        <v>#REF!</v>
      </c>
      <c r="K52" s="890" t="e">
        <f>#REF!</f>
        <v>#REF!</v>
      </c>
      <c r="L52" s="890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35.25" customHeight="1">
      <c r="A53" s="1428" t="s">
        <v>23</v>
      </c>
      <c r="B53" s="84" t="s">
        <v>0</v>
      </c>
      <c r="C53" s="1427" t="e">
        <f>#REF!</f>
        <v>#REF!</v>
      </c>
      <c r="D53" s="1427"/>
      <c r="E53" s="1427"/>
      <c r="F53" s="827" t="s">
        <v>923</v>
      </c>
      <c r="G53" s="828" t="e">
        <f>#REF!</f>
        <v>#REF!</v>
      </c>
      <c r="H53" s="815"/>
      <c r="I53" s="827">
        <v>2</v>
      </c>
      <c r="J53" s="828" t="e">
        <f>#REF!</f>
        <v>#REF!</v>
      </c>
      <c r="K53" s="828" t="e">
        <f>#REF!</f>
        <v>#REF!</v>
      </c>
      <c r="L53" s="828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51.75" customHeight="1">
      <c r="A54" s="1563"/>
      <c r="B54" s="381" t="s">
        <v>43</v>
      </c>
      <c r="C54" s="1360" t="e">
        <f>#REF!</f>
        <v>#REF!</v>
      </c>
      <c r="D54" s="1360"/>
      <c r="E54" s="1360"/>
      <c r="F54" s="418" t="s">
        <v>923</v>
      </c>
      <c r="G54" s="660" t="e">
        <f>#REF!</f>
        <v>#REF!</v>
      </c>
      <c r="H54" s="880"/>
      <c r="I54" s="418">
        <v>1</v>
      </c>
      <c r="J54" s="660" t="e">
        <f>#REF!</f>
        <v>#REF!</v>
      </c>
      <c r="K54" s="660" t="e">
        <f>#REF!</f>
        <v>#REF!</v>
      </c>
      <c r="L54" s="660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17.25" customHeight="1">
      <c r="A55" s="1126" t="s">
        <v>24</v>
      </c>
      <c r="B55" s="84" t="s">
        <v>0</v>
      </c>
      <c r="C55" s="1427" t="s">
        <v>633</v>
      </c>
      <c r="D55" s="1427"/>
      <c r="E55" s="1427"/>
      <c r="F55" s="827"/>
      <c r="G55" s="828"/>
      <c r="H55" s="815"/>
      <c r="I55" s="827"/>
      <c r="J55" s="828"/>
      <c r="K55" s="828"/>
      <c r="L55" s="828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7"/>
      <c r="B56" s="381" t="s">
        <v>43</v>
      </c>
      <c r="C56" s="1360" t="s">
        <v>633</v>
      </c>
      <c r="D56" s="1360"/>
      <c r="E56" s="1360"/>
      <c r="F56" s="418"/>
      <c r="G56" s="660"/>
      <c r="H56" s="880"/>
      <c r="I56" s="418"/>
      <c r="J56" s="660"/>
      <c r="K56" s="660"/>
      <c r="L56" s="660"/>
      <c r="M56" s="661"/>
      <c r="N56" s="662"/>
      <c r="O56" s="1361"/>
      <c r="P56" s="1361"/>
      <c r="Q56" s="1361"/>
      <c r="R56" s="1361"/>
      <c r="S56" s="877"/>
    </row>
    <row r="57" spans="1:24" ht="36" customHeight="1">
      <c r="A57" s="1260" t="s">
        <v>634</v>
      </c>
      <c r="B57" s="84" t="s">
        <v>0</v>
      </c>
      <c r="C57" s="1427" t="e">
        <f>#REF!</f>
        <v>#REF!</v>
      </c>
      <c r="D57" s="1427"/>
      <c r="E57" s="1427"/>
      <c r="F57" s="827" t="s">
        <v>699</v>
      </c>
      <c r="G57" s="828" t="e">
        <f>#REF!</f>
        <v>#REF!</v>
      </c>
      <c r="H57" s="815"/>
      <c r="I57" s="827">
        <v>4</v>
      </c>
      <c r="J57" s="828" t="e">
        <f>#REF!</f>
        <v>#REF!</v>
      </c>
      <c r="K57" s="828" t="e">
        <f>#REF!</f>
        <v>#REF!</v>
      </c>
      <c r="L57" s="828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260"/>
      <c r="B58" s="381" t="s">
        <v>43</v>
      </c>
      <c r="C58" s="1360" t="e">
        <f>#REF!</f>
        <v>#REF!</v>
      </c>
      <c r="D58" s="1360"/>
      <c r="E58" s="1360"/>
      <c r="F58" s="418" t="s">
        <v>699</v>
      </c>
      <c r="G58" s="660" t="e">
        <f>#REF!</f>
        <v>#REF!</v>
      </c>
      <c r="H58" s="880"/>
      <c r="I58" s="418">
        <v>5</v>
      </c>
      <c r="J58" s="660" t="e">
        <f>#REF!</f>
        <v>#REF!</v>
      </c>
      <c r="K58" s="660" t="e">
        <f>#REF!</f>
        <v>#REF!</v>
      </c>
      <c r="L58" s="660" t="e">
        <f>#REF!</f>
        <v>#REF!</v>
      </c>
      <c r="M58" s="816" t="e">
        <f>#REF!</f>
        <v>#REF!</v>
      </c>
      <c r="N58" s="817" t="e">
        <f>#REF!</f>
        <v>#REF!</v>
      </c>
      <c r="O58" s="1430" t="e">
        <f>#REF!</f>
        <v>#REF!</v>
      </c>
      <c r="P58" s="1431"/>
      <c r="Q58" s="1431"/>
      <c r="R58" s="1432"/>
      <c r="S58" s="822" t="e">
        <f>#REF!</f>
        <v>#REF!</v>
      </c>
    </row>
    <row r="59" spans="1:24" ht="17.25" customHeight="1">
      <c r="A59" s="1126" t="s">
        <v>416</v>
      </c>
      <c r="B59" s="84" t="s">
        <v>0</v>
      </c>
      <c r="C59" s="1427" t="s">
        <v>633</v>
      </c>
      <c r="D59" s="1427"/>
      <c r="E59" s="1427"/>
      <c r="F59" s="827"/>
      <c r="G59" s="828"/>
      <c r="H59" s="815"/>
      <c r="I59" s="827"/>
      <c r="J59" s="828"/>
      <c r="K59" s="828"/>
      <c r="L59" s="828"/>
      <c r="M59" s="816"/>
      <c r="N59" s="818"/>
      <c r="O59" s="1333"/>
      <c r="P59" s="1334"/>
      <c r="Q59" s="1334"/>
      <c r="R59" s="1335"/>
      <c r="S59" s="855"/>
    </row>
    <row r="60" spans="1:24" ht="17.25" customHeight="1">
      <c r="A60" s="1189"/>
      <c r="B60" s="381" t="s">
        <v>43</v>
      </c>
      <c r="C60" s="1360" t="s">
        <v>633</v>
      </c>
      <c r="D60" s="1360"/>
      <c r="E60" s="1360"/>
      <c r="F60" s="418"/>
      <c r="G60" s="660"/>
      <c r="H60" s="880"/>
      <c r="I60" s="418"/>
      <c r="J60" s="660"/>
      <c r="K60" s="660"/>
      <c r="L60" s="660"/>
      <c r="M60" s="816"/>
      <c r="N60" s="818"/>
      <c r="O60" s="1333"/>
      <c r="P60" s="1334"/>
      <c r="Q60" s="1334"/>
      <c r="R60" s="1335"/>
      <c r="S60" s="855"/>
    </row>
    <row r="61" spans="1:24" ht="17.25" customHeight="1">
      <c r="A61" s="1126" t="s">
        <v>635</v>
      </c>
      <c r="B61" s="84" t="s">
        <v>0</v>
      </c>
      <c r="C61" s="1427" t="e">
        <f>#REF!</f>
        <v>#REF!</v>
      </c>
      <c r="D61" s="1427"/>
      <c r="E61" s="1427"/>
      <c r="F61" s="827" t="s">
        <v>703</v>
      </c>
      <c r="G61" s="828" t="e">
        <f>#REF!</f>
        <v>#REF!</v>
      </c>
      <c r="H61" s="815"/>
      <c r="I61" s="827">
        <v>1</v>
      </c>
      <c r="J61" s="828" t="e">
        <f>#REF!</f>
        <v>#REF!</v>
      </c>
      <c r="K61" s="828" t="e">
        <f>#REF!</f>
        <v>#REF!</v>
      </c>
      <c r="L61" s="828" t="e">
        <f>#REF!</f>
        <v>#REF!</v>
      </c>
      <c r="M61" s="816" t="e">
        <f>#REF!</f>
        <v>#REF!</v>
      </c>
      <c r="N61" s="817" t="e">
        <f>#REF!</f>
        <v>#REF!</v>
      </c>
      <c r="O61" s="1436" t="e">
        <f>#REF!</f>
        <v>#REF!</v>
      </c>
      <c r="P61" s="1436"/>
      <c r="Q61" s="1436"/>
      <c r="R61" s="1436"/>
      <c r="S61" s="848" t="e">
        <f>#REF!</f>
        <v>#REF!</v>
      </c>
    </row>
    <row r="62" spans="1:24" ht="17.25" customHeight="1">
      <c r="A62" s="1189"/>
      <c r="B62" s="381" t="s">
        <v>43</v>
      </c>
      <c r="C62" s="1360" t="e">
        <f>#REF!</f>
        <v>#REF!</v>
      </c>
      <c r="D62" s="1360"/>
      <c r="E62" s="1360"/>
      <c r="F62" s="418" t="s">
        <v>942</v>
      </c>
      <c r="G62" s="660" t="e">
        <f>#REF!</f>
        <v>#REF!</v>
      </c>
      <c r="H62" s="880"/>
      <c r="I62" s="418">
        <v>4</v>
      </c>
      <c r="J62" s="660" t="e">
        <f>#REF!</f>
        <v>#REF!</v>
      </c>
      <c r="K62" s="660" t="e">
        <f>#REF!</f>
        <v>#REF!</v>
      </c>
      <c r="L62" s="660" t="e">
        <f>#REF!</f>
        <v>#REF!</v>
      </c>
      <c r="M62" s="816" t="e">
        <f>#REF!</f>
        <v>#REF!</v>
      </c>
      <c r="N62" s="817" t="e">
        <f>#REF!</f>
        <v>#REF!</v>
      </c>
      <c r="O62" s="1436" t="e">
        <f>#REF!</f>
        <v>#REF!</v>
      </c>
      <c r="P62" s="1436"/>
      <c r="Q62" s="1436"/>
      <c r="R62" s="1436"/>
      <c r="S62" s="848" t="e">
        <f>#REF!</f>
        <v>#REF!</v>
      </c>
    </row>
    <row r="63" spans="1:24" ht="53.25" customHeight="1">
      <c r="A63" s="1126" t="s">
        <v>636</v>
      </c>
      <c r="B63" s="84" t="s">
        <v>0</v>
      </c>
      <c r="C63" s="1427" t="e">
        <f>#REF!</f>
        <v>#REF!</v>
      </c>
      <c r="D63" s="1427"/>
      <c r="E63" s="1427"/>
      <c r="F63" s="827" t="s">
        <v>944</v>
      </c>
      <c r="G63" s="828" t="e">
        <f>#REF!</f>
        <v>#REF!</v>
      </c>
      <c r="H63" s="815"/>
      <c r="I63" s="827">
        <v>4</v>
      </c>
      <c r="J63" s="828" t="e">
        <f>#REF!</f>
        <v>#REF!</v>
      </c>
      <c r="K63" s="828" t="e">
        <f>#REF!</f>
        <v>#REF!</v>
      </c>
      <c r="L63" s="828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48" t="e">
        <f>#REF!</f>
        <v>#REF!</v>
      </c>
    </row>
    <row r="64" spans="1:24" ht="17.25" customHeight="1">
      <c r="A64" s="1127"/>
      <c r="B64" s="381" t="s">
        <v>43</v>
      </c>
      <c r="C64" s="1360" t="e">
        <f>#REF!</f>
        <v>#REF!</v>
      </c>
      <c r="D64" s="1360"/>
      <c r="E64" s="1360"/>
      <c r="F64" s="418" t="s">
        <v>944</v>
      </c>
      <c r="G64" s="660" t="e">
        <f>#REF!</f>
        <v>#REF!</v>
      </c>
      <c r="H64" s="880"/>
      <c r="I64" s="418">
        <v>4</v>
      </c>
      <c r="J64" s="660" t="e">
        <f>#REF!</f>
        <v>#REF!</v>
      </c>
      <c r="K64" s="660" t="e">
        <f>#REF!</f>
        <v>#REF!</v>
      </c>
      <c r="L64" s="660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21" t="e">
        <f>#REF!</f>
        <v>#REF!</v>
      </c>
    </row>
    <row r="65" spans="1:79" ht="17.25" customHeight="1">
      <c r="A65" s="831"/>
      <c r="B65" s="841"/>
      <c r="C65" s="882"/>
      <c r="D65" s="883"/>
      <c r="E65" s="884"/>
      <c r="F65" s="827"/>
      <c r="G65" s="828"/>
      <c r="H65" s="815"/>
      <c r="I65" s="827"/>
      <c r="J65" s="832" t="s">
        <v>666</v>
      </c>
      <c r="K65" s="836" t="e">
        <f>SUM(K48:K64)</f>
        <v>#REF!</v>
      </c>
      <c r="L65" s="839"/>
      <c r="M65" s="816"/>
      <c r="N65" s="817"/>
      <c r="O65" s="1433"/>
      <c r="P65" s="1434"/>
      <c r="Q65" s="1434"/>
      <c r="R65" s="1435"/>
      <c r="S65" s="811"/>
    </row>
    <row r="66" spans="1:79" ht="17.25" customHeight="1">
      <c r="A66" s="1568" t="s">
        <v>25</v>
      </c>
      <c r="B66" s="84" t="s">
        <v>0</v>
      </c>
      <c r="C66" s="1427" t="s">
        <v>633</v>
      </c>
      <c r="D66" s="1427"/>
      <c r="E66" s="1427"/>
      <c r="F66" s="827"/>
      <c r="G66" s="828"/>
      <c r="H66" s="815"/>
      <c r="I66" s="827"/>
      <c r="J66" s="828"/>
      <c r="K66" s="828"/>
      <c r="L66" s="828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569"/>
      <c r="B67" s="381" t="s">
        <v>43</v>
      </c>
      <c r="C67" s="1360" t="e">
        <f>#REF!</f>
        <v>#REF!</v>
      </c>
      <c r="D67" s="1360"/>
      <c r="E67" s="1360"/>
      <c r="F67" s="418" t="s">
        <v>945</v>
      </c>
      <c r="G67" s="660" t="e">
        <f>#REF!</f>
        <v>#REF!</v>
      </c>
      <c r="H67" s="880"/>
      <c r="I67" s="418">
        <v>4</v>
      </c>
      <c r="J67" s="660" t="e">
        <f>#REF!</f>
        <v>#REF!</v>
      </c>
      <c r="K67" s="660" t="e">
        <f>#REF!</f>
        <v>#REF!</v>
      </c>
      <c r="L67" s="660" t="e">
        <f>#REF!</f>
        <v>#REF!</v>
      </c>
      <c r="M67" s="659" t="e">
        <f>#REF!</f>
        <v>#REF!</v>
      </c>
      <c r="N67" s="415" t="e">
        <f>#REF!</f>
        <v>#REF!</v>
      </c>
      <c r="O67" s="1554" t="e">
        <f>#REF!</f>
        <v>#REF!</v>
      </c>
      <c r="P67" s="1555"/>
      <c r="Q67" s="1555"/>
      <c r="R67" s="1556"/>
      <c r="S67" s="1566" t="e">
        <f>#REF!</f>
        <v>#REF!</v>
      </c>
    </row>
    <row r="68" spans="1:79" ht="17.25" customHeight="1">
      <c r="A68" s="1570"/>
      <c r="B68" s="381" t="s">
        <v>43</v>
      </c>
      <c r="C68" s="1360" t="e">
        <f>#REF!</f>
        <v>#REF!</v>
      </c>
      <c r="D68" s="1360"/>
      <c r="E68" s="1360"/>
      <c r="F68" s="418" t="s">
        <v>945</v>
      </c>
      <c r="G68" s="660" t="e">
        <f>#REF!</f>
        <v>#REF!</v>
      </c>
      <c r="H68" s="880"/>
      <c r="I68" s="418">
        <v>1</v>
      </c>
      <c r="J68" s="660" t="e">
        <f>#REF!</f>
        <v>#REF!</v>
      </c>
      <c r="K68" s="660" t="e">
        <f>#REF!</f>
        <v>#REF!</v>
      </c>
      <c r="L68" s="660" t="e">
        <f>#REF!</f>
        <v>#REF!</v>
      </c>
      <c r="M68" s="659" t="e">
        <f>#REF!</f>
        <v>#REF!</v>
      </c>
      <c r="N68" s="415" t="e">
        <f>#REF!</f>
        <v>#REF!</v>
      </c>
      <c r="O68" s="1549" t="e">
        <f>#REF!</f>
        <v>#REF!</v>
      </c>
      <c r="P68" s="1550"/>
      <c r="Q68" s="1550"/>
      <c r="R68" s="1551"/>
      <c r="S68" s="1567"/>
    </row>
    <row r="69" spans="1:79" ht="33.75" customHeight="1">
      <c r="A69" s="1126" t="s">
        <v>62</v>
      </c>
      <c r="B69" s="84" t="s">
        <v>0</v>
      </c>
      <c r="C69" s="1427" t="e">
        <f>#REF!</f>
        <v>#REF!</v>
      </c>
      <c r="D69" s="1427"/>
      <c r="E69" s="1427"/>
      <c r="F69" s="827" t="s">
        <v>731</v>
      </c>
      <c r="G69" s="828" t="e">
        <f>#REF!</f>
        <v>#REF!</v>
      </c>
      <c r="H69" s="815"/>
      <c r="I69" s="827">
        <v>2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415" t="e">
        <f>#REF!</f>
        <v>#REF!</v>
      </c>
      <c r="O69" s="1554" t="e">
        <f>#REF!</f>
        <v>#REF!</v>
      </c>
      <c r="P69" s="1555"/>
      <c r="Q69" s="1555"/>
      <c r="R69" s="1556"/>
      <c r="S69" s="1566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36" customHeight="1">
      <c r="A70" s="1189"/>
      <c r="B70" s="84" t="s">
        <v>0</v>
      </c>
      <c r="C70" s="1427" t="e">
        <f>#REF!</f>
        <v>#REF!</v>
      </c>
      <c r="D70" s="1427"/>
      <c r="E70" s="1427"/>
      <c r="F70" s="827" t="s">
        <v>946</v>
      </c>
      <c r="G70" s="828" t="e">
        <f>#REF!</f>
        <v>#REF!</v>
      </c>
      <c r="H70" s="815"/>
      <c r="I70" s="827">
        <v>1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1567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7"/>
      <c r="B71" s="381" t="s">
        <v>43</v>
      </c>
      <c r="C71" s="1360" t="s">
        <v>633</v>
      </c>
      <c r="D71" s="1360"/>
      <c r="E71" s="1360"/>
      <c r="F71" s="418"/>
      <c r="G71" s="660"/>
      <c r="H71" s="880"/>
      <c r="I71" s="418"/>
      <c r="J71" s="660"/>
      <c r="K71" s="660"/>
      <c r="L71" s="660"/>
      <c r="M71" s="659"/>
      <c r="N71" s="415"/>
      <c r="O71" s="1437"/>
      <c r="P71" s="1438"/>
      <c r="Q71" s="1438"/>
      <c r="R71" s="1439"/>
      <c r="S71" s="861"/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126" t="s">
        <v>640</v>
      </c>
      <c r="B72" s="84" t="s">
        <v>0</v>
      </c>
      <c r="C72" s="1427" t="s">
        <v>633</v>
      </c>
      <c r="D72" s="1427"/>
      <c r="E72" s="1427"/>
      <c r="F72" s="827"/>
      <c r="G72" s="828"/>
      <c r="H72" s="815"/>
      <c r="I72" s="827"/>
      <c r="J72" s="828"/>
      <c r="K72" s="828"/>
      <c r="L72" s="828"/>
      <c r="M72" s="659"/>
      <c r="N72" s="658"/>
      <c r="O72" s="1437"/>
      <c r="P72" s="1438"/>
      <c r="Q72" s="1438"/>
      <c r="R72" s="1439"/>
      <c r="S72" s="823"/>
    </row>
    <row r="73" spans="1:79" ht="53.25" customHeight="1">
      <c r="A73" s="1127"/>
      <c r="B73" s="881" t="s">
        <v>43</v>
      </c>
      <c r="C73" s="1360" t="e">
        <f>#REF!</f>
        <v>#REF!</v>
      </c>
      <c r="D73" s="1360"/>
      <c r="E73" s="1360"/>
      <c r="F73" s="418" t="s">
        <v>948</v>
      </c>
      <c r="G73" s="660" t="e">
        <f>#REF!</f>
        <v>#REF!</v>
      </c>
      <c r="H73" s="880"/>
      <c r="I73" s="418">
        <v>3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35.25" customHeight="1">
      <c r="A74" s="1440" t="s">
        <v>26</v>
      </c>
      <c r="B74" s="84" t="s">
        <v>0</v>
      </c>
      <c r="C74" s="1427" t="e">
        <f>#REF!</f>
        <v>#REF!</v>
      </c>
      <c r="D74" s="1427"/>
      <c r="E74" s="1427"/>
      <c r="F74" s="827" t="s">
        <v>732</v>
      </c>
      <c r="G74" s="828" t="e">
        <f>#REF!</f>
        <v>#REF!</v>
      </c>
      <c r="H74" s="815"/>
      <c r="I74" s="827">
        <v>4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1"/>
      <c r="B75" s="881" t="s">
        <v>43</v>
      </c>
      <c r="C75" s="1360" t="e">
        <f>#REF!</f>
        <v>#REF!</v>
      </c>
      <c r="D75" s="1360"/>
      <c r="E75" s="1360"/>
      <c r="F75" s="418" t="s">
        <v>732</v>
      </c>
      <c r="G75" s="660" t="e">
        <f>#REF!</f>
        <v>#REF!</v>
      </c>
      <c r="H75" s="880"/>
      <c r="I75" s="418">
        <v>5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35.25" customHeight="1">
      <c r="A76" s="1440" t="s">
        <v>27</v>
      </c>
      <c r="B76" s="841" t="s">
        <v>0</v>
      </c>
      <c r="C76" s="1427" t="e">
        <f>#REF!</f>
        <v>#REF!</v>
      </c>
      <c r="D76" s="1427"/>
      <c r="E76" s="1427"/>
      <c r="F76" s="827" t="s">
        <v>734</v>
      </c>
      <c r="G76" s="828" t="e">
        <f>#REF!</f>
        <v>#REF!</v>
      </c>
      <c r="H76" s="815"/>
      <c r="I76" s="827">
        <v>4</v>
      </c>
      <c r="J76" s="828" t="e">
        <f>#REF!</f>
        <v>#REF!</v>
      </c>
      <c r="K76" s="828" t="e">
        <f>#REF!</f>
        <v>#REF!</v>
      </c>
      <c r="L76" s="828" t="e">
        <f>#REF!</f>
        <v>#REF!</v>
      </c>
      <c r="M76" s="842" t="e">
        <f>#REF!</f>
        <v>#REF!</v>
      </c>
      <c r="N76" s="415" t="e">
        <f>#REF!</f>
        <v>#REF!</v>
      </c>
      <c r="O76" s="1442" t="e">
        <f>#REF!</f>
        <v>#REF!</v>
      </c>
      <c r="P76" s="1443"/>
      <c r="Q76" s="1443"/>
      <c r="R76" s="1444"/>
      <c r="S76" s="822" t="e">
        <f>#REF!</f>
        <v>#REF!</v>
      </c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36" customHeight="1">
      <c r="A77" s="1441"/>
      <c r="B77" s="881" t="s">
        <v>43</v>
      </c>
      <c r="C77" s="1360" t="e">
        <f>#REF!</f>
        <v>#REF!</v>
      </c>
      <c r="D77" s="1360"/>
      <c r="E77" s="1360"/>
      <c r="F77" s="418" t="s">
        <v>734</v>
      </c>
      <c r="G77" s="660" t="e">
        <f>#REF!</f>
        <v>#REF!</v>
      </c>
      <c r="H77" s="880"/>
      <c r="I77" s="418">
        <v>4</v>
      </c>
      <c r="J77" s="660" t="e">
        <f>#REF!</f>
        <v>#REF!</v>
      </c>
      <c r="K77" s="660" t="e">
        <f>#REF!</f>
        <v>#REF!</v>
      </c>
      <c r="L77" s="660" t="e">
        <f>#REF!</f>
        <v>#REF!</v>
      </c>
      <c r="M77" s="842" t="e">
        <f>#REF!</f>
        <v>#REF!</v>
      </c>
      <c r="N77" s="415" t="e">
        <f>#REF!</f>
        <v>#REF!</v>
      </c>
      <c r="O77" s="1442" t="e">
        <f>#REF!</f>
        <v>#REF!</v>
      </c>
      <c r="P77" s="1443"/>
      <c r="Q77" s="1443"/>
      <c r="R77" s="1444"/>
      <c r="S77" s="822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0" t="s">
        <v>641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441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642</v>
      </c>
      <c r="B80" s="84" t="s">
        <v>0</v>
      </c>
      <c r="C80" s="1427" t="e">
        <f>#REF!</f>
        <v>#REF!</v>
      </c>
      <c r="D80" s="1427"/>
      <c r="E80" s="1427"/>
      <c r="F80" s="827" t="s">
        <v>901</v>
      </c>
      <c r="G80" s="828" t="e">
        <f>#REF!</f>
        <v>#REF!</v>
      </c>
      <c r="H80" s="815"/>
      <c r="I80" s="827">
        <v>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89"/>
      <c r="B81" s="881" t="s">
        <v>43</v>
      </c>
      <c r="C81" s="1360" t="e">
        <f>#REF!</f>
        <v>#REF!</v>
      </c>
      <c r="D81" s="1360"/>
      <c r="E81" s="1360"/>
      <c r="F81" s="418" t="s">
        <v>901</v>
      </c>
      <c r="G81" s="660" t="e">
        <f>#REF!</f>
        <v>#REF!</v>
      </c>
      <c r="H81" s="880"/>
      <c r="I81" s="418">
        <v>0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816" t="e">
        <f>#REF!</f>
        <v>#REF!</v>
      </c>
      <c r="N81" s="415" t="e">
        <f>#REF!</f>
        <v>#REF!</v>
      </c>
      <c r="O81" s="1437"/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735</v>
      </c>
      <c r="G82" s="828" t="e">
        <f>#REF!</f>
        <v>#REF!</v>
      </c>
      <c r="H82" s="815"/>
      <c r="I82" s="827">
        <v>11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437"/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260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12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 t="s">
        <v>651</v>
      </c>
      <c r="B84" s="84" t="s">
        <v>0</v>
      </c>
      <c r="C84" s="1427" t="s">
        <v>633</v>
      </c>
      <c r="D84" s="1427"/>
      <c r="E84" s="1427"/>
      <c r="F84" s="827"/>
      <c r="G84" s="828"/>
      <c r="H84" s="815"/>
      <c r="I84" s="827"/>
      <c r="J84" s="828"/>
      <c r="K84" s="828"/>
      <c r="L84" s="828"/>
      <c r="M84" s="659"/>
      <c r="N84" s="415"/>
      <c r="O84" s="1437"/>
      <c r="P84" s="1438"/>
      <c r="Q84" s="1438"/>
      <c r="R84" s="1439"/>
      <c r="S84" s="82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260"/>
      <c r="B85" s="881" t="s">
        <v>43</v>
      </c>
      <c r="C85" s="1360" t="s">
        <v>633</v>
      </c>
      <c r="D85" s="1360"/>
      <c r="E85" s="1360"/>
      <c r="F85" s="418"/>
      <c r="G85" s="660"/>
      <c r="H85" s="880"/>
      <c r="I85" s="418"/>
      <c r="J85" s="660"/>
      <c r="K85" s="660"/>
      <c r="L85" s="660"/>
      <c r="M85" s="659"/>
      <c r="N85" s="415"/>
      <c r="O85" s="1437"/>
      <c r="P85" s="1438"/>
      <c r="Q85" s="1438"/>
      <c r="R85" s="1439"/>
      <c r="S85" s="82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SUM(K66:K85)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印401!I28</f>
        <v>0</v>
      </c>
      <c r="D88" s="1290"/>
      <c r="E88" s="1290"/>
      <c r="F88" s="1290"/>
      <c r="G88" s="1290"/>
      <c r="H88" s="849"/>
      <c r="I88" s="849">
        <f>印401!R28</f>
        <v>0</v>
      </c>
      <c r="J88" s="852">
        <f>印401!S28</f>
        <v>0</v>
      </c>
      <c r="K88" s="872">
        <f>印401!L28</f>
        <v>0</v>
      </c>
      <c r="L88" s="873">
        <f>印401!N28</f>
        <v>0</v>
      </c>
      <c r="M88" s="852">
        <f>印401!P28</f>
        <v>0</v>
      </c>
      <c r="N88" s="853">
        <f>印401!Q28</f>
        <v>0</v>
      </c>
      <c r="O88" s="1451"/>
      <c r="P88" s="1452"/>
      <c r="Q88" s="1452"/>
      <c r="R88" s="1453"/>
      <c r="S88" s="874">
        <f>印401!AB28</f>
        <v>0</v>
      </c>
    </row>
    <row r="89" spans="1:79" ht="18" customHeight="1">
      <c r="A89" s="1216"/>
      <c r="B89" s="84" t="s">
        <v>0</v>
      </c>
      <c r="C89" s="1290">
        <f>印401!I29</f>
        <v>0</v>
      </c>
      <c r="D89" s="1290"/>
      <c r="E89" s="1290"/>
      <c r="F89" s="1290"/>
      <c r="G89" s="1290"/>
      <c r="H89" s="849"/>
      <c r="I89" s="849">
        <f>印401!R29</f>
        <v>0</v>
      </c>
      <c r="J89" s="852">
        <f>印401!S29</f>
        <v>0</v>
      </c>
      <c r="K89" s="872">
        <f>印401!L29</f>
        <v>0</v>
      </c>
      <c r="L89" s="873">
        <f>印401!N29</f>
        <v>0</v>
      </c>
      <c r="M89" s="852">
        <f>印401!P29</f>
        <v>0</v>
      </c>
      <c r="N89" s="853">
        <f>印401!Q29</f>
        <v>0</v>
      </c>
      <c r="O89" s="1451"/>
      <c r="P89" s="1452"/>
      <c r="Q89" s="1452"/>
      <c r="R89" s="1453"/>
      <c r="S89" s="874">
        <f>印401!AB29</f>
        <v>0</v>
      </c>
    </row>
    <row r="90" spans="1:79" ht="18" customHeight="1">
      <c r="A90" s="1165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461">
        <v>402</v>
      </c>
      <c r="B91" s="84" t="s">
        <v>205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73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571"/>
      <c r="B92" s="84" t="s">
        <v>205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73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533"/>
      <c r="B96" s="24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7.25" customHeight="1">
      <c r="A97" s="1467"/>
      <c r="B97" s="881" t="s">
        <v>43</v>
      </c>
      <c r="C97" s="1454" t="s">
        <v>633</v>
      </c>
      <c r="D97" s="1454"/>
      <c r="E97" s="1454"/>
      <c r="F97" s="1454"/>
      <c r="G97" s="1454"/>
      <c r="H97" s="664"/>
      <c r="I97" s="664"/>
      <c r="J97" s="840"/>
      <c r="K97" s="424"/>
      <c r="L97" s="840"/>
      <c r="M97" s="840"/>
      <c r="N97" s="672"/>
      <c r="O97" s="1455"/>
      <c r="P97" s="1456"/>
      <c r="Q97" s="1456"/>
      <c r="R97" s="1457"/>
      <c r="S97" s="810"/>
    </row>
    <row r="98" spans="1:19" ht="18" customHeight="1">
      <c r="A98" s="1199">
        <v>405</v>
      </c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216"/>
      <c r="B99" s="84" t="s">
        <v>0</v>
      </c>
      <c r="C99" s="1290" t="e">
        <f>#REF!</f>
        <v>#REF!</v>
      </c>
      <c r="D99" s="1290"/>
      <c r="E99" s="1290"/>
      <c r="F99" s="1290"/>
      <c r="G99" s="1290"/>
      <c r="H99" s="849"/>
      <c r="I99" s="849" t="e">
        <f>#REF!</f>
        <v>#REF!</v>
      </c>
      <c r="J99" s="852" t="e">
        <f>#REF!</f>
        <v>#REF!</v>
      </c>
      <c r="K99" s="872" t="e">
        <f>#REF!</f>
        <v>#REF!</v>
      </c>
      <c r="L99" s="852" t="e">
        <f>#REF!</f>
        <v>#REF!</v>
      </c>
      <c r="M99" s="852" t="e">
        <f>#REF!</f>
        <v>#REF!</v>
      </c>
      <c r="N99" s="853" t="e">
        <f>#REF!</f>
        <v>#REF!</v>
      </c>
      <c r="O99" s="1451"/>
      <c r="P99" s="1452"/>
      <c r="Q99" s="1452"/>
      <c r="R99" s="1453"/>
      <c r="S99" s="874" t="e">
        <f>#REF!</f>
        <v>#REF!</v>
      </c>
    </row>
    <row r="100" spans="1:19" ht="18" customHeight="1">
      <c r="A100" s="1216"/>
      <c r="B100" s="84" t="s">
        <v>0</v>
      </c>
      <c r="C100" s="1290" t="e">
        <f>#REF!</f>
        <v>#REF!</v>
      </c>
      <c r="D100" s="1290"/>
      <c r="E100" s="1290"/>
      <c r="F100" s="1290"/>
      <c r="G100" s="1290"/>
      <c r="H100" s="849"/>
      <c r="I100" s="849" t="e">
        <f>#REF!</f>
        <v>#REF!</v>
      </c>
      <c r="J100" s="852" t="e">
        <f>#REF!</f>
        <v>#REF!</v>
      </c>
      <c r="K100" s="872" t="e">
        <f>#REF!</f>
        <v>#REF!</v>
      </c>
      <c r="L100" s="852" t="e">
        <f>#REF!</f>
        <v>#REF!</v>
      </c>
      <c r="M100" s="852" t="e">
        <f>#REF!</f>
        <v>#REF!</v>
      </c>
      <c r="N100" s="853" t="e">
        <f>#REF!</f>
        <v>#REF!</v>
      </c>
      <c r="O100" s="1451"/>
      <c r="P100" s="1452"/>
      <c r="Q100" s="1452"/>
      <c r="R100" s="1453"/>
      <c r="S100" s="874" t="e">
        <f>#REF!</f>
        <v>#REF!</v>
      </c>
    </row>
    <row r="101" spans="1:19" ht="18" customHeight="1">
      <c r="A101" s="1165"/>
      <c r="B101" s="881" t="s">
        <v>43</v>
      </c>
      <c r="C101" s="1454" t="s">
        <v>633</v>
      </c>
      <c r="D101" s="1454"/>
      <c r="E101" s="1454"/>
      <c r="F101" s="1454"/>
      <c r="G101" s="1454"/>
      <c r="H101" s="664"/>
      <c r="I101" s="664"/>
      <c r="J101" s="840"/>
      <c r="K101" s="424"/>
      <c r="L101" s="840"/>
      <c r="M101" s="840"/>
      <c r="N101" s="672"/>
      <c r="O101" s="1455"/>
      <c r="P101" s="1456"/>
      <c r="Q101" s="1456"/>
      <c r="R101" s="1457"/>
      <c r="S101" s="810"/>
    </row>
    <row r="102" spans="1:19" ht="18" customHeight="1">
      <c r="A102" s="314"/>
      <c r="B102" s="841"/>
      <c r="C102" s="1458"/>
      <c r="D102" s="1459"/>
      <c r="E102" s="1459"/>
      <c r="F102" s="1459"/>
      <c r="G102" s="1460"/>
      <c r="H102" s="849"/>
      <c r="I102" s="849"/>
      <c r="J102" s="834" t="s">
        <v>666</v>
      </c>
      <c r="K102" s="835" t="e">
        <f>SUM(K88:K101)</f>
        <v>#REF!</v>
      </c>
      <c r="L102" s="852"/>
      <c r="M102" s="852"/>
      <c r="N102" s="853"/>
      <c r="O102" s="886"/>
      <c r="P102" s="887"/>
      <c r="Q102" s="887"/>
      <c r="R102" s="888"/>
      <c r="S102" s="854"/>
    </row>
    <row r="103" spans="1:19" s="76" customFormat="1" ht="31.7" hidden="1" customHeight="1">
      <c r="A103" s="400" t="s">
        <v>425</v>
      </c>
      <c r="B103" s="400" t="s">
        <v>193</v>
      </c>
      <c r="C103" s="1282" t="e">
        <f>[1]印403!J91</f>
        <v>#REF!</v>
      </c>
      <c r="D103" s="1283"/>
      <c r="E103" s="1283"/>
      <c r="F103" s="1283"/>
      <c r="G103" s="1468"/>
      <c r="H103" s="242" t="s">
        <v>216</v>
      </c>
      <c r="I103" s="242" t="s">
        <v>12</v>
      </c>
      <c r="J103" s="242" t="s">
        <v>13</v>
      </c>
      <c r="K103" s="405" t="s">
        <v>218</v>
      </c>
      <c r="L103" s="427" t="s">
        <v>60</v>
      </c>
      <c r="M103" s="399" t="e">
        <f>[1]印403!O90</f>
        <v>#REF!</v>
      </c>
      <c r="N103" s="257" t="s">
        <v>45</v>
      </c>
      <c r="O103" s="1448" t="s">
        <v>29</v>
      </c>
      <c r="P103" s="1449"/>
      <c r="Q103" s="1449"/>
      <c r="R103" s="1450"/>
      <c r="S103" s="417" t="s">
        <v>57</v>
      </c>
    </row>
    <row r="104" spans="1:19" ht="15" hidden="1" customHeight="1">
      <c r="A104" s="1199" t="s">
        <v>426</v>
      </c>
      <c r="B104" s="84" t="s">
        <v>205</v>
      </c>
      <c r="C104" s="1282" t="e">
        <f>[1]印403!J92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[1]印403!O91</f>
        <v>#REF!</v>
      </c>
      <c r="N104" s="399"/>
      <c r="O104" s="1469"/>
      <c r="P104" s="1245"/>
      <c r="Q104" s="1245"/>
      <c r="R104" s="1246"/>
      <c r="S104" s="1470"/>
    </row>
    <row r="105" spans="1:19" ht="13.7" hidden="1" customHeight="1">
      <c r="A105" s="1216"/>
      <c r="B105" s="84" t="s">
        <v>205</v>
      </c>
      <c r="C105" s="1282" t="e">
        <f>[1]印403!J93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[1]印403!O92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[1]印403!J94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[1]印403!O93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[1]印403!J95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[1]印403!O94</f>
        <v>#REF!</v>
      </c>
      <c r="N107" s="425"/>
      <c r="O107" s="666"/>
      <c r="P107" s="667"/>
      <c r="Q107" s="667"/>
      <c r="R107" s="668"/>
      <c r="S107" s="1471"/>
    </row>
    <row r="108" spans="1:19" ht="15" hidden="1" customHeight="1">
      <c r="A108" s="1216"/>
      <c r="B108" s="84" t="s">
        <v>205</v>
      </c>
      <c r="C108" s="1282" t="e">
        <f>[1]印403!J96</f>
        <v>#REF!</v>
      </c>
      <c r="D108" s="1283"/>
      <c r="E108" s="1283"/>
      <c r="F108" s="1283"/>
      <c r="G108" s="1468"/>
      <c r="H108" s="663"/>
      <c r="I108" s="663"/>
      <c r="J108" s="399"/>
      <c r="K108" s="665"/>
      <c r="L108" s="673"/>
      <c r="M108" s="399" t="e">
        <f>[1]印403!O95</f>
        <v>#REF!</v>
      </c>
      <c r="N108" s="425"/>
      <c r="O108" s="669"/>
      <c r="P108" s="670"/>
      <c r="Q108" s="670"/>
      <c r="R108" s="671"/>
      <c r="S108" s="1471"/>
    </row>
    <row r="109" spans="1:19" ht="16.5" hidden="1" customHeight="1">
      <c r="A109" s="1216"/>
      <c r="B109" s="881" t="s">
        <v>43</v>
      </c>
      <c r="C109" s="1282" t="e">
        <f>[1]印403!J97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[1]印403!O96</f>
        <v>#REF!</v>
      </c>
      <c r="N109" s="672"/>
      <c r="O109" s="1476"/>
      <c r="P109" s="1477"/>
      <c r="Q109" s="1477"/>
      <c r="R109" s="1478"/>
      <c r="S109" s="1485"/>
    </row>
    <row r="110" spans="1:19" ht="15" hidden="1" customHeight="1">
      <c r="A110" s="1216"/>
      <c r="B110" s="881" t="s">
        <v>43</v>
      </c>
      <c r="C110" s="1282" t="e">
        <f>[1]印403!J98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[1]印403!O97</f>
        <v>#REF!</v>
      </c>
      <c r="N110" s="672"/>
      <c r="O110" s="1479"/>
      <c r="P110" s="1480"/>
      <c r="Q110" s="1480"/>
      <c r="R110" s="1481"/>
      <c r="S110" s="1485"/>
    </row>
    <row r="111" spans="1:19" ht="15" hidden="1" customHeight="1">
      <c r="A111" s="1216"/>
      <c r="B111" s="881" t="s">
        <v>43</v>
      </c>
      <c r="C111" s="1282" t="e">
        <f>[1]印403!J99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[1]印403!O98</f>
        <v>#REF!</v>
      </c>
      <c r="N111" s="672"/>
      <c r="O111" s="1479"/>
      <c r="P111" s="1480"/>
      <c r="Q111" s="1480"/>
      <c r="R111" s="1481"/>
      <c r="S111" s="1485"/>
    </row>
    <row r="112" spans="1:19" ht="15" hidden="1" customHeight="1">
      <c r="A112" s="1165"/>
      <c r="B112" s="881" t="s">
        <v>43</v>
      </c>
      <c r="C112" s="1282" t="e">
        <f>[1]印403!J100</f>
        <v>#REF!</v>
      </c>
      <c r="D112" s="1283"/>
      <c r="E112" s="1283"/>
      <c r="F112" s="1283"/>
      <c r="G112" s="1468"/>
      <c r="H112" s="664"/>
      <c r="I112" s="664"/>
      <c r="J112" s="840"/>
      <c r="K112" s="424"/>
      <c r="L112" s="426"/>
      <c r="M112" s="399" t="e">
        <f>[1]印403!O99</f>
        <v>#REF!</v>
      </c>
      <c r="N112" s="672"/>
      <c r="O112" s="1482"/>
      <c r="P112" s="1483"/>
      <c r="Q112" s="1483"/>
      <c r="R112" s="1484"/>
      <c r="S112" s="1486"/>
    </row>
    <row r="113" spans="1:20" ht="6" customHeight="1">
      <c r="A113" s="248"/>
      <c r="C113" s="249"/>
    </row>
    <row r="114" spans="1:20" ht="6" customHeight="1" thickBot="1">
      <c r="A114" s="248"/>
      <c r="C114" s="249"/>
    </row>
    <row r="115" spans="1:20" ht="15" customHeight="1" thickTop="1">
      <c r="A115" s="1472" t="s">
        <v>30</v>
      </c>
      <c r="B115" s="1473"/>
      <c r="C115" s="1473"/>
      <c r="D115" s="1473"/>
      <c r="E115" s="376">
        <v>534400</v>
      </c>
      <c r="F115" s="75" t="s">
        <v>64</v>
      </c>
      <c r="G115" s="1472" t="s">
        <v>31</v>
      </c>
      <c r="H115" s="1473"/>
      <c r="I115" s="1473"/>
      <c r="J115" s="1473"/>
      <c r="K115" s="1473"/>
      <c r="L115" s="377">
        <v>310000</v>
      </c>
      <c r="M115" s="75" t="s">
        <v>64</v>
      </c>
      <c r="N115" s="1472" t="s">
        <v>32</v>
      </c>
      <c r="O115" s="1473"/>
      <c r="P115" s="1473"/>
      <c r="Q115" s="377">
        <v>830000</v>
      </c>
      <c r="R115" s="75" t="s">
        <v>64</v>
      </c>
      <c r="S115" s="75"/>
    </row>
    <row r="116" spans="1:20" ht="15" customHeight="1" thickBot="1">
      <c r="A116" s="1474" t="s">
        <v>66</v>
      </c>
      <c r="B116" s="1475"/>
      <c r="C116" s="1475"/>
      <c r="D116" s="1475"/>
      <c r="E116" s="674">
        <f>(38+42)*1000</f>
        <v>80000</v>
      </c>
      <c r="G116" s="1474" t="s">
        <v>66</v>
      </c>
      <c r="H116" s="1475"/>
      <c r="I116" s="1475"/>
      <c r="J116" s="1475"/>
      <c r="K116" s="1475"/>
      <c r="L116" s="674">
        <f>(15+6)*2000</f>
        <v>42000</v>
      </c>
      <c r="N116" s="1474" t="s">
        <v>33</v>
      </c>
      <c r="O116" s="1475"/>
      <c r="P116" s="1475"/>
      <c r="Q116" s="674">
        <f>(30+30+61)*1000</f>
        <v>121000</v>
      </c>
      <c r="R116" s="75"/>
      <c r="S116" s="75"/>
    </row>
    <row r="117" spans="1:20" ht="15" customHeight="1" thickTop="1" thickBot="1">
      <c r="A117" s="1487" t="s">
        <v>34</v>
      </c>
      <c r="B117" s="1488"/>
      <c r="C117" s="1488"/>
      <c r="D117" s="1488"/>
      <c r="E117" s="378">
        <f>E115+E116</f>
        <v>614400</v>
      </c>
      <c r="F117" s="75" t="s">
        <v>64</v>
      </c>
      <c r="G117" s="1487" t="s">
        <v>35</v>
      </c>
      <c r="H117" s="1488"/>
      <c r="I117" s="1488"/>
      <c r="J117" s="1488"/>
      <c r="K117" s="1488"/>
      <c r="L117" s="379">
        <f>L115+L116</f>
        <v>352000</v>
      </c>
      <c r="M117" s="75" t="s">
        <v>64</v>
      </c>
      <c r="N117" s="1487" t="s">
        <v>36</v>
      </c>
      <c r="O117" s="1488"/>
      <c r="P117" s="1488"/>
      <c r="Q117" s="379">
        <f>Q115+Q116</f>
        <v>951000</v>
      </c>
      <c r="R117" s="75" t="s">
        <v>64</v>
      </c>
      <c r="S117" s="75"/>
    </row>
    <row r="118" spans="1:20" ht="15" customHeight="1" thickTop="1" thickBot="1">
      <c r="E118" s="252">
        <f>印401!M64</f>
        <v>0</v>
      </c>
      <c r="L118" s="675" t="e">
        <f>#REF!</f>
        <v>#REF!</v>
      </c>
      <c r="O118" s="75"/>
      <c r="P118" s="75"/>
      <c r="Q118" s="675" t="e">
        <f>#REF!</f>
        <v>#REF!</v>
      </c>
      <c r="R118" s="75"/>
      <c r="S118" s="75"/>
    </row>
    <row r="119" spans="1:20" ht="15" customHeight="1" thickBot="1">
      <c r="A119" s="676" t="s">
        <v>37</v>
      </c>
      <c r="B119" s="677"/>
      <c r="C119" s="677"/>
      <c r="D119" s="678"/>
      <c r="E119" s="253">
        <f>印401!P64</f>
        <v>0</v>
      </c>
      <c r="F119" s="75" t="s">
        <v>64</v>
      </c>
      <c r="G119" s="676" t="s">
        <v>38</v>
      </c>
      <c r="H119" s="677"/>
      <c r="I119" s="677"/>
      <c r="J119" s="677"/>
      <c r="K119" s="677"/>
      <c r="L119" s="384" t="e">
        <f>#REF!</f>
        <v>#REF!</v>
      </c>
      <c r="M119" s="75" t="s">
        <v>64</v>
      </c>
      <c r="N119" s="676" t="s">
        <v>39</v>
      </c>
      <c r="O119" s="677"/>
      <c r="P119" s="677"/>
      <c r="Q119" s="384" t="e">
        <f>#REF!</f>
        <v>#REF!</v>
      </c>
      <c r="R119" s="75" t="s">
        <v>64</v>
      </c>
      <c r="S119" s="75"/>
    </row>
    <row r="120" spans="1:20" ht="3" customHeight="1" thickBot="1">
      <c r="J120" s="255"/>
      <c r="K120" s="256"/>
    </row>
    <row r="121" spans="1:20" ht="15" customHeight="1" thickTop="1">
      <c r="B121" s="1509" t="s">
        <v>69</v>
      </c>
      <c r="C121" s="1510"/>
      <c r="D121" s="1511" t="s">
        <v>305</v>
      </c>
      <c r="E121" s="1512"/>
      <c r="F121" s="1489" t="s">
        <v>306</v>
      </c>
      <c r="G121" s="1490"/>
      <c r="H121" s="1491" t="s">
        <v>307</v>
      </c>
      <c r="I121" s="1492"/>
      <c r="J121" s="1492"/>
      <c r="K121" s="1493"/>
      <c r="L121" s="1472" t="s">
        <v>657</v>
      </c>
      <c r="M121" s="1473"/>
      <c r="N121" s="1473"/>
      <c r="O121" s="377">
        <v>1664000</v>
      </c>
      <c r="P121" s="75" t="s">
        <v>64</v>
      </c>
      <c r="Q121" s="1496" t="s">
        <v>65</v>
      </c>
      <c r="R121" s="1497"/>
      <c r="S121" s="385">
        <v>16253291</v>
      </c>
    </row>
    <row r="122" spans="1:20" ht="15" customHeight="1" thickBot="1">
      <c r="B122" s="1498" t="s">
        <v>308</v>
      </c>
      <c r="C122" s="1499"/>
      <c r="D122" s="1500" t="e">
        <f>總表!D20</f>
        <v>#REF!</v>
      </c>
      <c r="E122" s="1501"/>
      <c r="F122" s="1502">
        <f>總表!E20</f>
        <v>1316871</v>
      </c>
      <c r="G122" s="1503"/>
      <c r="H122" s="1504" t="e">
        <f>(D122-F122)/D122</f>
        <v>#REF!</v>
      </c>
      <c r="I122" s="1505"/>
      <c r="J122" s="1505"/>
      <c r="K122" s="1506"/>
      <c r="L122" s="1474" t="s">
        <v>33</v>
      </c>
      <c r="M122" s="1475"/>
      <c r="N122" s="1475"/>
      <c r="O122" s="674">
        <f>(32+50+160)*1000</f>
        <v>242000</v>
      </c>
      <c r="P122" s="75"/>
      <c r="Q122" s="1507" t="s">
        <v>67</v>
      </c>
      <c r="R122" s="1508"/>
      <c r="S122" s="386" t="e">
        <f>SUM(L48:L85,L88:L101)</f>
        <v>#REF!</v>
      </c>
    </row>
    <row r="123" spans="1:20" ht="15" customHeight="1" thickTop="1" thickBot="1">
      <c r="B123" s="1513" t="s">
        <v>309</v>
      </c>
      <c r="C123" s="1514"/>
      <c r="D123" s="1515" t="e">
        <f>總表!C43</f>
        <v>#REF!</v>
      </c>
      <c r="E123" s="1516"/>
      <c r="F123" s="1502" t="e">
        <f>總表!F43</f>
        <v>#REF!</v>
      </c>
      <c r="G123" s="1503"/>
      <c r="H123" s="1504" t="e">
        <f>(D123-F123)/D123</f>
        <v>#REF!</v>
      </c>
      <c r="I123" s="1505"/>
      <c r="J123" s="1505"/>
      <c r="K123" s="1506"/>
      <c r="L123" s="1487" t="s">
        <v>658</v>
      </c>
      <c r="M123" s="1488"/>
      <c r="N123" s="1488"/>
      <c r="O123" s="379">
        <f>O121+O122</f>
        <v>1906000</v>
      </c>
      <c r="P123" s="75" t="s">
        <v>64</v>
      </c>
      <c r="Q123" s="1494" t="s">
        <v>68</v>
      </c>
      <c r="R123" s="1495"/>
      <c r="S123" s="387" t="e">
        <f>S121+S122</f>
        <v>#REF!</v>
      </c>
    </row>
    <row r="124" spans="1:20" ht="14.1" customHeight="1" thickTop="1" thickBot="1">
      <c r="B124" s="250" t="s">
        <v>310</v>
      </c>
      <c r="C124" s="250"/>
      <c r="D124" s="250"/>
      <c r="E124" s="233"/>
      <c r="O124" s="675" t="e">
        <f>#REF!</f>
        <v>#REF!</v>
      </c>
      <c r="P124" s="75"/>
      <c r="Q124" s="75"/>
      <c r="R124" s="254" t="e">
        <f>總表!E43+總表!E52</f>
        <v>#REF!</v>
      </c>
      <c r="S124" s="254" t="e">
        <f>R124-S123</f>
        <v>#REF!</v>
      </c>
    </row>
    <row r="125" spans="1:20" ht="17.25" customHeight="1" thickBot="1">
      <c r="B125" s="250" t="s">
        <v>40</v>
      </c>
      <c r="C125" s="233"/>
      <c r="D125" s="233"/>
      <c r="E125" s="233"/>
      <c r="F125" s="233"/>
      <c r="L125" s="676" t="s">
        <v>659</v>
      </c>
      <c r="M125" s="677"/>
      <c r="N125" s="677"/>
      <c r="O125" s="384" t="e">
        <f>#REF!</f>
        <v>#REF!</v>
      </c>
      <c r="P125" s="75" t="s">
        <v>64</v>
      </c>
      <c r="T125" s="233"/>
    </row>
    <row r="126" spans="1:20" ht="15.75" customHeight="1">
      <c r="B126" s="75" t="s">
        <v>41</v>
      </c>
      <c r="N126" s="233"/>
      <c r="S126" s="75"/>
    </row>
  </sheetData>
  <mergeCells count="301">
    <mergeCell ref="O95:R95"/>
    <mergeCell ref="C96:G96"/>
    <mergeCell ref="O96:R96"/>
    <mergeCell ref="A66:A68"/>
    <mergeCell ref="C93:G93"/>
    <mergeCell ref="O93:R93"/>
    <mergeCell ref="A91:A93"/>
    <mergeCell ref="C94:G94"/>
    <mergeCell ref="O94:R94"/>
    <mergeCell ref="A84:A85"/>
    <mergeCell ref="A94:A97"/>
    <mergeCell ref="C97:G97"/>
    <mergeCell ref="O97:R97"/>
    <mergeCell ref="C95:G95"/>
    <mergeCell ref="O86:R86"/>
    <mergeCell ref="C87:G87"/>
    <mergeCell ref="O87:R87"/>
    <mergeCell ref="C91:G91"/>
    <mergeCell ref="O91:R91"/>
    <mergeCell ref="C92:G92"/>
    <mergeCell ref="O92:R92"/>
    <mergeCell ref="C84:E84"/>
    <mergeCell ref="O84:R84"/>
    <mergeCell ref="C85:E85"/>
    <mergeCell ref="A9:A10"/>
    <mergeCell ref="G11:I11"/>
    <mergeCell ref="K11:M11"/>
    <mergeCell ref="O11:R11"/>
    <mergeCell ref="G12:I12"/>
    <mergeCell ref="K12:M12"/>
    <mergeCell ref="O12:R12"/>
    <mergeCell ref="A11:A12"/>
    <mergeCell ref="G9:I9"/>
    <mergeCell ref="K9:M9"/>
    <mergeCell ref="O9:R9"/>
    <mergeCell ref="G10:I10"/>
    <mergeCell ref="K10:M10"/>
    <mergeCell ref="O10:R10"/>
    <mergeCell ref="B123:C123"/>
    <mergeCell ref="D123:E123"/>
    <mergeCell ref="F123:G123"/>
    <mergeCell ref="H123:K123"/>
    <mergeCell ref="L123:N123"/>
    <mergeCell ref="Q123:R123"/>
    <mergeCell ref="Q121:R121"/>
    <mergeCell ref="B122:C122"/>
    <mergeCell ref="D122:E122"/>
    <mergeCell ref="F122:G122"/>
    <mergeCell ref="H122:K122"/>
    <mergeCell ref="L122:N122"/>
    <mergeCell ref="Q122:R122"/>
    <mergeCell ref="A117:D117"/>
    <mergeCell ref="G117:K117"/>
    <mergeCell ref="N117:P117"/>
    <mergeCell ref="B121:C121"/>
    <mergeCell ref="D121:E121"/>
    <mergeCell ref="F121:G121"/>
    <mergeCell ref="H121:K121"/>
    <mergeCell ref="L121:N121"/>
    <mergeCell ref="A115:D115"/>
    <mergeCell ref="G115:K115"/>
    <mergeCell ref="N115:P115"/>
    <mergeCell ref="A116:D116"/>
    <mergeCell ref="G116:K116"/>
    <mergeCell ref="N116:P116"/>
    <mergeCell ref="S104:S108"/>
    <mergeCell ref="C105:G105"/>
    <mergeCell ref="C106:G106"/>
    <mergeCell ref="C107:G107"/>
    <mergeCell ref="C108:G108"/>
    <mergeCell ref="C109:G109"/>
    <mergeCell ref="O109:R112"/>
    <mergeCell ref="S109:S112"/>
    <mergeCell ref="C110:G110"/>
    <mergeCell ref="C111:G111"/>
    <mergeCell ref="C102:G102"/>
    <mergeCell ref="C103:G103"/>
    <mergeCell ref="O103:R103"/>
    <mergeCell ref="A104:A112"/>
    <mergeCell ref="C104:G104"/>
    <mergeCell ref="O104:R104"/>
    <mergeCell ref="C112:G112"/>
    <mergeCell ref="C98:G98"/>
    <mergeCell ref="O98:R98"/>
    <mergeCell ref="C99:G99"/>
    <mergeCell ref="O99:R99"/>
    <mergeCell ref="C100:G100"/>
    <mergeCell ref="O100:R100"/>
    <mergeCell ref="C101:G101"/>
    <mergeCell ref="O101:R101"/>
    <mergeCell ref="A98:A101"/>
    <mergeCell ref="O85:R85"/>
    <mergeCell ref="C88:G88"/>
    <mergeCell ref="O88:R88"/>
    <mergeCell ref="A88:A90"/>
    <mergeCell ref="C90:G90"/>
    <mergeCell ref="O90:R90"/>
    <mergeCell ref="A78:A79"/>
    <mergeCell ref="C78:E78"/>
    <mergeCell ref="O78:R78"/>
    <mergeCell ref="C79:E79"/>
    <mergeCell ref="O79:R79"/>
    <mergeCell ref="A82:A83"/>
    <mergeCell ref="C82:E82"/>
    <mergeCell ref="O82:R82"/>
    <mergeCell ref="C83:E83"/>
    <mergeCell ref="O83:R83"/>
    <mergeCell ref="C89:G89"/>
    <mergeCell ref="O89:R89"/>
    <mergeCell ref="A76:A77"/>
    <mergeCell ref="C76:E76"/>
    <mergeCell ref="O76:R76"/>
    <mergeCell ref="C77:E77"/>
    <mergeCell ref="O77:R77"/>
    <mergeCell ref="A80:A81"/>
    <mergeCell ref="C80:E80"/>
    <mergeCell ref="O80:R80"/>
    <mergeCell ref="C81:E81"/>
    <mergeCell ref="O81:R81"/>
    <mergeCell ref="S67:S68"/>
    <mergeCell ref="A74:A75"/>
    <mergeCell ref="C74:E74"/>
    <mergeCell ref="O74:R74"/>
    <mergeCell ref="C75:E75"/>
    <mergeCell ref="O75:R75"/>
    <mergeCell ref="C73:E73"/>
    <mergeCell ref="O73:R73"/>
    <mergeCell ref="A72:A73"/>
    <mergeCell ref="C68:E68"/>
    <mergeCell ref="C71:E71"/>
    <mergeCell ref="O71:R71"/>
    <mergeCell ref="C72:E72"/>
    <mergeCell ref="O72:R72"/>
    <mergeCell ref="C69:E69"/>
    <mergeCell ref="O69:R69"/>
    <mergeCell ref="C70:E70"/>
    <mergeCell ref="O70:R70"/>
    <mergeCell ref="O65:R65"/>
    <mergeCell ref="C66:E66"/>
    <mergeCell ref="O66:R66"/>
    <mergeCell ref="C67:E67"/>
    <mergeCell ref="O67:R67"/>
    <mergeCell ref="O68:R68"/>
    <mergeCell ref="A59:A60"/>
    <mergeCell ref="C59:E59"/>
    <mergeCell ref="O59:R59"/>
    <mergeCell ref="C60:E60"/>
    <mergeCell ref="O60:R60"/>
    <mergeCell ref="C62:E62"/>
    <mergeCell ref="O62:R62"/>
    <mergeCell ref="A61:A62"/>
    <mergeCell ref="C61:E61"/>
    <mergeCell ref="O61:R61"/>
    <mergeCell ref="C53:E53"/>
    <mergeCell ref="O53:R53"/>
    <mergeCell ref="A53:A54"/>
    <mergeCell ref="C63:E63"/>
    <mergeCell ref="O63:R63"/>
    <mergeCell ref="A63:A64"/>
    <mergeCell ref="C51:E51"/>
    <mergeCell ref="O51:R51"/>
    <mergeCell ref="A55:A56"/>
    <mergeCell ref="C55:E55"/>
    <mergeCell ref="O55:R55"/>
    <mergeCell ref="C56:E56"/>
    <mergeCell ref="O56:R56"/>
    <mergeCell ref="A57:A58"/>
    <mergeCell ref="C57:E57"/>
    <mergeCell ref="O57:R57"/>
    <mergeCell ref="C58:E58"/>
    <mergeCell ref="O58:R58"/>
    <mergeCell ref="V48:X48"/>
    <mergeCell ref="C49:E49"/>
    <mergeCell ref="O49:R49"/>
    <mergeCell ref="V49:X49"/>
    <mergeCell ref="C45:E45"/>
    <mergeCell ref="M45:M47"/>
    <mergeCell ref="O45:R47"/>
    <mergeCell ref="S45:S47"/>
    <mergeCell ref="C46:E46"/>
    <mergeCell ref="C47:E47"/>
    <mergeCell ref="S39:S41"/>
    <mergeCell ref="C40:E40"/>
    <mergeCell ref="C41:E41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S29:S31"/>
    <mergeCell ref="C30:E30"/>
    <mergeCell ref="C31:E31"/>
    <mergeCell ref="C32:E32"/>
    <mergeCell ref="M32:M35"/>
    <mergeCell ref="O32:R35"/>
    <mergeCell ref="S32:S35"/>
    <mergeCell ref="C33:E33"/>
    <mergeCell ref="C34:E34"/>
    <mergeCell ref="C35:E35"/>
    <mergeCell ref="S25:S27"/>
    <mergeCell ref="G26:I26"/>
    <mergeCell ref="G27:I27"/>
    <mergeCell ref="S22:S24"/>
    <mergeCell ref="C54:E54"/>
    <mergeCell ref="O54:R54"/>
    <mergeCell ref="G19:I19"/>
    <mergeCell ref="O19:R19"/>
    <mergeCell ref="G20:I20"/>
    <mergeCell ref="O20:R20"/>
    <mergeCell ref="K19:M19"/>
    <mergeCell ref="K21:M21"/>
    <mergeCell ref="O21:R21"/>
    <mergeCell ref="G22:I22"/>
    <mergeCell ref="C28:E28"/>
    <mergeCell ref="O28:R28"/>
    <mergeCell ref="C29:E29"/>
    <mergeCell ref="M29:M31"/>
    <mergeCell ref="O29:R31"/>
    <mergeCell ref="G23:I23"/>
    <mergeCell ref="G24:I24"/>
    <mergeCell ref="G25:I25"/>
    <mergeCell ref="K25:M27"/>
    <mergeCell ref="O25:R27"/>
    <mergeCell ref="K14:M14"/>
    <mergeCell ref="O14:R14"/>
    <mergeCell ref="K20:M20"/>
    <mergeCell ref="A15:A16"/>
    <mergeCell ref="K16:M16"/>
    <mergeCell ref="O16:R16"/>
    <mergeCell ref="A17:A18"/>
    <mergeCell ref="G17:I17"/>
    <mergeCell ref="C52:E52"/>
    <mergeCell ref="O52:R52"/>
    <mergeCell ref="A50:A52"/>
    <mergeCell ref="A22:A27"/>
    <mergeCell ref="K22:M24"/>
    <mergeCell ref="O22:R24"/>
    <mergeCell ref="A19:A20"/>
    <mergeCell ref="A29:A35"/>
    <mergeCell ref="A48:A49"/>
    <mergeCell ref="C48:E48"/>
    <mergeCell ref="O48:R48"/>
    <mergeCell ref="C50:E50"/>
    <mergeCell ref="O50:R50"/>
    <mergeCell ref="S50:S51"/>
    <mergeCell ref="C64:E64"/>
    <mergeCell ref="O64:R64"/>
    <mergeCell ref="A69:A71"/>
    <mergeCell ref="S69:S70"/>
    <mergeCell ref="G6:I6"/>
    <mergeCell ref="K6:M6"/>
    <mergeCell ref="O6:R6"/>
    <mergeCell ref="A7:A8"/>
    <mergeCell ref="G7:I7"/>
    <mergeCell ref="K17:M17"/>
    <mergeCell ref="O17:R17"/>
    <mergeCell ref="G18:I18"/>
    <mergeCell ref="K18:M18"/>
    <mergeCell ref="O18:R18"/>
    <mergeCell ref="G15:I15"/>
    <mergeCell ref="K15:M15"/>
    <mergeCell ref="O15:R15"/>
    <mergeCell ref="G16:I16"/>
    <mergeCell ref="A13:A14"/>
    <mergeCell ref="G13:I13"/>
    <mergeCell ref="K13:M13"/>
    <mergeCell ref="O13:R13"/>
    <mergeCell ref="G14:I14"/>
    <mergeCell ref="N3:P3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Q3:R3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5:P5"/>
  </mergeCells>
  <phoneticPr fontId="26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A121"/>
  <sheetViews>
    <sheetView topLeftCell="I93" workbookViewId="0">
      <selection activeCell="S118" sqref="S118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951</v>
      </c>
      <c r="R2" s="1320"/>
      <c r="S2" s="642" t="s">
        <v>801</v>
      </c>
    </row>
    <row r="3" spans="1:23" ht="86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952</v>
      </c>
      <c r="O3" s="1319"/>
      <c r="P3" s="1320"/>
      <c r="Q3" s="1318" t="s">
        <v>953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45240</v>
      </c>
      <c r="D5" s="419" t="s">
        <v>950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'102'!O22</f>
        <v>750</v>
      </c>
      <c r="G9" s="1311">
        <f>'102'!K22</f>
        <v>8038</v>
      </c>
      <c r="H9" s="1312"/>
      <c r="I9" s="1313"/>
      <c r="J9" s="814">
        <f>'102'!L22</f>
        <v>0</v>
      </c>
      <c r="K9" s="1314">
        <f>'102'!P22</f>
        <v>0.89311111111111108</v>
      </c>
      <c r="L9" s="1315"/>
      <c r="M9" s="1316"/>
      <c r="N9" s="820">
        <f>J9/(G9+J9)</f>
        <v>0</v>
      </c>
      <c r="O9" s="1308" t="str">
        <f>'102'!U22</f>
        <v>19:59最後一支交接班</v>
      </c>
      <c r="P9" s="1309"/>
      <c r="Q9" s="1309"/>
      <c r="R9" s="1310"/>
      <c r="S9" s="878" t="str">
        <f>'102'!V22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1.88</v>
      </c>
      <c r="E10" s="880">
        <v>715</v>
      </c>
      <c r="F10" s="880">
        <f>'102'!O23</f>
        <v>750</v>
      </c>
      <c r="G10" s="1327">
        <f>'102'!K23</f>
        <v>7028</v>
      </c>
      <c r="H10" s="1328"/>
      <c r="I10" s="1329"/>
      <c r="J10" s="423">
        <f>'102'!L23</f>
        <v>0</v>
      </c>
      <c r="K10" s="1314">
        <f>'102'!P23</f>
        <v>0.78088888888888885</v>
      </c>
      <c r="L10" s="1315"/>
      <c r="M10" s="1316"/>
      <c r="N10" s="820">
        <f>J10/(G10+J10)</f>
        <v>0</v>
      </c>
      <c r="O10" s="1308" t="str">
        <f>'102'!U23</f>
        <v>07:30最後一支交接班</v>
      </c>
      <c r="P10" s="1309"/>
      <c r="Q10" s="1309"/>
      <c r="R10" s="1310"/>
      <c r="S10" s="878" t="str">
        <f>'102'!V23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42</v>
      </c>
      <c r="D11" s="851">
        <v>0.25</v>
      </c>
      <c r="E11" s="815">
        <v>840</v>
      </c>
      <c r="F11" s="815">
        <f>'103'!O27</f>
        <v>350</v>
      </c>
      <c r="G11" s="1311">
        <f>'103'!K27</f>
        <v>3823</v>
      </c>
      <c r="H11" s="1312"/>
      <c r="I11" s="1313"/>
      <c r="J11" s="814">
        <f>'103'!L27</f>
        <v>0</v>
      </c>
      <c r="K11" s="1314">
        <f>'103'!P27</f>
        <v>0.91023809523809529</v>
      </c>
      <c r="L11" s="1315"/>
      <c r="M11" s="1316"/>
      <c r="N11" s="820">
        <f>J11/(G11+J11)</f>
        <v>0</v>
      </c>
      <c r="O11" s="1308" t="str">
        <f>'103'!U27</f>
        <v>19:02最後一支交接班</v>
      </c>
      <c r="P11" s="1309"/>
      <c r="Q11" s="1309"/>
      <c r="R11" s="1310"/>
      <c r="S11" s="822" t="str">
        <f>'103'!V27</f>
        <v>史豐銘</v>
      </c>
    </row>
    <row r="12" spans="1:23" ht="17.25" customHeight="1">
      <c r="A12" s="1326"/>
      <c r="B12" s="881" t="s">
        <v>207</v>
      </c>
      <c r="C12" s="422" t="s">
        <v>42</v>
      </c>
      <c r="D12" s="421">
        <v>0.25</v>
      </c>
      <c r="E12" s="880">
        <v>840</v>
      </c>
      <c r="F12" s="880">
        <f>'103'!O28</f>
        <v>350</v>
      </c>
      <c r="G12" s="1327">
        <f>'103'!K28</f>
        <v>842</v>
      </c>
      <c r="H12" s="1328"/>
      <c r="I12" s="1329"/>
      <c r="J12" s="423">
        <f>'103'!L28</f>
        <v>0</v>
      </c>
      <c r="K12" s="1314">
        <f>'103'!P28</f>
        <v>0.20047619047619047</v>
      </c>
      <c r="L12" s="1315"/>
      <c r="M12" s="1316"/>
      <c r="N12" s="820">
        <f>J12/(G12+J12)</f>
        <v>0</v>
      </c>
      <c r="O12" s="1308" t="str">
        <f>'103'!U28</f>
        <v>21:20最後一支計畫性停機,人員安排支援106機台</v>
      </c>
      <c r="P12" s="1309"/>
      <c r="Q12" s="1309"/>
      <c r="R12" s="1310"/>
      <c r="S12" s="822" t="str">
        <f>'103'!V28</f>
        <v>阮宏山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1.55</v>
      </c>
      <c r="E17" s="815">
        <v>805</v>
      </c>
      <c r="F17" s="815">
        <f>'106'!O25</f>
        <v>1185</v>
      </c>
      <c r="G17" s="1311">
        <f>'106'!K25</f>
        <v>13117</v>
      </c>
      <c r="H17" s="1312"/>
      <c r="I17" s="1313"/>
      <c r="J17" s="814">
        <f>'106'!L25</f>
        <v>0</v>
      </c>
      <c r="K17" s="1330">
        <f>'106'!P25</f>
        <v>0.92243319268635726</v>
      </c>
      <c r="L17" s="1331"/>
      <c r="M17" s="1332"/>
      <c r="N17" s="871">
        <f>J17/(G17+J17)</f>
        <v>0</v>
      </c>
      <c r="O17" s="1364" t="str">
        <f>'106'!U25</f>
        <v>19:36最後一支交接班</v>
      </c>
      <c r="P17" s="1365"/>
      <c r="Q17" s="1365"/>
      <c r="R17" s="1366"/>
      <c r="S17" s="822" t="str">
        <f>'106'!V25</f>
        <v>黎文中.林子維</v>
      </c>
    </row>
    <row r="18" spans="1:19" ht="36" customHeight="1">
      <c r="A18" s="1562"/>
      <c r="B18" s="881" t="s">
        <v>43</v>
      </c>
      <c r="C18" s="422" t="s">
        <v>42</v>
      </c>
      <c r="D18" s="421">
        <v>1.55</v>
      </c>
      <c r="E18" s="880">
        <v>805</v>
      </c>
      <c r="F18" s="880">
        <f>'106'!O26</f>
        <v>1185</v>
      </c>
      <c r="G18" s="1327">
        <f>'106'!K26</f>
        <v>14208</v>
      </c>
      <c r="H18" s="1328"/>
      <c r="I18" s="1329"/>
      <c r="J18" s="423">
        <f>'106'!L26</f>
        <v>0</v>
      </c>
      <c r="K18" s="1330">
        <f>'106'!P26</f>
        <v>0.99915611814345995</v>
      </c>
      <c r="L18" s="1331"/>
      <c r="M18" s="1332"/>
      <c r="N18" s="871">
        <f>J18/(G18+J18)</f>
        <v>0</v>
      </c>
      <c r="O18" s="1364" t="str">
        <f>'106'!U26</f>
        <v>07:46最後一支交接班</v>
      </c>
      <c r="P18" s="1365"/>
      <c r="Q18" s="1365"/>
      <c r="R18" s="1366"/>
      <c r="S18" s="822" t="str">
        <f>'106'!V26</f>
        <v>黃隨貴
阮宏山(21:20-08:00)</v>
      </c>
    </row>
    <row r="19" spans="1:19" ht="17.25" customHeight="1">
      <c r="A19" s="1362" t="s">
        <v>418</v>
      </c>
      <c r="B19" s="84" t="s">
        <v>205</v>
      </c>
      <c r="C19" s="850" t="s">
        <v>44</v>
      </c>
      <c r="D19" s="851">
        <v>0.36</v>
      </c>
      <c r="E19" s="815">
        <v>850</v>
      </c>
      <c r="F19" s="815">
        <f>'107'!O27</f>
        <v>450</v>
      </c>
      <c r="G19" s="1311">
        <f>'107'!K27</f>
        <v>5531</v>
      </c>
      <c r="H19" s="1312"/>
      <c r="I19" s="1313"/>
      <c r="J19" s="814">
        <f>'107'!L27</f>
        <v>0</v>
      </c>
      <c r="K19" s="1314">
        <f>'107'!P27</f>
        <v>1.0242592592592592</v>
      </c>
      <c r="L19" s="1315"/>
      <c r="M19" s="1316"/>
      <c r="N19" s="871">
        <f>J19/(G19+J19)</f>
        <v>0</v>
      </c>
      <c r="O19" s="1364" t="str">
        <f>'107'!U27</f>
        <v>19:37最後一支交接班</v>
      </c>
      <c r="P19" s="1365"/>
      <c r="Q19" s="1365"/>
      <c r="R19" s="1366"/>
      <c r="S19" s="822" t="str">
        <f>'107'!V27</f>
        <v>潘文銅</v>
      </c>
    </row>
    <row r="20" spans="1:19" ht="17.25" customHeight="1">
      <c r="A20" s="1363"/>
      <c r="B20" s="881" t="s">
        <v>43</v>
      </c>
      <c r="C20" s="422" t="s">
        <v>44</v>
      </c>
      <c r="D20" s="421">
        <v>0.36</v>
      </c>
      <c r="E20" s="880">
        <v>850</v>
      </c>
      <c r="F20" s="880">
        <f>'107'!O28</f>
        <v>450</v>
      </c>
      <c r="G20" s="1327">
        <f>'107'!K28</f>
        <v>5038</v>
      </c>
      <c r="H20" s="1328"/>
      <c r="I20" s="1329"/>
      <c r="J20" s="423">
        <f>'107'!L28</f>
        <v>0</v>
      </c>
      <c r="K20" s="1314">
        <f>'107'!P28</f>
        <v>0.93296296296296299</v>
      </c>
      <c r="L20" s="1315"/>
      <c r="M20" s="1316"/>
      <c r="N20" s="871">
        <f>J20/(G20+J20)</f>
        <v>0</v>
      </c>
      <c r="O20" s="1367" t="str">
        <f>'107'!U28</f>
        <v>07:20最後一支交接班</v>
      </c>
      <c r="P20" s="1368"/>
      <c r="Q20" s="1368"/>
      <c r="R20" s="1369"/>
      <c r="S20" s="822" t="str">
        <f>'107'!V28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57625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57625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s">
        <v>633</v>
      </c>
      <c r="D48" s="1427"/>
      <c r="E48" s="1427"/>
      <c r="F48" s="827"/>
      <c r="G48" s="828"/>
      <c r="H48" s="815"/>
      <c r="I48" s="827"/>
      <c r="J48" s="828"/>
      <c r="K48" s="828"/>
      <c r="L48" s="828"/>
      <c r="M48" s="661"/>
      <c r="N48" s="662"/>
      <c r="O48" s="1361"/>
      <c r="P48" s="1361"/>
      <c r="Q48" s="1361"/>
      <c r="R48" s="1361"/>
      <c r="S48" s="822"/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s">
        <v>633</v>
      </c>
      <c r="D49" s="1360"/>
      <c r="E49" s="1360"/>
      <c r="F49" s="418"/>
      <c r="G49" s="660"/>
      <c r="H49" s="880"/>
      <c r="I49" s="418"/>
      <c r="J49" s="660"/>
      <c r="K49" s="660"/>
      <c r="L49" s="660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26" t="s">
        <v>22</v>
      </c>
      <c r="B50" s="84" t="s">
        <v>0</v>
      </c>
      <c r="C50" s="1427" t="e">
        <f>#REF!</f>
        <v>#REF!</v>
      </c>
      <c r="D50" s="1427"/>
      <c r="E50" s="1427"/>
      <c r="F50" s="827" t="s">
        <v>962</v>
      </c>
      <c r="G50" s="852" t="e">
        <f>#REF!</f>
        <v>#REF!</v>
      </c>
      <c r="H50" s="815"/>
      <c r="I50" s="827">
        <v>3</v>
      </c>
      <c r="J50" s="852" t="e">
        <f>#REF!</f>
        <v>#REF!</v>
      </c>
      <c r="K50" s="885" t="e">
        <f>#REF!</f>
        <v>#REF!</v>
      </c>
      <c r="L50" s="885" t="e">
        <f>#REF!</f>
        <v>#REF!</v>
      </c>
      <c r="M50" s="863" t="e">
        <f>#REF!</f>
        <v>#REF!</v>
      </c>
      <c r="N50" s="415" t="e">
        <f>#REF!</f>
        <v>#REF!</v>
      </c>
      <c r="O50" s="1364" t="e">
        <f>#REF!</f>
        <v>#REF!</v>
      </c>
      <c r="P50" s="1365"/>
      <c r="Q50" s="1365"/>
      <c r="R50" s="1366"/>
      <c r="S50" s="821" t="e">
        <f>#REF!</f>
        <v>#REF!</v>
      </c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962</v>
      </c>
      <c r="G51" s="840" t="e">
        <f>#REF!</f>
        <v>#REF!</v>
      </c>
      <c r="H51" s="880"/>
      <c r="I51" s="418">
        <v>2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35.2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964</v>
      </c>
      <c r="G52" s="828" t="e">
        <f>#REF!</f>
        <v>#REF!</v>
      </c>
      <c r="H52" s="815"/>
      <c r="I52" s="827">
        <v>3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51.75" customHeight="1">
      <c r="A53" s="1563"/>
      <c r="B53" s="381" t="s">
        <v>43</v>
      </c>
      <c r="C53" s="1360" t="e">
        <f>#REF!</f>
        <v>#REF!</v>
      </c>
      <c r="D53" s="1360"/>
      <c r="E53" s="1360"/>
      <c r="F53" s="418" t="s">
        <v>964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260" t="s">
        <v>634</v>
      </c>
      <c r="B56" s="84" t="s">
        <v>0</v>
      </c>
      <c r="C56" s="1427" t="e">
        <f>#REF!</f>
        <v>#REF!</v>
      </c>
      <c r="D56" s="1427"/>
      <c r="E56" s="1427"/>
      <c r="F56" s="827" t="s">
        <v>775</v>
      </c>
      <c r="G56" s="828" t="e">
        <f>#REF!</f>
        <v>#REF!</v>
      </c>
      <c r="H56" s="815"/>
      <c r="I56" s="827">
        <v>5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16" t="e">
        <f>#REF!</f>
        <v>#REF!</v>
      </c>
      <c r="N56" s="817" t="e">
        <f>#REF!</f>
        <v>#REF!</v>
      </c>
      <c r="O56" s="1430" t="e">
        <f>#REF!</f>
        <v>#REF!</v>
      </c>
      <c r="P56" s="1431"/>
      <c r="Q56" s="1431"/>
      <c r="R56" s="1432"/>
      <c r="S56" s="822" t="e">
        <f>#REF!</f>
        <v>#REF!</v>
      </c>
    </row>
    <row r="57" spans="1:24" ht="17.25" customHeight="1">
      <c r="A57" s="1260"/>
      <c r="B57" s="381" t="s">
        <v>43</v>
      </c>
      <c r="C57" s="1360" t="e">
        <f>#REF!</f>
        <v>#REF!</v>
      </c>
      <c r="D57" s="1360"/>
      <c r="E57" s="1360"/>
      <c r="F57" s="418" t="s">
        <v>775</v>
      </c>
      <c r="G57" s="660" t="e">
        <f>#REF!</f>
        <v>#REF!</v>
      </c>
      <c r="H57" s="880"/>
      <c r="I57" s="418">
        <v>5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55"/>
    </row>
    <row r="59" spans="1:24" ht="17.25" customHeight="1">
      <c r="A59" s="1189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8"/>
      <c r="O59" s="1333"/>
      <c r="P59" s="1334"/>
      <c r="Q59" s="1334"/>
      <c r="R59" s="1335"/>
      <c r="S59" s="855"/>
    </row>
    <row r="60" spans="1:24" ht="17.25" customHeight="1">
      <c r="A60" s="1126" t="s">
        <v>635</v>
      </c>
      <c r="B60" s="84" t="s">
        <v>0</v>
      </c>
      <c r="C60" s="1427" t="e">
        <f>#REF!</f>
        <v>#REF!</v>
      </c>
      <c r="D60" s="1427"/>
      <c r="E60" s="1427"/>
      <c r="F60" s="827" t="s">
        <v>703</v>
      </c>
      <c r="G60" s="828" t="e">
        <f>#REF!</f>
        <v>#REF!</v>
      </c>
      <c r="H60" s="815"/>
      <c r="I60" s="827">
        <v>4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6" t="e">
        <f>#REF!</f>
        <v>#REF!</v>
      </c>
      <c r="P60" s="1436"/>
      <c r="Q60" s="1436"/>
      <c r="R60" s="1436"/>
      <c r="S60" s="848" t="e">
        <f>#REF!</f>
        <v>#REF!</v>
      </c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26" t="s">
        <v>636</v>
      </c>
      <c r="B62" s="84" t="s">
        <v>0</v>
      </c>
      <c r="C62" s="1427" t="e">
        <f>#REF!</f>
        <v>#REF!</v>
      </c>
      <c r="D62" s="1427"/>
      <c r="E62" s="1427"/>
      <c r="F62" s="827" t="s">
        <v>944</v>
      </c>
      <c r="G62" s="828" t="e">
        <f>#REF!</f>
        <v>#REF!</v>
      </c>
      <c r="H62" s="815"/>
      <c r="I62" s="827">
        <v>4</v>
      </c>
      <c r="J62" s="828" t="e">
        <f>#REF!</f>
        <v>#REF!</v>
      </c>
      <c r="K62" s="828" t="e">
        <f>#REF!</f>
        <v>#REF!</v>
      </c>
      <c r="L62" s="828" t="e">
        <f>#REF!</f>
        <v>#REF!</v>
      </c>
      <c r="M62" s="816" t="e">
        <f>#REF!</f>
        <v>#REF!</v>
      </c>
      <c r="N62" s="817" t="e">
        <f>#REF!</f>
        <v>#REF!</v>
      </c>
      <c r="O62" s="1436" t="e">
        <f>#REF!</f>
        <v>#REF!</v>
      </c>
      <c r="P62" s="1436"/>
      <c r="Q62" s="1436"/>
      <c r="R62" s="1436"/>
      <c r="S62" s="848" t="e">
        <f>#REF!</f>
        <v>#REF!</v>
      </c>
    </row>
    <row r="63" spans="1:24" ht="17.25" customHeight="1">
      <c r="A63" s="1127"/>
      <c r="B63" s="381" t="s">
        <v>43</v>
      </c>
      <c r="C63" s="1360" t="e">
        <f>#REF!</f>
        <v>#REF!</v>
      </c>
      <c r="D63" s="1360"/>
      <c r="E63" s="1360"/>
      <c r="F63" s="418" t="s">
        <v>944</v>
      </c>
      <c r="G63" s="660" t="e">
        <f>#REF!</f>
        <v>#REF!</v>
      </c>
      <c r="H63" s="880"/>
      <c r="I63" s="418">
        <v>4</v>
      </c>
      <c r="J63" s="660" t="e">
        <f>#REF!</f>
        <v>#REF!</v>
      </c>
      <c r="K63" s="660" t="e">
        <f>#REF!</f>
        <v>#REF!</v>
      </c>
      <c r="L63" s="660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21" t="e">
        <f>#REF!</f>
        <v>#REF!</v>
      </c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17.25" customHeight="1">
      <c r="A65" s="1568" t="s">
        <v>25</v>
      </c>
      <c r="B65" s="84" t="s">
        <v>0</v>
      </c>
      <c r="C65" s="1427" t="s">
        <v>633</v>
      </c>
      <c r="D65" s="1427"/>
      <c r="E65" s="1427"/>
      <c r="F65" s="827"/>
      <c r="G65" s="828"/>
      <c r="H65" s="815"/>
      <c r="I65" s="827"/>
      <c r="J65" s="828"/>
      <c r="K65" s="828"/>
      <c r="L65" s="828"/>
      <c r="M65" s="659"/>
      <c r="N65" s="415"/>
      <c r="O65" s="1437"/>
      <c r="P65" s="1438"/>
      <c r="Q65" s="1438"/>
      <c r="R65" s="1439"/>
      <c r="S65" s="876"/>
    </row>
    <row r="66" spans="1:79" ht="17.25" customHeight="1">
      <c r="A66" s="1570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659"/>
      <c r="N66" s="415"/>
      <c r="O66" s="1554"/>
      <c r="P66" s="1555"/>
      <c r="Q66" s="1555"/>
      <c r="R66" s="1556"/>
      <c r="S66" s="891"/>
    </row>
    <row r="67" spans="1:79" ht="33.75" customHeight="1">
      <c r="A67" s="1126" t="s">
        <v>62</v>
      </c>
      <c r="B67" s="84" t="s">
        <v>0</v>
      </c>
      <c r="C67" s="1427" t="e">
        <f>#REF!</f>
        <v>#REF!</v>
      </c>
      <c r="D67" s="1427"/>
      <c r="E67" s="1427"/>
      <c r="F67" s="827" t="s">
        <v>965</v>
      </c>
      <c r="G67" s="828" t="e">
        <f>#REF!</f>
        <v>#REF!</v>
      </c>
      <c r="H67" s="815"/>
      <c r="I67" s="827">
        <v>3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76" t="e">
        <f>#REF!</f>
        <v>#REF!</v>
      </c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36" customHeight="1">
      <c r="A68" s="1127"/>
      <c r="B68" s="381" t="s">
        <v>43</v>
      </c>
      <c r="C68" s="1360" t="e">
        <f>#REF!</f>
        <v>#REF!</v>
      </c>
      <c r="D68" s="1360"/>
      <c r="E68" s="1360"/>
      <c r="F68" s="418" t="s">
        <v>966</v>
      </c>
      <c r="G68" s="660" t="e">
        <f>#REF!</f>
        <v>#REF!</v>
      </c>
      <c r="H68" s="880"/>
      <c r="I68" s="418">
        <v>3</v>
      </c>
      <c r="J68" s="660" t="e">
        <f>#REF!</f>
        <v>#REF!</v>
      </c>
      <c r="K68" s="660" t="e">
        <f>#REF!</f>
        <v>#REF!</v>
      </c>
      <c r="L68" s="660" t="e">
        <f>#REF!</f>
        <v>#REF!</v>
      </c>
      <c r="M68" s="659" t="e">
        <f>#REF!</f>
        <v>#REF!</v>
      </c>
      <c r="N68" s="415" t="e">
        <f>#REF!</f>
        <v>#REF!</v>
      </c>
      <c r="O68" s="1549" t="e">
        <f>#REF!</f>
        <v>#REF!</v>
      </c>
      <c r="P68" s="1550"/>
      <c r="Q68" s="1550"/>
      <c r="R68" s="1551"/>
      <c r="S68" s="876" t="e">
        <f>#REF!</f>
        <v>#REF!</v>
      </c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72" customHeight="1">
      <c r="A69" s="1126" t="s">
        <v>640</v>
      </c>
      <c r="B69" s="84" t="s">
        <v>0</v>
      </c>
      <c r="C69" s="1427" t="e">
        <f>#REF!</f>
        <v>#REF!</v>
      </c>
      <c r="D69" s="1427"/>
      <c r="E69" s="1427"/>
      <c r="F69" s="827" t="s">
        <v>948</v>
      </c>
      <c r="G69" s="828" t="e">
        <f>#REF!</f>
        <v>#REF!</v>
      </c>
      <c r="H69" s="815"/>
      <c r="I69" s="827">
        <v>3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658" t="e">
        <f>#REF!</f>
        <v>#REF!</v>
      </c>
      <c r="O69" s="1437" t="e">
        <f>#REF!</f>
        <v>#REF!</v>
      </c>
      <c r="P69" s="1438"/>
      <c r="Q69" s="1438"/>
      <c r="R69" s="1439"/>
      <c r="S69" s="823" t="e">
        <f>#REF!</f>
        <v>#REF!</v>
      </c>
    </row>
    <row r="70" spans="1:79" ht="17.25" customHeight="1">
      <c r="A70" s="1127"/>
      <c r="B70" s="881" t="s">
        <v>43</v>
      </c>
      <c r="C70" s="1360" t="e">
        <f>#REF!</f>
        <v>#REF!</v>
      </c>
      <c r="D70" s="1360"/>
      <c r="E70" s="1360"/>
      <c r="F70" s="418" t="s">
        <v>948</v>
      </c>
      <c r="G70" s="660" t="e">
        <f>#REF!</f>
        <v>#REF!</v>
      </c>
      <c r="H70" s="880"/>
      <c r="I70" s="418">
        <v>4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17.25" customHeight="1">
      <c r="A71" s="1440" t="s">
        <v>26</v>
      </c>
      <c r="B71" s="84" t="s">
        <v>0</v>
      </c>
      <c r="C71" s="1427" t="e">
        <f>#REF!</f>
        <v>#REF!</v>
      </c>
      <c r="D71" s="1427"/>
      <c r="E71" s="1427"/>
      <c r="F71" s="827" t="s">
        <v>732</v>
      </c>
      <c r="G71" s="828" t="e">
        <f>#REF!</f>
        <v>#REF!</v>
      </c>
      <c r="H71" s="815"/>
      <c r="I71" s="827">
        <v>4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842" t="e">
        <f>#REF!</f>
        <v>#REF!</v>
      </c>
      <c r="N71" s="415" t="e">
        <f>#REF!</f>
        <v>#REF!</v>
      </c>
      <c r="O71" s="1442" t="e">
        <f>#REF!</f>
        <v>#REF!</v>
      </c>
      <c r="P71" s="1443"/>
      <c r="Q71" s="1443"/>
      <c r="R71" s="1444"/>
      <c r="S71" s="822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441"/>
      <c r="B72" s="881" t="s">
        <v>43</v>
      </c>
      <c r="C72" s="1360" t="e">
        <f>#REF!</f>
        <v>#REF!</v>
      </c>
      <c r="D72" s="1360"/>
      <c r="E72" s="1360"/>
      <c r="F72" s="418" t="s">
        <v>732</v>
      </c>
      <c r="G72" s="660" t="e">
        <f>#REF!</f>
        <v>#REF!</v>
      </c>
      <c r="H72" s="880"/>
      <c r="I72" s="418">
        <v>4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52.5" customHeight="1">
      <c r="A73" s="1440" t="s">
        <v>27</v>
      </c>
      <c r="B73" s="841" t="s">
        <v>0</v>
      </c>
      <c r="C73" s="1427" t="e">
        <f>#REF!</f>
        <v>#REF!</v>
      </c>
      <c r="D73" s="1427"/>
      <c r="E73" s="1427"/>
      <c r="F73" s="827" t="s">
        <v>734</v>
      </c>
      <c r="G73" s="828" t="e">
        <f>#REF!</f>
        <v>#REF!</v>
      </c>
      <c r="H73" s="815"/>
      <c r="I73" s="827">
        <v>3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1"/>
      <c r="B74" s="881" t="s">
        <v>43</v>
      </c>
      <c r="C74" s="1360" t="e">
        <f>#REF!</f>
        <v>#REF!</v>
      </c>
      <c r="D74" s="1360"/>
      <c r="E74" s="1360"/>
      <c r="F74" s="418" t="s">
        <v>734</v>
      </c>
      <c r="G74" s="660" t="e">
        <f>#REF!</f>
        <v>#REF!</v>
      </c>
      <c r="H74" s="880"/>
      <c r="I74" s="418">
        <v>4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641</v>
      </c>
      <c r="B75" s="84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659"/>
      <c r="N75" s="415"/>
      <c r="O75" s="1437"/>
      <c r="P75" s="1438"/>
      <c r="Q75" s="1438"/>
      <c r="R75" s="1439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1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126" t="s">
        <v>642</v>
      </c>
      <c r="B77" s="84" t="s">
        <v>0</v>
      </c>
      <c r="C77" s="1427" t="e">
        <f>#REF!</f>
        <v>#REF!</v>
      </c>
      <c r="D77" s="1427"/>
      <c r="E77" s="1427"/>
      <c r="F77" s="827" t="s">
        <v>901</v>
      </c>
      <c r="G77" s="828" t="e">
        <f>#REF!</f>
        <v>#REF!</v>
      </c>
      <c r="H77" s="815"/>
      <c r="I77" s="827">
        <v>0</v>
      </c>
      <c r="J77" s="828" t="e">
        <f>#REF!</f>
        <v>#REF!</v>
      </c>
      <c r="K77" s="828" t="e">
        <f>#REF!</f>
        <v>#REF!</v>
      </c>
      <c r="L77" s="828" t="e">
        <f>#REF!</f>
        <v>#REF!</v>
      </c>
      <c r="M77" s="816" t="e">
        <f>#REF!</f>
        <v>#REF!</v>
      </c>
      <c r="N77" s="415" t="e">
        <f>#REF!</f>
        <v>#REF!</v>
      </c>
      <c r="O77" s="1437"/>
      <c r="P77" s="1438"/>
      <c r="Q77" s="1438"/>
      <c r="R77" s="1439"/>
      <c r="S77" s="823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68.25" customHeight="1">
      <c r="A78" s="1189"/>
      <c r="B78" s="881" t="s">
        <v>43</v>
      </c>
      <c r="C78" s="1360" t="e">
        <f>#REF!</f>
        <v>#REF!</v>
      </c>
      <c r="D78" s="1360"/>
      <c r="E78" s="1360"/>
      <c r="F78" s="418" t="s">
        <v>901</v>
      </c>
      <c r="G78" s="660" t="e">
        <f>#REF!</f>
        <v>#REF!</v>
      </c>
      <c r="H78" s="880"/>
      <c r="I78" s="418">
        <v>0</v>
      </c>
      <c r="J78" s="660" t="e">
        <f>#REF!</f>
        <v>#REF!</v>
      </c>
      <c r="K78" s="660" t="e">
        <f>#REF!</f>
        <v>#REF!</v>
      </c>
      <c r="L78" s="660" t="e">
        <f>#REF!</f>
        <v>#REF!</v>
      </c>
      <c r="M78" s="816" t="e">
        <f>#REF!</f>
        <v>#REF!</v>
      </c>
      <c r="N78" s="415" t="e">
        <f>#REF!</f>
        <v>#REF!</v>
      </c>
      <c r="O78" s="1437" t="e">
        <f>#REF!</f>
        <v>#REF!</v>
      </c>
      <c r="P78" s="1438"/>
      <c r="Q78" s="1438"/>
      <c r="R78" s="1439"/>
      <c r="S78" s="823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260" t="s">
        <v>643</v>
      </c>
      <c r="B79" s="84" t="s">
        <v>0</v>
      </c>
      <c r="C79" s="1427" t="e">
        <f>#REF!</f>
        <v>#REF!</v>
      </c>
      <c r="D79" s="1427"/>
      <c r="E79" s="1427"/>
      <c r="F79" s="827" t="s">
        <v>735</v>
      </c>
      <c r="G79" s="828" t="e">
        <f>#REF!</f>
        <v>#REF!</v>
      </c>
      <c r="H79" s="815"/>
      <c r="I79" s="827">
        <v>11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659" t="e">
        <f>#REF!</f>
        <v>#REF!</v>
      </c>
      <c r="N79" s="415" t="e">
        <f>#REF!</f>
        <v>#REF!</v>
      </c>
      <c r="O79" s="1437"/>
      <c r="P79" s="1438"/>
      <c r="Q79" s="1438"/>
      <c r="R79" s="1439"/>
      <c r="S79" s="848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260"/>
      <c r="B80" s="881" t="s">
        <v>43</v>
      </c>
      <c r="C80" s="1360" t="e">
        <f>#REF!</f>
        <v>#REF!</v>
      </c>
      <c r="D80" s="1360"/>
      <c r="E80" s="1360"/>
      <c r="F80" s="418" t="s">
        <v>735</v>
      </c>
      <c r="G80" s="660" t="e">
        <f>#REF!</f>
        <v>#REF!</v>
      </c>
      <c r="H80" s="880"/>
      <c r="I80" s="418">
        <v>11</v>
      </c>
      <c r="J80" s="660" t="e">
        <f>#REF!</f>
        <v>#REF!</v>
      </c>
      <c r="K80" s="660" t="e">
        <f>#REF!</f>
        <v>#REF!</v>
      </c>
      <c r="L80" s="660" t="e">
        <f>#REF!</f>
        <v>#REF!</v>
      </c>
      <c r="M80" s="659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48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260" t="s">
        <v>651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437"/>
      <c r="P81" s="1438"/>
      <c r="Q81" s="1438"/>
      <c r="R81" s="1439"/>
      <c r="S81" s="82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260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437"/>
      <c r="P82" s="1438"/>
      <c r="Q82" s="1438"/>
      <c r="R82" s="1439"/>
      <c r="S82" s="823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837"/>
      <c r="B83" s="841"/>
      <c r="C83" s="882"/>
      <c r="D83" s="883"/>
      <c r="E83" s="883"/>
      <c r="F83" s="845"/>
      <c r="G83" s="846"/>
      <c r="H83" s="815"/>
      <c r="I83" s="827"/>
      <c r="J83" s="834" t="s">
        <v>666</v>
      </c>
      <c r="K83" s="847" t="e">
        <f>SUM(K65:K82)</f>
        <v>#REF!</v>
      </c>
      <c r="L83" s="829"/>
      <c r="M83" s="659"/>
      <c r="N83" s="415"/>
      <c r="O83" s="1437"/>
      <c r="P83" s="1438"/>
      <c r="Q83" s="1438"/>
      <c r="R83" s="1439"/>
      <c r="S83" s="862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s="76" customFormat="1" ht="39" customHeight="1">
      <c r="A84" s="400" t="s">
        <v>63</v>
      </c>
      <c r="B84" s="400" t="s">
        <v>193</v>
      </c>
      <c r="C84" s="1445" t="s">
        <v>11</v>
      </c>
      <c r="D84" s="1446"/>
      <c r="E84" s="1446"/>
      <c r="F84" s="1446"/>
      <c r="G84" s="1447"/>
      <c r="H84" s="242" t="s">
        <v>216</v>
      </c>
      <c r="I84" s="242" t="s">
        <v>12</v>
      </c>
      <c r="J84" s="242" t="s">
        <v>13</v>
      </c>
      <c r="K84" s="405" t="s">
        <v>218</v>
      </c>
      <c r="L84" s="416" t="s">
        <v>60</v>
      </c>
      <c r="M84" s="257" t="s">
        <v>28</v>
      </c>
      <c r="N84" s="257" t="s">
        <v>45</v>
      </c>
      <c r="O84" s="1448" t="s">
        <v>29</v>
      </c>
      <c r="P84" s="1449"/>
      <c r="Q84" s="1449"/>
      <c r="R84" s="1450"/>
      <c r="S84" s="417" t="s">
        <v>57</v>
      </c>
    </row>
    <row r="85" spans="1:79" ht="18" customHeight="1">
      <c r="A85" s="1199">
        <v>401</v>
      </c>
      <c r="B85" s="84" t="s">
        <v>0</v>
      </c>
      <c r="C85" s="1290" t="s">
        <v>968</v>
      </c>
      <c r="D85" s="1290"/>
      <c r="E85" s="1290"/>
      <c r="F85" s="1290"/>
      <c r="G85" s="1290"/>
      <c r="H85" s="849"/>
      <c r="I85" s="849"/>
      <c r="J85" s="852"/>
      <c r="K85" s="872"/>
      <c r="L85" s="873"/>
      <c r="M85" s="852"/>
      <c r="N85" s="853"/>
      <c r="O85" s="1451"/>
      <c r="P85" s="1452"/>
      <c r="Q85" s="1452"/>
      <c r="R85" s="1453"/>
      <c r="S85" s="874"/>
    </row>
    <row r="86" spans="1:79" ht="18" customHeight="1">
      <c r="A86" s="1165"/>
      <c r="B86" s="881" t="s">
        <v>43</v>
      </c>
      <c r="C86" s="1454" t="s">
        <v>633</v>
      </c>
      <c r="D86" s="1454"/>
      <c r="E86" s="1454"/>
      <c r="F86" s="1454"/>
      <c r="G86" s="1454"/>
      <c r="H86" s="664"/>
      <c r="I86" s="664"/>
      <c r="J86" s="840"/>
      <c r="K86" s="424"/>
      <c r="L86" s="830"/>
      <c r="M86" s="840"/>
      <c r="N86" s="672"/>
      <c r="O86" s="1455"/>
      <c r="P86" s="1456"/>
      <c r="Q86" s="1456"/>
      <c r="R86" s="1457"/>
      <c r="S86" s="810"/>
    </row>
    <row r="87" spans="1:79" ht="18" customHeight="1">
      <c r="A87" s="1461">
        <v>402</v>
      </c>
      <c r="B87" s="84" t="s">
        <v>205</v>
      </c>
      <c r="C87" s="1290" t="e">
        <f>#REF!</f>
        <v>#REF!</v>
      </c>
      <c r="D87" s="1290"/>
      <c r="E87" s="1290"/>
      <c r="F87" s="1290"/>
      <c r="G87" s="1290"/>
      <c r="H87" s="849"/>
      <c r="I87" s="849" t="e">
        <f>#REF!</f>
        <v>#REF!</v>
      </c>
      <c r="J87" s="852" t="e">
        <f>#REF!</f>
        <v>#REF!</v>
      </c>
      <c r="K87" s="872" t="e">
        <f>#REF!</f>
        <v>#REF!</v>
      </c>
      <c r="L87" s="873" t="e">
        <f>#REF!</f>
        <v>#REF!</v>
      </c>
      <c r="M87" s="852" t="e">
        <f>#REF!</f>
        <v>#REF!</v>
      </c>
      <c r="N87" s="853" t="e">
        <f>#REF!</f>
        <v>#REF!</v>
      </c>
      <c r="O87" s="1451"/>
      <c r="P87" s="1452"/>
      <c r="Q87" s="1452"/>
      <c r="R87" s="1453"/>
      <c r="S87" s="874" t="e">
        <f>#REF!</f>
        <v>#REF!</v>
      </c>
    </row>
    <row r="88" spans="1:79" ht="18" customHeight="1">
      <c r="A88" s="1462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7.25" customHeight="1">
      <c r="A89" s="1466">
        <v>403</v>
      </c>
      <c r="B89" s="244" t="s">
        <v>0</v>
      </c>
      <c r="C89" s="1290" t="e">
        <f>#REF!</f>
        <v>#REF!</v>
      </c>
      <c r="D89" s="1290"/>
      <c r="E89" s="1290"/>
      <c r="F89" s="1290"/>
      <c r="G89" s="1290"/>
      <c r="H89" s="849"/>
      <c r="I89" s="849" t="e">
        <f>#REF!</f>
        <v>#REF!</v>
      </c>
      <c r="J89" s="852" t="e">
        <f>#REF!</f>
        <v>#REF!</v>
      </c>
      <c r="K89" s="872" t="e">
        <f>#REF!</f>
        <v>#REF!</v>
      </c>
      <c r="L89" s="852" t="e">
        <f>#REF!</f>
        <v>#REF!</v>
      </c>
      <c r="M89" s="852" t="e">
        <f>#REF!</f>
        <v>#REF!</v>
      </c>
      <c r="N89" s="853" t="e">
        <f>#REF!</f>
        <v>#REF!</v>
      </c>
      <c r="O89" s="1451"/>
      <c r="P89" s="1452"/>
      <c r="Q89" s="1452"/>
      <c r="R89" s="1453"/>
      <c r="S89" s="874" t="e">
        <f>#REF!</f>
        <v>#REF!</v>
      </c>
    </row>
    <row r="90" spans="1:79" ht="17.25" customHeight="1">
      <c r="A90" s="1467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4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199">
        <v>405</v>
      </c>
      <c r="B91" s="84" t="s">
        <v>0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52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216"/>
      <c r="B92" s="8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216"/>
      <c r="B93" s="8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8" customHeight="1">
      <c r="A94" s="1216"/>
      <c r="B94" s="8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8" customHeight="1">
      <c r="A95" s="1216"/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165"/>
      <c r="B96" s="881" t="s">
        <v>43</v>
      </c>
      <c r="C96" s="1454" t="s">
        <v>633</v>
      </c>
      <c r="D96" s="1454"/>
      <c r="E96" s="1454"/>
      <c r="F96" s="1454"/>
      <c r="G96" s="1454"/>
      <c r="H96" s="664"/>
      <c r="I96" s="664"/>
      <c r="J96" s="840"/>
      <c r="K96" s="424"/>
      <c r="L96" s="840"/>
      <c r="M96" s="840"/>
      <c r="N96" s="672"/>
      <c r="O96" s="1455"/>
      <c r="P96" s="1456"/>
      <c r="Q96" s="1456"/>
      <c r="R96" s="1457"/>
      <c r="S96" s="810"/>
    </row>
    <row r="97" spans="1:19" ht="18" customHeight="1">
      <c r="A97" s="314"/>
      <c r="B97" s="841"/>
      <c r="C97" s="1458"/>
      <c r="D97" s="1459"/>
      <c r="E97" s="1459"/>
      <c r="F97" s="1459"/>
      <c r="G97" s="1460"/>
      <c r="H97" s="849"/>
      <c r="I97" s="849"/>
      <c r="J97" s="834" t="s">
        <v>666</v>
      </c>
      <c r="K97" s="835" t="e">
        <f>SUM(K85:K96)</f>
        <v>#REF!</v>
      </c>
      <c r="L97" s="852"/>
      <c r="M97" s="852"/>
      <c r="N97" s="853"/>
      <c r="O97" s="886"/>
      <c r="P97" s="887"/>
      <c r="Q97" s="887"/>
      <c r="R97" s="888"/>
      <c r="S97" s="854"/>
    </row>
    <row r="98" spans="1:19" s="76" customFormat="1" ht="31.7" hidden="1" customHeight="1">
      <c r="A98" s="400" t="s">
        <v>425</v>
      </c>
      <c r="B98" s="400" t="s">
        <v>193</v>
      </c>
      <c r="C98" s="1282" t="e">
        <f>[1]印403!J91</f>
        <v>#REF!</v>
      </c>
      <c r="D98" s="1283"/>
      <c r="E98" s="1283"/>
      <c r="F98" s="1283"/>
      <c r="G98" s="1468"/>
      <c r="H98" s="242" t="s">
        <v>216</v>
      </c>
      <c r="I98" s="242" t="s">
        <v>12</v>
      </c>
      <c r="J98" s="242" t="s">
        <v>13</v>
      </c>
      <c r="K98" s="405" t="s">
        <v>218</v>
      </c>
      <c r="L98" s="427" t="s">
        <v>60</v>
      </c>
      <c r="M98" s="399" t="e">
        <f>[1]印403!O90</f>
        <v>#REF!</v>
      </c>
      <c r="N98" s="257" t="s">
        <v>45</v>
      </c>
      <c r="O98" s="1448" t="s">
        <v>29</v>
      </c>
      <c r="P98" s="1449"/>
      <c r="Q98" s="1449"/>
      <c r="R98" s="1450"/>
      <c r="S98" s="417" t="s">
        <v>57</v>
      </c>
    </row>
    <row r="99" spans="1:19" ht="15" hidden="1" customHeight="1">
      <c r="A99" s="1199" t="s">
        <v>426</v>
      </c>
      <c r="B99" s="84" t="s">
        <v>205</v>
      </c>
      <c r="C99" s="1282" t="e">
        <f>[1]印403!J92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[1]印403!O91</f>
        <v>#REF!</v>
      </c>
      <c r="N99" s="399"/>
      <c r="O99" s="1469"/>
      <c r="P99" s="1245"/>
      <c r="Q99" s="1245"/>
      <c r="R99" s="1246"/>
      <c r="S99" s="1470"/>
    </row>
    <row r="100" spans="1:19" ht="13.7" hidden="1" customHeight="1">
      <c r="A100" s="1216"/>
      <c r="B100" s="84" t="s">
        <v>205</v>
      </c>
      <c r="C100" s="1282" t="e">
        <f>[1]印403!J93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[1]印403!O92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[1]印403!J94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[1]印403!O93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[1]印403!J95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[1]印403!O94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[1]印403!J96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[1]印403!O95</f>
        <v>#REF!</v>
      </c>
      <c r="N103" s="425"/>
      <c r="O103" s="669"/>
      <c r="P103" s="670"/>
      <c r="Q103" s="670"/>
      <c r="R103" s="671"/>
      <c r="S103" s="1471"/>
    </row>
    <row r="104" spans="1:19" ht="16.5" hidden="1" customHeight="1">
      <c r="A104" s="1216"/>
      <c r="B104" s="881" t="s">
        <v>43</v>
      </c>
      <c r="C104" s="1282" t="e">
        <f>[1]印403!J97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[1]印403!O96</f>
        <v>#REF!</v>
      </c>
      <c r="N104" s="672"/>
      <c r="O104" s="1476"/>
      <c r="P104" s="1477"/>
      <c r="Q104" s="1477"/>
      <c r="R104" s="1478"/>
      <c r="S104" s="1485"/>
    </row>
    <row r="105" spans="1:19" ht="15" hidden="1" customHeight="1">
      <c r="A105" s="1216"/>
      <c r="B105" s="881" t="s">
        <v>43</v>
      </c>
      <c r="C105" s="1282" t="e">
        <f>[1]印403!J98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[1]印403!O97</f>
        <v>#REF!</v>
      </c>
      <c r="N105" s="672"/>
      <c r="O105" s="1479"/>
      <c r="P105" s="1480"/>
      <c r="Q105" s="1480"/>
      <c r="R105" s="1481"/>
      <c r="S105" s="1485"/>
    </row>
    <row r="106" spans="1:19" ht="15" hidden="1" customHeight="1">
      <c r="A106" s="1216"/>
      <c r="B106" s="881" t="s">
        <v>43</v>
      </c>
      <c r="C106" s="1282" t="e">
        <f>[1]印403!J99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[1]印403!O98</f>
        <v>#REF!</v>
      </c>
      <c r="N106" s="672"/>
      <c r="O106" s="1479"/>
      <c r="P106" s="1480"/>
      <c r="Q106" s="1480"/>
      <c r="R106" s="1481"/>
      <c r="S106" s="1485"/>
    </row>
    <row r="107" spans="1:19" ht="15" hidden="1" customHeight="1">
      <c r="A107" s="1165"/>
      <c r="B107" s="881" t="s">
        <v>43</v>
      </c>
      <c r="C107" s="1282" t="e">
        <f>[1]印403!J100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[1]印403!O99</f>
        <v>#REF!</v>
      </c>
      <c r="N107" s="672"/>
      <c r="O107" s="1482"/>
      <c r="P107" s="1483"/>
      <c r="Q107" s="1483"/>
      <c r="R107" s="1484"/>
      <c r="S107" s="1486"/>
    </row>
    <row r="108" spans="1:19" ht="6" customHeight="1">
      <c r="A108" s="248"/>
      <c r="C108" s="249"/>
    </row>
    <row r="109" spans="1:19" ht="6" customHeight="1" thickBot="1">
      <c r="A109" s="248"/>
      <c r="C109" s="249"/>
    </row>
    <row r="110" spans="1:19" ht="15" customHeight="1" thickTop="1">
      <c r="A110" s="1472" t="s">
        <v>30</v>
      </c>
      <c r="B110" s="1473"/>
      <c r="C110" s="1473"/>
      <c r="D110" s="1473"/>
      <c r="E110" s="376">
        <v>614400</v>
      </c>
      <c r="F110" s="75" t="s">
        <v>64</v>
      </c>
      <c r="G110" s="1472" t="s">
        <v>31</v>
      </c>
      <c r="H110" s="1473"/>
      <c r="I110" s="1473"/>
      <c r="J110" s="1473"/>
      <c r="K110" s="1473"/>
      <c r="L110" s="377">
        <v>352000</v>
      </c>
      <c r="M110" s="75" t="s">
        <v>64</v>
      </c>
      <c r="N110" s="1472" t="s">
        <v>32</v>
      </c>
      <c r="O110" s="1473"/>
      <c r="P110" s="1473"/>
      <c r="Q110" s="377">
        <v>951000</v>
      </c>
      <c r="R110" s="75" t="s">
        <v>64</v>
      </c>
      <c r="S110" s="75"/>
    </row>
    <row r="111" spans="1:19" ht="15" customHeight="1" thickBot="1">
      <c r="A111" s="1474" t="s">
        <v>66</v>
      </c>
      <c r="B111" s="1475"/>
      <c r="C111" s="1475"/>
      <c r="D111" s="1475"/>
      <c r="E111" s="674">
        <v>0</v>
      </c>
      <c r="G111" s="1474" t="s">
        <v>66</v>
      </c>
      <c r="H111" s="1475"/>
      <c r="I111" s="1475"/>
      <c r="J111" s="1475"/>
      <c r="K111" s="1475"/>
      <c r="L111" s="674">
        <f>50*2000</f>
        <v>100000</v>
      </c>
      <c r="N111" s="1474" t="s">
        <v>33</v>
      </c>
      <c r="O111" s="1475"/>
      <c r="P111" s="1475"/>
      <c r="Q111" s="674">
        <f>166*1000</f>
        <v>166000</v>
      </c>
      <c r="R111" s="75"/>
      <c r="S111" s="75"/>
    </row>
    <row r="112" spans="1:19" ht="15" customHeight="1" thickTop="1" thickBot="1">
      <c r="A112" s="1487" t="s">
        <v>34</v>
      </c>
      <c r="B112" s="1488"/>
      <c r="C112" s="1488"/>
      <c r="D112" s="1488"/>
      <c r="E112" s="378">
        <f>E110+E111</f>
        <v>614400</v>
      </c>
      <c r="F112" s="75" t="s">
        <v>64</v>
      </c>
      <c r="G112" s="1487" t="s">
        <v>35</v>
      </c>
      <c r="H112" s="1488"/>
      <c r="I112" s="1488"/>
      <c r="J112" s="1488"/>
      <c r="K112" s="1488"/>
      <c r="L112" s="379">
        <f>L110+L111</f>
        <v>452000</v>
      </c>
      <c r="M112" s="75" t="s">
        <v>64</v>
      </c>
      <c r="N112" s="1487" t="s">
        <v>36</v>
      </c>
      <c r="O112" s="1488"/>
      <c r="P112" s="1488"/>
      <c r="Q112" s="379">
        <f>Q110+Q111</f>
        <v>1117000</v>
      </c>
      <c r="R112" s="75" t="s">
        <v>64</v>
      </c>
      <c r="S112" s="75"/>
    </row>
    <row r="113" spans="1:20" ht="15" customHeight="1" thickTop="1" thickBot="1">
      <c r="E113" s="252">
        <f>印401!M64</f>
        <v>0</v>
      </c>
      <c r="L113" s="675" t="e">
        <f>#REF!</f>
        <v>#REF!</v>
      </c>
      <c r="O113" s="75"/>
      <c r="P113" s="75"/>
      <c r="Q113" s="675" t="e">
        <f>#REF!</f>
        <v>#REF!</v>
      </c>
      <c r="R113" s="75"/>
      <c r="S113" s="75"/>
    </row>
    <row r="114" spans="1:20" ht="15" customHeight="1" thickBot="1">
      <c r="A114" s="676" t="s">
        <v>37</v>
      </c>
      <c r="B114" s="677"/>
      <c r="C114" s="677"/>
      <c r="D114" s="678"/>
      <c r="E114" s="253">
        <f>印401!P64</f>
        <v>0</v>
      </c>
      <c r="F114" s="75" t="s">
        <v>64</v>
      </c>
      <c r="G114" s="676" t="s">
        <v>38</v>
      </c>
      <c r="H114" s="677"/>
      <c r="I114" s="677"/>
      <c r="J114" s="677"/>
      <c r="K114" s="677"/>
      <c r="L114" s="384" t="e">
        <f>#REF!</f>
        <v>#REF!</v>
      </c>
      <c r="M114" s="75" t="s">
        <v>64</v>
      </c>
      <c r="N114" s="676" t="s">
        <v>39</v>
      </c>
      <c r="O114" s="677"/>
      <c r="P114" s="677"/>
      <c r="Q114" s="384" t="e">
        <f>#REF!</f>
        <v>#REF!</v>
      </c>
      <c r="R114" s="75" t="s">
        <v>64</v>
      </c>
      <c r="S114" s="75"/>
    </row>
    <row r="115" spans="1:20" ht="3" customHeight="1" thickBot="1">
      <c r="J115" s="255"/>
      <c r="K115" s="256"/>
    </row>
    <row r="116" spans="1:20" ht="15" customHeight="1" thickTop="1">
      <c r="B116" s="1509" t="s">
        <v>69</v>
      </c>
      <c r="C116" s="1510"/>
      <c r="D116" s="1511" t="s">
        <v>305</v>
      </c>
      <c r="E116" s="1512"/>
      <c r="F116" s="1489" t="s">
        <v>306</v>
      </c>
      <c r="G116" s="1490"/>
      <c r="H116" s="1491" t="s">
        <v>307</v>
      </c>
      <c r="I116" s="1492"/>
      <c r="J116" s="1492"/>
      <c r="K116" s="1493"/>
      <c r="L116" s="1472" t="s">
        <v>657</v>
      </c>
      <c r="M116" s="1473"/>
      <c r="N116" s="1473"/>
      <c r="O116" s="377">
        <v>1906000</v>
      </c>
      <c r="P116" s="75" t="s">
        <v>64</v>
      </c>
      <c r="Q116" s="1496" t="s">
        <v>65</v>
      </c>
      <c r="R116" s="1497"/>
      <c r="S116" s="385">
        <v>18939311</v>
      </c>
    </row>
    <row r="117" spans="1:20" ht="15" customHeight="1" thickBot="1">
      <c r="B117" s="1498" t="s">
        <v>308</v>
      </c>
      <c r="C117" s="1499"/>
      <c r="D117" s="1500" t="e">
        <f>總表!D20</f>
        <v>#REF!</v>
      </c>
      <c r="E117" s="1501"/>
      <c r="F117" s="1502">
        <f>總表!E20</f>
        <v>1316871</v>
      </c>
      <c r="G117" s="1503"/>
      <c r="H117" s="1504" t="e">
        <f>(D117-F117)/D117</f>
        <v>#REF!</v>
      </c>
      <c r="I117" s="1505"/>
      <c r="J117" s="1505"/>
      <c r="K117" s="1506"/>
      <c r="L117" s="1474" t="s">
        <v>33</v>
      </c>
      <c r="M117" s="1475"/>
      <c r="N117" s="1475"/>
      <c r="O117" s="674">
        <f>(28+30+75+30+18)*1000</f>
        <v>181000</v>
      </c>
      <c r="P117" s="75"/>
      <c r="Q117" s="1507" t="s">
        <v>67</v>
      </c>
      <c r="R117" s="1508"/>
      <c r="S117" s="386" t="e">
        <f>SUM(L48:L82,L85:L96)</f>
        <v>#REF!</v>
      </c>
    </row>
    <row r="118" spans="1:20" ht="15" customHeight="1" thickTop="1" thickBot="1">
      <c r="B118" s="1513" t="s">
        <v>309</v>
      </c>
      <c r="C118" s="1514"/>
      <c r="D118" s="1515" t="e">
        <f>總表!C43</f>
        <v>#REF!</v>
      </c>
      <c r="E118" s="1516"/>
      <c r="F118" s="1502" t="e">
        <f>總表!F43</f>
        <v>#REF!</v>
      </c>
      <c r="G118" s="1503"/>
      <c r="H118" s="1504" t="e">
        <f>(D118-F118)/D118</f>
        <v>#REF!</v>
      </c>
      <c r="I118" s="1505"/>
      <c r="J118" s="1505"/>
      <c r="K118" s="1506"/>
      <c r="L118" s="1487" t="s">
        <v>658</v>
      </c>
      <c r="M118" s="1488"/>
      <c r="N118" s="1488"/>
      <c r="O118" s="379">
        <f>O116+O117</f>
        <v>2087000</v>
      </c>
      <c r="P118" s="75" t="s">
        <v>64</v>
      </c>
      <c r="Q118" s="1494" t="s">
        <v>68</v>
      </c>
      <c r="R118" s="1495"/>
      <c r="S118" s="387" t="e">
        <f>S116+S117</f>
        <v>#REF!</v>
      </c>
    </row>
    <row r="119" spans="1:20" ht="14.1" customHeight="1" thickTop="1" thickBot="1">
      <c r="B119" s="250" t="s">
        <v>310</v>
      </c>
      <c r="C119" s="250"/>
      <c r="D119" s="250"/>
      <c r="E119" s="233"/>
      <c r="O119" s="675" t="e">
        <f>#REF!</f>
        <v>#REF!</v>
      </c>
      <c r="P119" s="75"/>
      <c r="Q119" s="75"/>
      <c r="R119" s="254" t="e">
        <f>總表!E43+總表!E52</f>
        <v>#REF!</v>
      </c>
      <c r="S119" s="254" t="e">
        <f>R119-S118</f>
        <v>#REF!</v>
      </c>
    </row>
    <row r="120" spans="1:20" ht="17.25" customHeight="1" thickBot="1">
      <c r="B120" s="250" t="s">
        <v>40</v>
      </c>
      <c r="C120" s="233"/>
      <c r="D120" s="233"/>
      <c r="E120" s="233"/>
      <c r="F120" s="233"/>
      <c r="L120" s="676" t="s">
        <v>659</v>
      </c>
      <c r="M120" s="677"/>
      <c r="N120" s="677"/>
      <c r="O120" s="384" t="e">
        <f>#REF!</f>
        <v>#REF!</v>
      </c>
      <c r="P120" s="75" t="s">
        <v>64</v>
      </c>
      <c r="T120" s="233"/>
    </row>
    <row r="121" spans="1:20" ht="15.75" customHeight="1">
      <c r="B121" s="75" t="s">
        <v>41</v>
      </c>
      <c r="N121" s="233"/>
      <c r="S121" s="75"/>
    </row>
  </sheetData>
  <mergeCells count="288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13:A14"/>
    <mergeCell ref="G13:I13"/>
    <mergeCell ref="K13:M13"/>
    <mergeCell ref="O13:R13"/>
    <mergeCell ref="G14:I14"/>
    <mergeCell ref="K14:M14"/>
    <mergeCell ref="O14:R14"/>
    <mergeCell ref="A11:A12"/>
    <mergeCell ref="G11:I11"/>
    <mergeCell ref="K11:M11"/>
    <mergeCell ref="O11:R11"/>
    <mergeCell ref="G12:I12"/>
    <mergeCell ref="K12:M12"/>
    <mergeCell ref="O12:R12"/>
    <mergeCell ref="A15:A16"/>
    <mergeCell ref="G15:I15"/>
    <mergeCell ref="K15:M15"/>
    <mergeCell ref="O15:R15"/>
    <mergeCell ref="G16:I16"/>
    <mergeCell ref="K16:M16"/>
    <mergeCell ref="O16:R16"/>
    <mergeCell ref="A17:A18"/>
    <mergeCell ref="G18:I18"/>
    <mergeCell ref="K18:M18"/>
    <mergeCell ref="O18:R18"/>
    <mergeCell ref="G17:I17"/>
    <mergeCell ref="K17:M17"/>
    <mergeCell ref="O17:R17"/>
    <mergeCell ref="C28:E28"/>
    <mergeCell ref="O28:R28"/>
    <mergeCell ref="A29:A35"/>
    <mergeCell ref="C29:E29"/>
    <mergeCell ref="M29:M31"/>
    <mergeCell ref="O29:R31"/>
    <mergeCell ref="A36:A41"/>
    <mergeCell ref="C36:E36"/>
    <mergeCell ref="K20:M20"/>
    <mergeCell ref="O20:R20"/>
    <mergeCell ref="A19:A20"/>
    <mergeCell ref="G19:I19"/>
    <mergeCell ref="K19:M19"/>
    <mergeCell ref="O19:R19"/>
    <mergeCell ref="G20:I20"/>
    <mergeCell ref="K21:M21"/>
    <mergeCell ref="O21:R21"/>
    <mergeCell ref="A22:A27"/>
    <mergeCell ref="G22:I22"/>
    <mergeCell ref="K22:M24"/>
    <mergeCell ref="O22:R24"/>
    <mergeCell ref="M36:M38"/>
    <mergeCell ref="O36:R38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S29:S31"/>
    <mergeCell ref="C30:E30"/>
    <mergeCell ref="C31:E31"/>
    <mergeCell ref="C32:E32"/>
    <mergeCell ref="M32:M35"/>
    <mergeCell ref="O32:R35"/>
    <mergeCell ref="S32:S35"/>
    <mergeCell ref="C33:E33"/>
    <mergeCell ref="C34:E34"/>
    <mergeCell ref="C35:E35"/>
    <mergeCell ref="S36:S38"/>
    <mergeCell ref="C37:E37"/>
    <mergeCell ref="C38:E38"/>
    <mergeCell ref="C39:E39"/>
    <mergeCell ref="M39:M41"/>
    <mergeCell ref="O39:R41"/>
    <mergeCell ref="S39:S41"/>
    <mergeCell ref="C40:E40"/>
    <mergeCell ref="C41:E41"/>
    <mergeCell ref="A42:A47"/>
    <mergeCell ref="C42:E42"/>
    <mergeCell ref="M42:M44"/>
    <mergeCell ref="O42:R44"/>
    <mergeCell ref="S42:S44"/>
    <mergeCell ref="C43:E43"/>
    <mergeCell ref="C44:E44"/>
    <mergeCell ref="C45:E45"/>
    <mergeCell ref="M45:M47"/>
    <mergeCell ref="O45:R47"/>
    <mergeCell ref="S45:S47"/>
    <mergeCell ref="C46:E46"/>
    <mergeCell ref="C47:E47"/>
    <mergeCell ref="A48:A49"/>
    <mergeCell ref="C48:E48"/>
    <mergeCell ref="O48:R48"/>
    <mergeCell ref="V48:X48"/>
    <mergeCell ref="C49:E49"/>
    <mergeCell ref="O49:R49"/>
    <mergeCell ref="V49:X49"/>
    <mergeCell ref="A52:A53"/>
    <mergeCell ref="C52:E52"/>
    <mergeCell ref="O52:R52"/>
    <mergeCell ref="C53:E53"/>
    <mergeCell ref="O53:R53"/>
    <mergeCell ref="C50:E50"/>
    <mergeCell ref="O50:R50"/>
    <mergeCell ref="C51:E51"/>
    <mergeCell ref="O51:R51"/>
    <mergeCell ref="A50:A51"/>
    <mergeCell ref="A62:A63"/>
    <mergeCell ref="C62:E62"/>
    <mergeCell ref="O62:R62"/>
    <mergeCell ref="C63:E63"/>
    <mergeCell ref="O63:R63"/>
    <mergeCell ref="A54:A55"/>
    <mergeCell ref="C54:E54"/>
    <mergeCell ref="O54:R54"/>
    <mergeCell ref="C55:E55"/>
    <mergeCell ref="O55:R55"/>
    <mergeCell ref="A56:A57"/>
    <mergeCell ref="C56:E56"/>
    <mergeCell ref="O56:R56"/>
    <mergeCell ref="C57:E57"/>
    <mergeCell ref="O57:R57"/>
    <mergeCell ref="A58:A59"/>
    <mergeCell ref="C58:E58"/>
    <mergeCell ref="O58:R58"/>
    <mergeCell ref="C59:E59"/>
    <mergeCell ref="O59:R59"/>
    <mergeCell ref="A60:A61"/>
    <mergeCell ref="C60:E60"/>
    <mergeCell ref="O60:R60"/>
    <mergeCell ref="O61:R61"/>
    <mergeCell ref="C61:E61"/>
    <mergeCell ref="A67:A68"/>
    <mergeCell ref="C95:G95"/>
    <mergeCell ref="O95:R95"/>
    <mergeCell ref="C96:G96"/>
    <mergeCell ref="O96:R96"/>
    <mergeCell ref="O64:R64"/>
    <mergeCell ref="A65:A66"/>
    <mergeCell ref="C65:E65"/>
    <mergeCell ref="O65:R65"/>
    <mergeCell ref="C66:E66"/>
    <mergeCell ref="O66:R66"/>
    <mergeCell ref="O69:R69"/>
    <mergeCell ref="C70:E70"/>
    <mergeCell ref="O70:R70"/>
    <mergeCell ref="A69:A70"/>
    <mergeCell ref="A73:A74"/>
    <mergeCell ref="C73:E73"/>
    <mergeCell ref="O73:R73"/>
    <mergeCell ref="C74:E74"/>
    <mergeCell ref="O74:R74"/>
    <mergeCell ref="C67:E67"/>
    <mergeCell ref="O67:R67"/>
    <mergeCell ref="C68:E68"/>
    <mergeCell ref="O68:R68"/>
    <mergeCell ref="A71:A72"/>
    <mergeCell ref="C71:E71"/>
    <mergeCell ref="O71:R71"/>
    <mergeCell ref="C72:E72"/>
    <mergeCell ref="O72:R72"/>
    <mergeCell ref="C69:E69"/>
    <mergeCell ref="A77:A78"/>
    <mergeCell ref="C77:E77"/>
    <mergeCell ref="O77:R77"/>
    <mergeCell ref="C78:E78"/>
    <mergeCell ref="O78:R78"/>
    <mergeCell ref="A75:A76"/>
    <mergeCell ref="C75:E75"/>
    <mergeCell ref="O75:R75"/>
    <mergeCell ref="C76:E76"/>
    <mergeCell ref="O76:R76"/>
    <mergeCell ref="A79:A80"/>
    <mergeCell ref="C79:E79"/>
    <mergeCell ref="O79:R79"/>
    <mergeCell ref="C80:E80"/>
    <mergeCell ref="O80:R80"/>
    <mergeCell ref="C82:E82"/>
    <mergeCell ref="O82:R82"/>
    <mergeCell ref="C85:G85"/>
    <mergeCell ref="O85:R85"/>
    <mergeCell ref="O83:R83"/>
    <mergeCell ref="C84:G84"/>
    <mergeCell ref="O84:R84"/>
    <mergeCell ref="A85:A86"/>
    <mergeCell ref="A81:A82"/>
    <mergeCell ref="C81:E81"/>
    <mergeCell ref="O81:R81"/>
    <mergeCell ref="C86:G86"/>
    <mergeCell ref="O86:R86"/>
    <mergeCell ref="C89:G89"/>
    <mergeCell ref="O89:R89"/>
    <mergeCell ref="C90:G90"/>
    <mergeCell ref="O90:R90"/>
    <mergeCell ref="A89:A90"/>
    <mergeCell ref="C88:G88"/>
    <mergeCell ref="O88:R88"/>
    <mergeCell ref="C87:G87"/>
    <mergeCell ref="O87:R87"/>
    <mergeCell ref="A87:A88"/>
    <mergeCell ref="C94:G94"/>
    <mergeCell ref="O94:R94"/>
    <mergeCell ref="A91:A96"/>
    <mergeCell ref="C91:G91"/>
    <mergeCell ref="O91:R91"/>
    <mergeCell ref="C92:G92"/>
    <mergeCell ref="O92:R92"/>
    <mergeCell ref="C93:G93"/>
    <mergeCell ref="O93:R93"/>
    <mergeCell ref="C97:G97"/>
    <mergeCell ref="C98:G98"/>
    <mergeCell ref="O98:R98"/>
    <mergeCell ref="A99:A107"/>
    <mergeCell ref="C99:G99"/>
    <mergeCell ref="O99:R99"/>
    <mergeCell ref="C107:G107"/>
    <mergeCell ref="S99:S103"/>
    <mergeCell ref="C100:G100"/>
    <mergeCell ref="C101:G101"/>
    <mergeCell ref="C102:G102"/>
    <mergeCell ref="C103:G103"/>
    <mergeCell ref="C104:G104"/>
    <mergeCell ref="O104:R107"/>
    <mergeCell ref="S104:S107"/>
    <mergeCell ref="C105:G105"/>
    <mergeCell ref="C106:G106"/>
    <mergeCell ref="Q117:R117"/>
    <mergeCell ref="A110:D110"/>
    <mergeCell ref="G110:K110"/>
    <mergeCell ref="N110:P110"/>
    <mergeCell ref="A111:D111"/>
    <mergeCell ref="G111:K111"/>
    <mergeCell ref="N111:P111"/>
    <mergeCell ref="A112:D112"/>
    <mergeCell ref="G112:K112"/>
    <mergeCell ref="N112:P112"/>
    <mergeCell ref="B118:C118"/>
    <mergeCell ref="D118:E118"/>
    <mergeCell ref="F118:G118"/>
    <mergeCell ref="H118:K118"/>
    <mergeCell ref="L118:N118"/>
    <mergeCell ref="Q118:R118"/>
    <mergeCell ref="A9:A10"/>
    <mergeCell ref="G9:I9"/>
    <mergeCell ref="K9:M9"/>
    <mergeCell ref="O9:R9"/>
    <mergeCell ref="G10:I10"/>
    <mergeCell ref="K10:M10"/>
    <mergeCell ref="O10:R10"/>
    <mergeCell ref="B116:C116"/>
    <mergeCell ref="D116:E116"/>
    <mergeCell ref="F116:G116"/>
    <mergeCell ref="H116:K116"/>
    <mergeCell ref="L116:N116"/>
    <mergeCell ref="Q116:R116"/>
    <mergeCell ref="B117:C117"/>
    <mergeCell ref="D117:E117"/>
    <mergeCell ref="F117:G117"/>
    <mergeCell ref="H117:K117"/>
    <mergeCell ref="L117:N117"/>
  </mergeCells>
  <phoneticPr fontId="26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A124"/>
  <sheetViews>
    <sheetView topLeftCell="I100" workbookViewId="0">
      <selection activeCell="S121" sqref="S121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970</v>
      </c>
    </row>
    <row r="3" spans="1:23" ht="86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971</v>
      </c>
      <c r="O3" s="1319"/>
      <c r="P3" s="1320"/>
      <c r="Q3" s="1318" t="s">
        <v>972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45243</v>
      </c>
      <c r="D5" s="419" t="s">
        <v>969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1.88</v>
      </c>
      <c r="E9" s="815">
        <v>715</v>
      </c>
      <c r="F9" s="815">
        <f>'102'!O28</f>
        <v>750</v>
      </c>
      <c r="G9" s="1311">
        <f>'102'!K28</f>
        <v>1764</v>
      </c>
      <c r="H9" s="1312"/>
      <c r="I9" s="1313"/>
      <c r="J9" s="814">
        <f>'102'!L28</f>
        <v>64</v>
      </c>
      <c r="K9" s="1524">
        <f>'102'!P28+'102'!P29+'102'!P30</f>
        <v>0.52977777777777779</v>
      </c>
      <c r="L9" s="1525"/>
      <c r="M9" s="1526"/>
      <c r="N9" s="820">
        <f t="shared" ref="N9:N15" si="0">J9/(G9+J9)</f>
        <v>3.5010940919037198E-2</v>
      </c>
      <c r="O9" s="1521" t="str">
        <f>'102'!U28</f>
        <v>08:00-12:12擦輪、開機,NG  64KG</v>
      </c>
      <c r="P9" s="1522"/>
      <c r="Q9" s="1522"/>
      <c r="R9" s="1523"/>
      <c r="S9" s="1575" t="str">
        <f>'102'!V28</f>
        <v>阮明演</v>
      </c>
      <c r="U9" s="420" t="s">
        <v>633</v>
      </c>
      <c r="V9" s="880"/>
      <c r="W9" s="880"/>
    </row>
    <row r="10" spans="1:23" ht="17.25" customHeight="1">
      <c r="A10" s="1336"/>
      <c r="B10" s="84" t="s">
        <v>0</v>
      </c>
      <c r="C10" s="850" t="s">
        <v>42</v>
      </c>
      <c r="D10" s="851">
        <v>1.6</v>
      </c>
      <c r="E10" s="815">
        <v>715</v>
      </c>
      <c r="F10" s="815">
        <f>'102'!O29</f>
        <v>750</v>
      </c>
      <c r="G10" s="1311">
        <f>'102'!K29</f>
        <v>1000</v>
      </c>
      <c r="H10" s="1312"/>
      <c r="I10" s="1313"/>
      <c r="J10" s="814">
        <f>'102'!L29</f>
        <v>0</v>
      </c>
      <c r="K10" s="1578"/>
      <c r="L10" s="1579"/>
      <c r="M10" s="1580"/>
      <c r="N10" s="820">
        <f t="shared" si="0"/>
        <v>0</v>
      </c>
      <c r="O10" s="1581" t="str">
        <f>'102'!U29</f>
        <v>14:50-14:52改規格1.6*715,無損耗</v>
      </c>
      <c r="P10" s="1582"/>
      <c r="Q10" s="1582"/>
      <c r="R10" s="1583"/>
      <c r="S10" s="1576"/>
      <c r="U10" s="420" t="s">
        <v>633</v>
      </c>
      <c r="V10" s="880"/>
      <c r="W10" s="880"/>
    </row>
    <row r="11" spans="1:23" ht="36" customHeight="1">
      <c r="A11" s="1336"/>
      <c r="B11" s="84" t="s">
        <v>0</v>
      </c>
      <c r="C11" s="850" t="s">
        <v>42</v>
      </c>
      <c r="D11" s="851">
        <v>1.34</v>
      </c>
      <c r="E11" s="815">
        <v>715</v>
      </c>
      <c r="F11" s="815">
        <f>'102'!O30</f>
        <v>750</v>
      </c>
      <c r="G11" s="1311">
        <f>'102'!K30</f>
        <v>2004</v>
      </c>
      <c r="H11" s="1312"/>
      <c r="I11" s="1313"/>
      <c r="J11" s="814">
        <f>'102'!L30</f>
        <v>0</v>
      </c>
      <c r="K11" s="1527"/>
      <c r="L11" s="1528"/>
      <c r="M11" s="1529"/>
      <c r="N11" s="820">
        <f t="shared" si="0"/>
        <v>0</v>
      </c>
      <c r="O11" s="1530" t="str">
        <f>'102'!U30</f>
        <v>16:14-16:17改規格1.34*715,無損耗
18:59最後一支交接班</v>
      </c>
      <c r="P11" s="1531"/>
      <c r="Q11" s="1531"/>
      <c r="R11" s="1532"/>
      <c r="S11" s="1577"/>
      <c r="U11" s="420" t="s">
        <v>633</v>
      </c>
      <c r="V11" s="880"/>
      <c r="W11" s="880"/>
    </row>
    <row r="12" spans="1:23" ht="17.25" customHeight="1">
      <c r="A12" s="1336"/>
      <c r="B12" s="881" t="s">
        <v>43</v>
      </c>
      <c r="C12" s="422" t="s">
        <v>42</v>
      </c>
      <c r="D12" s="421">
        <v>1.34</v>
      </c>
      <c r="E12" s="880">
        <v>715</v>
      </c>
      <c r="F12" s="880">
        <f>'102'!O31</f>
        <v>750</v>
      </c>
      <c r="G12" s="1327">
        <f>'102'!K31</f>
        <v>2010</v>
      </c>
      <c r="H12" s="1328"/>
      <c r="I12" s="1329"/>
      <c r="J12" s="423">
        <f>'102'!L31</f>
        <v>0</v>
      </c>
      <c r="K12" s="1524">
        <f>'102'!P31+'102'!P32</f>
        <v>0.8919999999999999</v>
      </c>
      <c r="L12" s="1525"/>
      <c r="M12" s="1526"/>
      <c r="N12" s="820">
        <f t="shared" si="0"/>
        <v>0</v>
      </c>
      <c r="O12" s="1521" t="str">
        <f>'102'!U31</f>
        <v>22:02-22:04改規格1.6*715,無損耗</v>
      </c>
      <c r="P12" s="1522"/>
      <c r="Q12" s="1522"/>
      <c r="R12" s="1523"/>
      <c r="S12" s="1575" t="str">
        <f>'102'!V31</f>
        <v>阮功體</v>
      </c>
      <c r="U12" s="420" t="s">
        <v>633</v>
      </c>
      <c r="V12" s="880"/>
      <c r="W12" s="880"/>
    </row>
    <row r="13" spans="1:23" ht="17.25" customHeight="1">
      <c r="A13" s="1326"/>
      <c r="B13" s="881" t="s">
        <v>43</v>
      </c>
      <c r="C13" s="422" t="s">
        <v>42</v>
      </c>
      <c r="D13" s="421">
        <v>1.6</v>
      </c>
      <c r="E13" s="880">
        <v>715</v>
      </c>
      <c r="F13" s="880">
        <f>'102'!O32</f>
        <v>750</v>
      </c>
      <c r="G13" s="1327">
        <f>'102'!K32</f>
        <v>6018</v>
      </c>
      <c r="H13" s="1328"/>
      <c r="I13" s="1329"/>
      <c r="J13" s="423">
        <f>'102'!L32</f>
        <v>0</v>
      </c>
      <c r="K13" s="1527"/>
      <c r="L13" s="1528"/>
      <c r="M13" s="1529"/>
      <c r="N13" s="820">
        <f t="shared" si="0"/>
        <v>0</v>
      </c>
      <c r="O13" s="1530" t="str">
        <f>'102'!U32</f>
        <v>07:55最後一支交接班</v>
      </c>
      <c r="P13" s="1531"/>
      <c r="Q13" s="1531"/>
      <c r="R13" s="1532"/>
      <c r="S13" s="1577"/>
      <c r="U13" s="420" t="s">
        <v>633</v>
      </c>
      <c r="V13" s="880"/>
      <c r="W13" s="880"/>
    </row>
    <row r="14" spans="1:23" ht="36.75" customHeight="1">
      <c r="A14" s="1325" t="s">
        <v>7</v>
      </c>
      <c r="B14" s="84" t="s">
        <v>205</v>
      </c>
      <c r="C14" s="850" t="s">
        <v>42</v>
      </c>
      <c r="D14" s="851">
        <v>0.25</v>
      </c>
      <c r="E14" s="815">
        <v>840</v>
      </c>
      <c r="F14" s="815">
        <f>'103'!O33</f>
        <v>350</v>
      </c>
      <c r="G14" s="1311">
        <f>'103'!K33</f>
        <v>3035</v>
      </c>
      <c r="H14" s="1312"/>
      <c r="I14" s="1313"/>
      <c r="J14" s="814">
        <f>'103'!L33</f>
        <v>47</v>
      </c>
      <c r="K14" s="1314">
        <f>'103'!P33</f>
        <v>0.72261904761904761</v>
      </c>
      <c r="L14" s="1315"/>
      <c r="M14" s="1316"/>
      <c r="N14" s="820">
        <f t="shared" si="0"/>
        <v>1.5249837767683322E-2</v>
      </c>
      <c r="O14" s="1308" t="str">
        <f>'103'!U33</f>
        <v>08:00-09:40擦輪、開機,NG  47KG
19:19最後一支交接班</v>
      </c>
      <c r="P14" s="1309"/>
      <c r="Q14" s="1309"/>
      <c r="R14" s="1310"/>
      <c r="S14" s="822" t="str">
        <f>'103'!V33</f>
        <v>史豐銘</v>
      </c>
    </row>
    <row r="15" spans="1:23" ht="17.25" customHeight="1">
      <c r="A15" s="1326"/>
      <c r="B15" s="881" t="s">
        <v>207</v>
      </c>
      <c r="C15" s="422" t="s">
        <v>42</v>
      </c>
      <c r="D15" s="421">
        <v>0.25</v>
      </c>
      <c r="E15" s="880">
        <v>840</v>
      </c>
      <c r="F15" s="880">
        <f>'103'!O34</f>
        <v>350</v>
      </c>
      <c r="G15" s="1327">
        <f>'103'!K34</f>
        <v>4031</v>
      </c>
      <c r="H15" s="1328"/>
      <c r="I15" s="1329"/>
      <c r="J15" s="423">
        <f>'103'!L34</f>
        <v>0</v>
      </c>
      <c r="K15" s="1314">
        <f>'103'!P34</f>
        <v>0.95976190476190482</v>
      </c>
      <c r="L15" s="1315"/>
      <c r="M15" s="1316"/>
      <c r="N15" s="820">
        <f t="shared" si="0"/>
        <v>0</v>
      </c>
      <c r="O15" s="1308" t="str">
        <f>'103'!U34</f>
        <v>07:50最後一支交接班</v>
      </c>
      <c r="P15" s="1309"/>
      <c r="Q15" s="1309"/>
      <c r="R15" s="1310"/>
      <c r="S15" s="822" t="str">
        <f>'103'!V34</f>
        <v>阮宏山</v>
      </c>
    </row>
    <row r="16" spans="1:23" ht="17.25" customHeight="1">
      <c r="A16" s="1354" t="s">
        <v>8</v>
      </c>
      <c r="B16" s="84" t="s">
        <v>205</v>
      </c>
      <c r="C16" s="850" t="s">
        <v>44</v>
      </c>
      <c r="D16" s="649" t="s">
        <v>633</v>
      </c>
      <c r="E16" s="856"/>
      <c r="F16" s="815"/>
      <c r="G16" s="1355"/>
      <c r="H16" s="1355"/>
      <c r="I16" s="1355"/>
      <c r="J16" s="814"/>
      <c r="K16" s="1314"/>
      <c r="L16" s="1315"/>
      <c r="M16" s="1316"/>
      <c r="N16" s="820"/>
      <c r="O16" s="1356"/>
      <c r="P16" s="1357"/>
      <c r="Q16" s="1357"/>
      <c r="R16" s="1357"/>
      <c r="S16" s="822"/>
    </row>
    <row r="17" spans="1:19" ht="17.25" customHeight="1">
      <c r="A17" s="1354"/>
      <c r="B17" s="881" t="s">
        <v>207</v>
      </c>
      <c r="C17" s="422" t="s">
        <v>44</v>
      </c>
      <c r="D17" s="421" t="s">
        <v>633</v>
      </c>
      <c r="E17" s="646"/>
      <c r="F17" s="880"/>
      <c r="G17" s="1358"/>
      <c r="H17" s="1358"/>
      <c r="I17" s="1358"/>
      <c r="J17" s="423"/>
      <c r="K17" s="1314"/>
      <c r="L17" s="1315"/>
      <c r="M17" s="1316"/>
      <c r="N17" s="820"/>
      <c r="O17" s="1356"/>
      <c r="P17" s="1357"/>
      <c r="Q17" s="1357"/>
      <c r="R17" s="1357"/>
      <c r="S17" s="822"/>
    </row>
    <row r="18" spans="1:19" ht="17.25" customHeight="1">
      <c r="A18" s="1101" t="s">
        <v>9</v>
      </c>
      <c r="B18" s="84" t="s">
        <v>205</v>
      </c>
      <c r="C18" s="850" t="s">
        <v>44</v>
      </c>
      <c r="D18" s="649" t="s">
        <v>633</v>
      </c>
      <c r="E18" s="815"/>
      <c r="F18" s="815"/>
      <c r="G18" s="1311"/>
      <c r="H18" s="1312"/>
      <c r="I18" s="1313"/>
      <c r="J18" s="814"/>
      <c r="K18" s="1330"/>
      <c r="L18" s="1331"/>
      <c r="M18" s="1332"/>
      <c r="N18" s="871"/>
      <c r="O18" s="1333"/>
      <c r="P18" s="1334"/>
      <c r="Q18" s="1334"/>
      <c r="R18" s="1335"/>
      <c r="S18" s="860"/>
    </row>
    <row r="19" spans="1:19" ht="17.25" customHeight="1">
      <c r="A19" s="1102"/>
      <c r="B19" s="881" t="s">
        <v>43</v>
      </c>
      <c r="C19" s="422" t="s">
        <v>44</v>
      </c>
      <c r="D19" s="421" t="s">
        <v>633</v>
      </c>
      <c r="E19" s="880"/>
      <c r="F19" s="880"/>
      <c r="G19" s="1327"/>
      <c r="H19" s="1328"/>
      <c r="I19" s="1329"/>
      <c r="J19" s="423"/>
      <c r="K19" s="1330"/>
      <c r="L19" s="1331"/>
      <c r="M19" s="1332"/>
      <c r="N19" s="871"/>
      <c r="O19" s="1333"/>
      <c r="P19" s="1334"/>
      <c r="Q19" s="1334"/>
      <c r="R19" s="1335"/>
      <c r="S19" s="860"/>
    </row>
    <row r="20" spans="1:19" ht="35.25" customHeight="1">
      <c r="A20" s="1370" t="s">
        <v>644</v>
      </c>
      <c r="B20" s="84" t="s">
        <v>205</v>
      </c>
      <c r="C20" s="850" t="s">
        <v>42</v>
      </c>
      <c r="D20" s="851">
        <v>1.5</v>
      </c>
      <c r="E20" s="815">
        <v>805</v>
      </c>
      <c r="F20" s="815">
        <f>'106'!O31</f>
        <v>1185</v>
      </c>
      <c r="G20" s="1311">
        <f>'106'!K31</f>
        <v>9833</v>
      </c>
      <c r="H20" s="1312"/>
      <c r="I20" s="1313"/>
      <c r="J20" s="814">
        <f>'106'!L31</f>
        <v>93</v>
      </c>
      <c r="K20" s="1330">
        <f>'106'!P31</f>
        <v>0.69149085794655418</v>
      </c>
      <c r="L20" s="1331"/>
      <c r="M20" s="1332"/>
      <c r="N20" s="871">
        <f>J20/(G20+J20)</f>
        <v>9.3693330646786224E-3</v>
      </c>
      <c r="O20" s="1364" t="str">
        <f>'106'!U31</f>
        <v>19:36最後一支交接班
08:00-11:00擦輪、清理真空,NG  93KG</v>
      </c>
      <c r="P20" s="1365"/>
      <c r="Q20" s="1365"/>
      <c r="R20" s="1366"/>
      <c r="S20" s="822" t="str">
        <f>'106'!V31</f>
        <v>黎文中.林子維</v>
      </c>
    </row>
    <row r="21" spans="1:19" ht="17.25" customHeight="1">
      <c r="A21" s="1371"/>
      <c r="B21" s="881" t="s">
        <v>43</v>
      </c>
      <c r="C21" s="422" t="s">
        <v>42</v>
      </c>
      <c r="D21" s="421">
        <v>1.5</v>
      </c>
      <c r="E21" s="880">
        <v>805</v>
      </c>
      <c r="F21" s="880">
        <f>'106'!O32</f>
        <v>1185</v>
      </c>
      <c r="G21" s="1327">
        <f>'106'!K32</f>
        <v>2181</v>
      </c>
      <c r="H21" s="1328"/>
      <c r="I21" s="1329"/>
      <c r="J21" s="423">
        <f>'106'!L32</f>
        <v>0</v>
      </c>
      <c r="K21" s="1541">
        <f>'106'!P32+'106'!P33</f>
        <v>0.92201125175808718</v>
      </c>
      <c r="L21" s="1542"/>
      <c r="M21" s="1543"/>
      <c r="N21" s="871">
        <f>J21/(G21+J21)</f>
        <v>0</v>
      </c>
      <c r="O21" s="1348" t="str">
        <f>'106'!U32</f>
        <v>21:41-21:43改規格1.15*805,無損耗</v>
      </c>
      <c r="P21" s="1349"/>
      <c r="Q21" s="1349"/>
      <c r="R21" s="1350"/>
      <c r="S21" s="1517" t="str">
        <f>'106'!V32</f>
        <v>黃隨貴</v>
      </c>
    </row>
    <row r="22" spans="1:19" ht="17.25" customHeight="1">
      <c r="A22" s="1562"/>
      <c r="B22" s="881" t="s">
        <v>43</v>
      </c>
      <c r="C22" s="422" t="s">
        <v>42</v>
      </c>
      <c r="D22" s="421">
        <v>1.1499999999999999</v>
      </c>
      <c r="E22" s="880">
        <v>805</v>
      </c>
      <c r="F22" s="880">
        <f>'106'!O33</f>
        <v>1185</v>
      </c>
      <c r="G22" s="1327">
        <f>'106'!K33</f>
        <v>10930</v>
      </c>
      <c r="H22" s="1328"/>
      <c r="I22" s="1329"/>
      <c r="J22" s="423">
        <f>'106'!L33</f>
        <v>0</v>
      </c>
      <c r="K22" s="1544"/>
      <c r="L22" s="1545"/>
      <c r="M22" s="1546"/>
      <c r="N22" s="871">
        <f>J22/(G22+J22)</f>
        <v>0</v>
      </c>
      <c r="O22" s="1367" t="str">
        <f>'106'!U33</f>
        <v>07:40最後一支交接班</v>
      </c>
      <c r="P22" s="1368"/>
      <c r="Q22" s="1368"/>
      <c r="R22" s="1369"/>
      <c r="S22" s="1518"/>
    </row>
    <row r="23" spans="1:19" ht="17.25" customHeight="1">
      <c r="A23" s="1362" t="s">
        <v>418</v>
      </c>
      <c r="B23" s="84" t="s">
        <v>205</v>
      </c>
      <c r="C23" s="850" t="s">
        <v>44</v>
      </c>
      <c r="D23" s="649" t="s">
        <v>633</v>
      </c>
      <c r="E23" s="815"/>
      <c r="F23" s="815"/>
      <c r="G23" s="1311"/>
      <c r="H23" s="1312"/>
      <c r="I23" s="1313"/>
      <c r="J23" s="814"/>
      <c r="K23" s="1314"/>
      <c r="L23" s="1315"/>
      <c r="M23" s="1316"/>
      <c r="N23" s="871"/>
      <c r="O23" s="1364"/>
      <c r="P23" s="1365"/>
      <c r="Q23" s="1365"/>
      <c r="R23" s="1366"/>
      <c r="S23" s="822"/>
    </row>
    <row r="24" spans="1:19" ht="17.25" customHeight="1">
      <c r="A24" s="1363"/>
      <c r="B24" s="881" t="s">
        <v>43</v>
      </c>
      <c r="C24" s="422" t="s">
        <v>44</v>
      </c>
      <c r="D24" s="421">
        <v>0.36</v>
      </c>
      <c r="E24" s="880">
        <v>680</v>
      </c>
      <c r="F24" s="880">
        <f>'107'!O34</f>
        <v>450</v>
      </c>
      <c r="G24" s="1327">
        <f>'107'!K34</f>
        <v>4529</v>
      </c>
      <c r="H24" s="1328"/>
      <c r="I24" s="1329"/>
      <c r="J24" s="423">
        <f>'107'!L34</f>
        <v>0</v>
      </c>
      <c r="K24" s="1314">
        <f>'107'!P34</f>
        <v>0.83870370370370373</v>
      </c>
      <c r="L24" s="1315"/>
      <c r="M24" s="1316"/>
      <c r="N24" s="871">
        <f>J24/(G24+J24)</f>
        <v>0</v>
      </c>
      <c r="O24" s="1364" t="str">
        <f>'107'!U34</f>
        <v>07:20最後一支交接班</v>
      </c>
      <c r="P24" s="1365"/>
      <c r="Q24" s="1365"/>
      <c r="R24" s="1366"/>
      <c r="S24" s="822" t="str">
        <f>'107'!V34</f>
        <v>磨文林</v>
      </c>
    </row>
    <row r="25" spans="1:19" ht="17.25" customHeight="1">
      <c r="A25" s="843"/>
      <c r="B25" s="841"/>
      <c r="C25" s="850"/>
      <c r="D25" s="851"/>
      <c r="E25" s="815"/>
      <c r="F25" s="815"/>
      <c r="G25" s="832" t="s">
        <v>666</v>
      </c>
      <c r="H25" s="838"/>
      <c r="I25" s="833">
        <f>SUM(G7:I24)</f>
        <v>47335</v>
      </c>
      <c r="J25" s="833">
        <f>SUM(J7:J24)</f>
        <v>204</v>
      </c>
      <c r="K25" s="1314"/>
      <c r="L25" s="1315"/>
      <c r="M25" s="1316"/>
      <c r="N25" s="647"/>
      <c r="O25" s="1372"/>
      <c r="P25" s="1373"/>
      <c r="Q25" s="1373"/>
      <c r="R25" s="1374"/>
      <c r="S25" s="812"/>
    </row>
    <row r="26" spans="1:19" ht="20.100000000000001" hidden="1" customHeight="1">
      <c r="A26" s="1400" t="s">
        <v>10</v>
      </c>
      <c r="B26" s="84" t="s">
        <v>205</v>
      </c>
      <c r="C26" s="648" t="s">
        <v>44</v>
      </c>
      <c r="D26" s="649">
        <v>2.35</v>
      </c>
      <c r="E26" s="85">
        <v>800</v>
      </c>
      <c r="F26" s="85"/>
      <c r="G26" s="1401"/>
      <c r="H26" s="1401"/>
      <c r="I26" s="1401"/>
      <c r="J26" s="650"/>
      <c r="K26" s="1402"/>
      <c r="L26" s="1403"/>
      <c r="M26" s="1404"/>
      <c r="N26" s="647" t="e">
        <f t="shared" ref="N26:N31" si="1">J26/(G26+J26)</f>
        <v>#DIV/0!</v>
      </c>
      <c r="O26" s="1348"/>
      <c r="P26" s="1349"/>
      <c r="Q26" s="1349"/>
      <c r="R26" s="1350"/>
      <c r="S26" s="1414"/>
    </row>
    <row r="27" spans="1:19" ht="20.100000000000001" hidden="1" customHeight="1">
      <c r="A27" s="1400"/>
      <c r="B27" s="84" t="s">
        <v>0</v>
      </c>
      <c r="C27" s="648" t="s">
        <v>44</v>
      </c>
      <c r="D27" s="649">
        <v>1.85</v>
      </c>
      <c r="E27" s="85">
        <v>800</v>
      </c>
      <c r="F27" s="85"/>
      <c r="G27" s="1401"/>
      <c r="H27" s="1401"/>
      <c r="I27" s="1401"/>
      <c r="J27" s="650"/>
      <c r="K27" s="1405"/>
      <c r="L27" s="1406"/>
      <c r="M27" s="1407"/>
      <c r="N27" s="647" t="e">
        <f t="shared" si="1"/>
        <v>#DIV/0!</v>
      </c>
      <c r="O27" s="1411"/>
      <c r="P27" s="1412"/>
      <c r="Q27" s="1412"/>
      <c r="R27" s="1413"/>
      <c r="S27" s="1415"/>
    </row>
    <row r="28" spans="1:19" ht="20.100000000000001" hidden="1" customHeight="1">
      <c r="A28" s="1400"/>
      <c r="B28" s="84" t="s">
        <v>205</v>
      </c>
      <c r="C28" s="648" t="s">
        <v>44</v>
      </c>
      <c r="D28" s="649"/>
      <c r="E28" s="85"/>
      <c r="F28" s="85"/>
      <c r="G28" s="1401"/>
      <c r="H28" s="1401"/>
      <c r="I28" s="1401"/>
      <c r="J28" s="650"/>
      <c r="K28" s="1408"/>
      <c r="L28" s="1409"/>
      <c r="M28" s="1410"/>
      <c r="N28" s="647" t="e">
        <f t="shared" si="1"/>
        <v>#DIV/0!</v>
      </c>
      <c r="O28" s="1367"/>
      <c r="P28" s="1368"/>
      <c r="Q28" s="1368"/>
      <c r="R28" s="1369"/>
      <c r="S28" s="141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2.35</v>
      </c>
      <c r="E29" s="880">
        <v>800</v>
      </c>
      <c r="F29" s="880"/>
      <c r="G29" s="1358"/>
      <c r="H29" s="1358"/>
      <c r="I29" s="1358"/>
      <c r="J29" s="423"/>
      <c r="K29" s="1402"/>
      <c r="L29" s="1403"/>
      <c r="M29" s="1404"/>
      <c r="N29" s="647" t="e">
        <f t="shared" si="1"/>
        <v>#DIV/0!</v>
      </c>
      <c r="O29" s="1348"/>
      <c r="P29" s="1349"/>
      <c r="Q29" s="1349"/>
      <c r="R29" s="1350"/>
      <c r="S29" s="1375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1.75</v>
      </c>
      <c r="E30" s="880">
        <v>715</v>
      </c>
      <c r="F30" s="880"/>
      <c r="G30" s="1358"/>
      <c r="H30" s="1358"/>
      <c r="I30" s="1358"/>
      <c r="J30" s="423"/>
      <c r="K30" s="1405"/>
      <c r="L30" s="1406"/>
      <c r="M30" s="1407"/>
      <c r="N30" s="647" t="e">
        <f t="shared" si="1"/>
        <v>#DIV/0!</v>
      </c>
      <c r="O30" s="1411"/>
      <c r="P30" s="1412"/>
      <c r="Q30" s="1412"/>
      <c r="R30" s="1413"/>
      <c r="S30" s="1376"/>
    </row>
    <row r="31" spans="1:19" ht="20.100000000000001" hidden="1" customHeight="1">
      <c r="A31" s="1400"/>
      <c r="B31" s="881" t="s">
        <v>207</v>
      </c>
      <c r="C31" s="422" t="s">
        <v>44</v>
      </c>
      <c r="D31" s="420">
        <v>1.6</v>
      </c>
      <c r="E31" s="880">
        <v>715</v>
      </c>
      <c r="F31" s="880"/>
      <c r="G31" s="1358"/>
      <c r="H31" s="1358"/>
      <c r="I31" s="1358"/>
      <c r="J31" s="423"/>
      <c r="K31" s="1408"/>
      <c r="L31" s="1409"/>
      <c r="M31" s="1410"/>
      <c r="N31" s="647" t="e">
        <f t="shared" si="1"/>
        <v>#DIV/0!</v>
      </c>
      <c r="O31" s="1367"/>
      <c r="P31" s="1368"/>
      <c r="Q31" s="1368"/>
      <c r="R31" s="1369"/>
      <c r="S31" s="1377"/>
    </row>
    <row r="32" spans="1:19" s="76" customFormat="1" ht="31.7" customHeight="1">
      <c r="A32" s="56" t="s">
        <v>212</v>
      </c>
      <c r="B32" s="388" t="s">
        <v>193</v>
      </c>
      <c r="C32" s="1378" t="s">
        <v>11</v>
      </c>
      <c r="D32" s="1379"/>
      <c r="E32" s="1380"/>
      <c r="F32" s="409" t="s">
        <v>12</v>
      </c>
      <c r="G32" s="409" t="s">
        <v>13</v>
      </c>
      <c r="H32" s="410" t="s">
        <v>215</v>
      </c>
      <c r="I32" s="411" t="s">
        <v>14</v>
      </c>
      <c r="J32" s="412" t="s">
        <v>15</v>
      </c>
      <c r="K32" s="651" t="s">
        <v>16</v>
      </c>
      <c r="L32" s="652" t="s">
        <v>60</v>
      </c>
      <c r="M32" s="653" t="s">
        <v>17</v>
      </c>
      <c r="N32" s="652" t="s">
        <v>18</v>
      </c>
      <c r="O32" s="1381" t="s">
        <v>29</v>
      </c>
      <c r="P32" s="1381"/>
      <c r="Q32" s="1381"/>
      <c r="R32" s="1381"/>
      <c r="S32" s="383" t="s">
        <v>4</v>
      </c>
    </row>
    <row r="33" spans="1:19" s="132" customFormat="1" ht="16.5" hidden="1" customHeight="1">
      <c r="A33" s="1126" t="s">
        <v>19</v>
      </c>
      <c r="B33" s="134" t="s">
        <v>0</v>
      </c>
      <c r="C33" s="1382"/>
      <c r="D33" s="1383"/>
      <c r="E33" s="1384"/>
      <c r="F33" s="380"/>
      <c r="G33" s="246">
        <f>SUM(G9:G31)</f>
        <v>47335</v>
      </c>
      <c r="H33" s="95"/>
      <c r="I33" s="844" t="e">
        <f>SUM(#REF!)</f>
        <v>#REF!</v>
      </c>
      <c r="J33" s="390"/>
      <c r="K33" s="390"/>
      <c r="L33" s="389"/>
      <c r="M33" s="1385"/>
      <c r="N33" s="654"/>
      <c r="O33" s="1388"/>
      <c r="P33" s="1389"/>
      <c r="Q33" s="1389"/>
      <c r="R33" s="1390"/>
      <c r="S33" s="1397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6"/>
      <c r="N34" s="654"/>
      <c r="O34" s="1391"/>
      <c r="P34" s="1392"/>
      <c r="Q34" s="1392"/>
      <c r="R34" s="1393"/>
      <c r="S34" s="1398"/>
    </row>
    <row r="35" spans="1:19" s="132" customFormat="1" ht="16.5" hidden="1" customHeight="1">
      <c r="A35" s="1189"/>
      <c r="B35" s="134" t="s">
        <v>0</v>
      </c>
      <c r="C35" s="1382"/>
      <c r="D35" s="1383"/>
      <c r="E35" s="1384"/>
      <c r="F35" s="380"/>
      <c r="G35" s="246"/>
      <c r="H35" s="95"/>
      <c r="I35" s="95"/>
      <c r="J35" s="390"/>
      <c r="K35" s="390"/>
      <c r="L35" s="389"/>
      <c r="M35" s="1387"/>
      <c r="N35" s="654"/>
      <c r="O35" s="1394"/>
      <c r="P35" s="1395"/>
      <c r="Q35" s="1395"/>
      <c r="R35" s="1396"/>
      <c r="S35" s="1399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5"/>
      <c r="N36" s="654"/>
      <c r="O36" s="1388"/>
      <c r="P36" s="1389"/>
      <c r="Q36" s="1389"/>
      <c r="R36" s="1390"/>
      <c r="S36" s="1420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6"/>
      <c r="N38" s="654"/>
      <c r="O38" s="1391"/>
      <c r="P38" s="1392"/>
      <c r="Q38" s="1392"/>
      <c r="R38" s="1393"/>
      <c r="S38" s="1421"/>
    </row>
    <row r="39" spans="1:19" ht="18" hidden="1" customHeight="1">
      <c r="A39" s="1189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7"/>
      <c r="N39" s="654"/>
      <c r="O39" s="1394"/>
      <c r="P39" s="1395"/>
      <c r="Q39" s="1395"/>
      <c r="R39" s="1396"/>
      <c r="S39" s="1422"/>
    </row>
    <row r="40" spans="1:19" ht="18" hidden="1" customHeight="1">
      <c r="A40" s="1426" t="s">
        <v>61</v>
      </c>
      <c r="B40" s="84" t="s">
        <v>205</v>
      </c>
      <c r="C40" s="1382"/>
      <c r="D40" s="1383"/>
      <c r="E40" s="1384"/>
      <c r="F40" s="380"/>
      <c r="G40" s="245"/>
      <c r="H40" s="85"/>
      <c r="I40" s="85"/>
      <c r="J40" s="656"/>
      <c r="K40" s="392"/>
      <c r="L40" s="251"/>
      <c r="M40" s="1385"/>
      <c r="N40" s="428"/>
      <c r="O40" s="1388"/>
      <c r="P40" s="1389"/>
      <c r="Q40" s="1389"/>
      <c r="R40" s="1390"/>
      <c r="S40" s="1423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6"/>
      <c r="N41" s="654"/>
      <c r="O41" s="1391"/>
      <c r="P41" s="1392"/>
      <c r="Q41" s="1392"/>
      <c r="R41" s="1393"/>
      <c r="S41" s="1424"/>
    </row>
    <row r="42" spans="1:19" s="132" customFormat="1" ht="16.5" hidden="1" customHeight="1">
      <c r="A42" s="1426"/>
      <c r="B42" s="134" t="s">
        <v>0</v>
      </c>
      <c r="C42" s="1382"/>
      <c r="D42" s="1383"/>
      <c r="E42" s="1384"/>
      <c r="F42" s="380"/>
      <c r="G42" s="246"/>
      <c r="H42" s="95"/>
      <c r="I42" s="95"/>
      <c r="J42" s="390"/>
      <c r="K42" s="390"/>
      <c r="L42" s="389"/>
      <c r="M42" s="1387"/>
      <c r="N42" s="654"/>
      <c r="O42" s="1394"/>
      <c r="P42" s="1395"/>
      <c r="Q42" s="1395"/>
      <c r="R42" s="1396"/>
      <c r="S42" s="1425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5"/>
      <c r="N43" s="654"/>
      <c r="O43" s="1388"/>
      <c r="P43" s="1389"/>
      <c r="Q43" s="1389"/>
      <c r="R43" s="1390"/>
      <c r="S43" s="1420"/>
    </row>
    <row r="44" spans="1:19" ht="18" hidden="1" customHeight="1">
      <c r="A44" s="1426"/>
      <c r="B44" s="381" t="s">
        <v>43</v>
      </c>
      <c r="C44" s="1417"/>
      <c r="D44" s="1418"/>
      <c r="E44" s="1419"/>
      <c r="F44" s="114"/>
      <c r="G44" s="243"/>
      <c r="H44" s="114"/>
      <c r="I44" s="114"/>
      <c r="J44" s="655"/>
      <c r="K44" s="391"/>
      <c r="L44" s="240"/>
      <c r="M44" s="1386"/>
      <c r="N44" s="654"/>
      <c r="O44" s="1391"/>
      <c r="P44" s="1392"/>
      <c r="Q44" s="1392"/>
      <c r="R44" s="1393"/>
      <c r="S44" s="1421"/>
    </row>
    <row r="45" spans="1:19" ht="18" hidden="1" customHeight="1">
      <c r="A45" s="1426"/>
      <c r="B45" s="381" t="s">
        <v>207</v>
      </c>
      <c r="C45" s="1417"/>
      <c r="D45" s="1418"/>
      <c r="E45" s="1419"/>
      <c r="F45" s="657"/>
      <c r="G45" s="243"/>
      <c r="H45" s="114"/>
      <c r="I45" s="114"/>
      <c r="J45" s="655"/>
      <c r="K45" s="391"/>
      <c r="L45" s="240"/>
      <c r="M45" s="1387"/>
      <c r="N45" s="428"/>
      <c r="O45" s="1394"/>
      <c r="P45" s="1395"/>
      <c r="Q45" s="1395"/>
      <c r="R45" s="1396"/>
      <c r="S45" s="1422"/>
    </row>
    <row r="46" spans="1:19" ht="18" hidden="1" customHeight="1">
      <c r="A46" s="1260" t="s">
        <v>20</v>
      </c>
      <c r="B46" s="84" t="s">
        <v>205</v>
      </c>
      <c r="C46" s="1382"/>
      <c r="D46" s="1383"/>
      <c r="E46" s="1384"/>
      <c r="F46" s="380"/>
      <c r="G46" s="245"/>
      <c r="H46" s="85"/>
      <c r="I46" s="85"/>
      <c r="J46" s="656"/>
      <c r="K46" s="393"/>
      <c r="L46" s="251"/>
      <c r="M46" s="1385"/>
      <c r="N46" s="428"/>
      <c r="O46" s="1388"/>
      <c r="P46" s="1389"/>
      <c r="Q46" s="1389"/>
      <c r="R46" s="1390"/>
      <c r="S46" s="1423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6"/>
      <c r="N47" s="654"/>
      <c r="O47" s="1391"/>
      <c r="P47" s="1392"/>
      <c r="Q47" s="1392"/>
      <c r="R47" s="1393"/>
      <c r="S47" s="1424"/>
    </row>
    <row r="48" spans="1:19" s="132" customFormat="1" ht="16.5" hidden="1" customHeight="1">
      <c r="A48" s="1260"/>
      <c r="B48" s="134" t="s">
        <v>0</v>
      </c>
      <c r="C48" s="1382"/>
      <c r="D48" s="1383"/>
      <c r="E48" s="1384"/>
      <c r="F48" s="380"/>
      <c r="G48" s="246"/>
      <c r="H48" s="95"/>
      <c r="I48" s="95"/>
      <c r="J48" s="390"/>
      <c r="K48" s="390"/>
      <c r="L48" s="389"/>
      <c r="M48" s="1387"/>
      <c r="N48" s="654"/>
      <c r="O48" s="1394"/>
      <c r="P48" s="1395"/>
      <c r="Q48" s="1395"/>
      <c r="R48" s="1396"/>
      <c r="S48" s="1425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5"/>
      <c r="N49" s="654"/>
      <c r="O49" s="1388"/>
      <c r="P49" s="1389"/>
      <c r="Q49" s="1389"/>
      <c r="R49" s="1390"/>
      <c r="S49" s="1420"/>
    </row>
    <row r="50" spans="1:24" ht="18" hidden="1" customHeight="1">
      <c r="A50" s="1260"/>
      <c r="B50" s="381" t="s">
        <v>43</v>
      </c>
      <c r="C50" s="1417"/>
      <c r="D50" s="1418"/>
      <c r="E50" s="1419"/>
      <c r="F50" s="114"/>
      <c r="G50" s="243"/>
      <c r="H50" s="114"/>
      <c r="I50" s="114"/>
      <c r="J50" s="655"/>
      <c r="K50" s="391"/>
      <c r="L50" s="240"/>
      <c r="M50" s="1386"/>
      <c r="N50" s="654"/>
      <c r="O50" s="1391"/>
      <c r="P50" s="1392"/>
      <c r="Q50" s="1392"/>
      <c r="R50" s="1393"/>
      <c r="S50" s="1421"/>
    </row>
    <row r="51" spans="1:24" ht="15.75" hidden="1" customHeight="1">
      <c r="A51" s="1260"/>
      <c r="B51" s="381" t="s">
        <v>207</v>
      </c>
      <c r="C51" s="1417"/>
      <c r="D51" s="1418"/>
      <c r="E51" s="1419"/>
      <c r="F51" s="657"/>
      <c r="G51" s="243"/>
      <c r="H51" s="114"/>
      <c r="I51" s="114"/>
      <c r="J51" s="655"/>
      <c r="K51" s="391"/>
      <c r="L51" s="240"/>
      <c r="M51" s="1387"/>
      <c r="N51" s="428"/>
      <c r="O51" s="1394"/>
      <c r="P51" s="1395"/>
      <c r="Q51" s="1395"/>
      <c r="R51" s="1396"/>
      <c r="S51" s="1422"/>
    </row>
    <row r="52" spans="1:24" ht="17.25" customHeight="1">
      <c r="A52" s="1126" t="s">
        <v>21</v>
      </c>
      <c r="B52" s="84" t="s">
        <v>0</v>
      </c>
      <c r="C52" s="1427" t="s">
        <v>633</v>
      </c>
      <c r="D52" s="1427"/>
      <c r="E52" s="1427"/>
      <c r="F52" s="827"/>
      <c r="G52" s="828"/>
      <c r="H52" s="815"/>
      <c r="I52" s="827"/>
      <c r="J52" s="828"/>
      <c r="K52" s="828"/>
      <c r="L52" s="828"/>
      <c r="M52" s="661"/>
      <c r="N52" s="662"/>
      <c r="O52" s="1361"/>
      <c r="P52" s="1361"/>
      <c r="Q52" s="1361"/>
      <c r="R52" s="1361"/>
      <c r="S52" s="822"/>
      <c r="V52" s="1382" t="s">
        <v>633</v>
      </c>
      <c r="W52" s="1383"/>
      <c r="X52" s="1384"/>
    </row>
    <row r="53" spans="1:24" ht="17.25" customHeight="1">
      <c r="A53" s="1127"/>
      <c r="B53" s="881" t="s">
        <v>43</v>
      </c>
      <c r="C53" s="1360" t="s">
        <v>633</v>
      </c>
      <c r="D53" s="1360"/>
      <c r="E53" s="1360"/>
      <c r="F53" s="418"/>
      <c r="G53" s="660"/>
      <c r="H53" s="880"/>
      <c r="I53" s="418"/>
      <c r="J53" s="660"/>
      <c r="K53" s="660"/>
      <c r="L53" s="660"/>
      <c r="M53" s="661"/>
      <c r="N53" s="662"/>
      <c r="O53" s="1361"/>
      <c r="P53" s="1361"/>
      <c r="Q53" s="1361"/>
      <c r="R53" s="1361"/>
      <c r="S53" s="822"/>
      <c r="V53" s="1382" t="s">
        <v>633</v>
      </c>
      <c r="W53" s="1383"/>
      <c r="X53" s="1384"/>
    </row>
    <row r="54" spans="1:24" ht="51.75" customHeight="1">
      <c r="A54" s="1126" t="s">
        <v>22</v>
      </c>
      <c r="B54" s="84" t="s">
        <v>0</v>
      </c>
      <c r="C54" s="1427" t="e">
        <f>#REF!</f>
        <v>#REF!</v>
      </c>
      <c r="D54" s="1427"/>
      <c r="E54" s="1427"/>
      <c r="F54" s="827" t="s">
        <v>962</v>
      </c>
      <c r="G54" s="852" t="e">
        <f>#REF!</f>
        <v>#REF!</v>
      </c>
      <c r="H54" s="815"/>
      <c r="I54" s="827">
        <v>3</v>
      </c>
      <c r="J54" s="852" t="e">
        <f>#REF!</f>
        <v>#REF!</v>
      </c>
      <c r="K54" s="885" t="e">
        <f>#REF!</f>
        <v>#REF!</v>
      </c>
      <c r="L54" s="885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35.25" customHeight="1">
      <c r="A55" s="1127"/>
      <c r="B55" s="881" t="s">
        <v>43</v>
      </c>
      <c r="C55" s="1360" t="e">
        <f>#REF!</f>
        <v>#REF!</v>
      </c>
      <c r="D55" s="1360"/>
      <c r="E55" s="1360"/>
      <c r="F55" s="418" t="s">
        <v>962</v>
      </c>
      <c r="G55" s="840" t="e">
        <f>#REF!</f>
        <v>#REF!</v>
      </c>
      <c r="H55" s="880"/>
      <c r="I55" s="418">
        <v>2</v>
      </c>
      <c r="J55" s="840" t="e">
        <f>#REF!</f>
        <v>#REF!</v>
      </c>
      <c r="K55" s="890" t="e">
        <f>#REF!</f>
        <v>#REF!</v>
      </c>
      <c r="L55" s="890" t="e">
        <f>#REF!</f>
        <v>#REF!</v>
      </c>
      <c r="M55" s="863" t="e">
        <f>#REF!</f>
        <v>#REF!</v>
      </c>
      <c r="N55" s="415" t="e">
        <f>#REF!</f>
        <v>#REF!</v>
      </c>
      <c r="O55" s="1364" t="e">
        <f>#REF!</f>
        <v>#REF!</v>
      </c>
      <c r="P55" s="1365"/>
      <c r="Q55" s="1365"/>
      <c r="R55" s="1366"/>
      <c r="S55" s="821" t="e">
        <f>#REF!</f>
        <v>#REF!</v>
      </c>
    </row>
    <row r="56" spans="1:24" ht="35.25" customHeight="1">
      <c r="A56" s="1428" t="s">
        <v>23</v>
      </c>
      <c r="B56" s="84" t="s">
        <v>0</v>
      </c>
      <c r="C56" s="1427" t="e">
        <f>#REF!</f>
        <v>#REF!</v>
      </c>
      <c r="D56" s="1427"/>
      <c r="E56" s="1427"/>
      <c r="F56" s="827" t="s">
        <v>989</v>
      </c>
      <c r="G56" s="828" t="e">
        <f>#REF!</f>
        <v>#REF!</v>
      </c>
      <c r="H56" s="815"/>
      <c r="I56" s="827">
        <v>2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65" t="e">
        <f>#REF!</f>
        <v>#REF!</v>
      </c>
      <c r="N56" s="662" t="e">
        <f>#REF!</f>
        <v>#REF!</v>
      </c>
      <c r="O56" s="1364" t="e">
        <f>#REF!</f>
        <v>#REF!</v>
      </c>
      <c r="P56" s="1365"/>
      <c r="Q56" s="1365"/>
      <c r="R56" s="1366"/>
      <c r="S56" s="822" t="e">
        <f>#REF!</f>
        <v>#REF!</v>
      </c>
    </row>
    <row r="57" spans="1:24" ht="33.75" customHeight="1">
      <c r="A57" s="1563"/>
      <c r="B57" s="381" t="s">
        <v>43</v>
      </c>
      <c r="C57" s="1360" t="e">
        <f>#REF!</f>
        <v>#REF!</v>
      </c>
      <c r="D57" s="1360"/>
      <c r="E57" s="1360"/>
      <c r="F57" s="418" t="s">
        <v>990</v>
      </c>
      <c r="G57" s="660" t="e">
        <f>#REF!</f>
        <v>#REF!</v>
      </c>
      <c r="H57" s="880"/>
      <c r="I57" s="418">
        <v>4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65" t="e">
        <f>#REF!</f>
        <v>#REF!</v>
      </c>
      <c r="N57" s="662" t="e">
        <f>#REF!</f>
        <v>#REF!</v>
      </c>
      <c r="O57" s="1364" t="e">
        <f>#REF!</f>
        <v>#REF!</v>
      </c>
      <c r="P57" s="1365"/>
      <c r="Q57" s="1365"/>
      <c r="R57" s="1366"/>
      <c r="S57" s="822" t="e">
        <f>#REF!</f>
        <v>#REF!</v>
      </c>
    </row>
    <row r="58" spans="1:24" ht="17.25" customHeight="1">
      <c r="A58" s="1126" t="s">
        <v>24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661"/>
      <c r="N59" s="662"/>
      <c r="O59" s="1361"/>
      <c r="P59" s="1361"/>
      <c r="Q59" s="1361"/>
      <c r="R59" s="1361"/>
      <c r="S59" s="877"/>
    </row>
    <row r="60" spans="1:24" ht="33.75" customHeight="1">
      <c r="A60" s="1260" t="s">
        <v>634</v>
      </c>
      <c r="B60" s="84" t="s">
        <v>0</v>
      </c>
      <c r="C60" s="1427" t="e">
        <f>#REF!</f>
        <v>#REF!</v>
      </c>
      <c r="D60" s="1427"/>
      <c r="E60" s="1427"/>
      <c r="F60" s="827" t="s">
        <v>775</v>
      </c>
      <c r="G60" s="828" t="e">
        <f>#REF!</f>
        <v>#REF!</v>
      </c>
      <c r="H60" s="815"/>
      <c r="I60" s="827">
        <v>4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17.25" customHeight="1">
      <c r="A61" s="1260"/>
      <c r="B61" s="381" t="s">
        <v>43</v>
      </c>
      <c r="C61" s="1360" t="e">
        <f>#REF!</f>
        <v>#REF!</v>
      </c>
      <c r="D61" s="1360"/>
      <c r="E61" s="1360"/>
      <c r="F61" s="418" t="s">
        <v>699</v>
      </c>
      <c r="G61" s="660" t="e">
        <f>#REF!</f>
        <v>#REF!</v>
      </c>
      <c r="H61" s="880"/>
      <c r="I61" s="418">
        <v>5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7" t="e">
        <f>#REF!</f>
        <v>#REF!</v>
      </c>
      <c r="O61" s="1430" t="e">
        <f>#REF!</f>
        <v>#REF!</v>
      </c>
      <c r="P61" s="1431"/>
      <c r="Q61" s="1431"/>
      <c r="R61" s="1432"/>
      <c r="S61" s="822" t="e">
        <f>#REF!</f>
        <v>#REF!</v>
      </c>
    </row>
    <row r="62" spans="1:24" ht="17.25" customHeight="1">
      <c r="A62" s="1126" t="s">
        <v>416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8"/>
      <c r="O62" s="1333"/>
      <c r="P62" s="1334"/>
      <c r="Q62" s="1334"/>
      <c r="R62" s="1335"/>
      <c r="S62" s="855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8"/>
      <c r="O63" s="1333"/>
      <c r="P63" s="1334"/>
      <c r="Q63" s="1334"/>
      <c r="R63" s="1335"/>
      <c r="S63" s="855"/>
    </row>
    <row r="64" spans="1:24" ht="17.25" customHeight="1">
      <c r="A64" s="1126" t="s">
        <v>635</v>
      </c>
      <c r="B64" s="84" t="s">
        <v>0</v>
      </c>
      <c r="C64" s="1427" t="e">
        <f>#REF!</f>
        <v>#REF!</v>
      </c>
      <c r="D64" s="1427"/>
      <c r="E64" s="1427"/>
      <c r="F64" s="827" t="s">
        <v>703</v>
      </c>
      <c r="G64" s="828" t="e">
        <f>#REF!</f>
        <v>#REF!</v>
      </c>
      <c r="H64" s="815"/>
      <c r="I64" s="827">
        <v>1</v>
      </c>
      <c r="J64" s="828" t="e">
        <f>#REF!</f>
        <v>#REF!</v>
      </c>
      <c r="K64" s="828" t="e">
        <f>#REF!</f>
        <v>#REF!</v>
      </c>
      <c r="L64" s="828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48" t="e">
        <f>#REF!</f>
        <v>#REF!</v>
      </c>
    </row>
    <row r="65" spans="1:79" ht="17.25" customHeight="1">
      <c r="A65" s="1189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48"/>
    </row>
    <row r="66" spans="1:79" ht="36" customHeight="1">
      <c r="A66" s="1126" t="s">
        <v>636</v>
      </c>
      <c r="B66" s="84" t="s">
        <v>0</v>
      </c>
      <c r="C66" s="1427" t="e">
        <f>#REF!</f>
        <v>#REF!</v>
      </c>
      <c r="D66" s="1427"/>
      <c r="E66" s="1427"/>
      <c r="F66" s="827" t="s">
        <v>991</v>
      </c>
      <c r="G66" s="828" t="e">
        <f>#REF!</f>
        <v>#REF!</v>
      </c>
      <c r="H66" s="815"/>
      <c r="I66" s="827">
        <v>3</v>
      </c>
      <c r="J66" s="828" t="e">
        <f>#REF!</f>
        <v>#REF!</v>
      </c>
      <c r="K66" s="828" t="e">
        <f>#REF!</f>
        <v>#REF!</v>
      </c>
      <c r="L66" s="828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48" t="e">
        <f>#REF!</f>
        <v>#REF!</v>
      </c>
    </row>
    <row r="67" spans="1:79" ht="17.25" customHeight="1">
      <c r="A67" s="1127"/>
      <c r="B67" s="381" t="s">
        <v>43</v>
      </c>
      <c r="C67" s="1360" t="e">
        <f>#REF!</f>
        <v>#REF!</v>
      </c>
      <c r="D67" s="1360"/>
      <c r="E67" s="1360"/>
      <c r="F67" s="418" t="s">
        <v>992</v>
      </c>
      <c r="G67" s="660" t="e">
        <f>#REF!</f>
        <v>#REF!</v>
      </c>
      <c r="H67" s="880"/>
      <c r="I67" s="418">
        <v>3</v>
      </c>
      <c r="J67" s="660" t="e">
        <f>#REF!</f>
        <v>#REF!</v>
      </c>
      <c r="K67" s="660" t="e">
        <f>#REF!</f>
        <v>#REF!</v>
      </c>
      <c r="L67" s="660" t="e">
        <f>#REF!</f>
        <v>#REF!</v>
      </c>
      <c r="M67" s="816" t="e">
        <f>#REF!</f>
        <v>#REF!</v>
      </c>
      <c r="N67" s="817" t="e">
        <f>#REF!</f>
        <v>#REF!</v>
      </c>
      <c r="O67" s="1436" t="e">
        <f>#REF!</f>
        <v>#REF!</v>
      </c>
      <c r="P67" s="1436"/>
      <c r="Q67" s="1436"/>
      <c r="R67" s="1436"/>
      <c r="S67" s="821" t="e">
        <f>#REF!</f>
        <v>#REF!</v>
      </c>
    </row>
    <row r="68" spans="1:79" ht="17.25" customHeight="1">
      <c r="A68" s="831"/>
      <c r="B68" s="841"/>
      <c r="C68" s="882"/>
      <c r="D68" s="883"/>
      <c r="E68" s="884"/>
      <c r="F68" s="827"/>
      <c r="G68" s="828"/>
      <c r="H68" s="815"/>
      <c r="I68" s="827"/>
      <c r="J68" s="832" t="s">
        <v>666</v>
      </c>
      <c r="K68" s="836" t="e">
        <f>SUM(K52:K67)</f>
        <v>#REF!</v>
      </c>
      <c r="L68" s="839"/>
      <c r="M68" s="816"/>
      <c r="N68" s="817"/>
      <c r="O68" s="1433"/>
      <c r="P68" s="1434"/>
      <c r="Q68" s="1434"/>
      <c r="R68" s="1435"/>
      <c r="S68" s="811"/>
    </row>
    <row r="69" spans="1:79" ht="17.25" customHeight="1">
      <c r="A69" s="1568" t="s">
        <v>25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437"/>
      <c r="P69" s="1438"/>
      <c r="Q69" s="1438"/>
      <c r="R69" s="1439"/>
      <c r="S69" s="876"/>
    </row>
    <row r="70" spans="1:79" ht="17.25" customHeight="1">
      <c r="A70" s="1570"/>
      <c r="B70" s="3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415"/>
      <c r="O70" s="1554"/>
      <c r="P70" s="1555"/>
      <c r="Q70" s="1555"/>
      <c r="R70" s="1556"/>
      <c r="S70" s="891"/>
    </row>
    <row r="71" spans="1:79" ht="67.5" customHeight="1">
      <c r="A71" s="1126" t="s">
        <v>62</v>
      </c>
      <c r="B71" s="84" t="s">
        <v>0</v>
      </c>
      <c r="C71" s="1427" t="e">
        <f>#REF!</f>
        <v>#REF!</v>
      </c>
      <c r="D71" s="1427"/>
      <c r="E71" s="1427"/>
      <c r="F71" s="827" t="s">
        <v>993</v>
      </c>
      <c r="G71" s="828" t="e">
        <f>#REF!</f>
        <v>#REF!</v>
      </c>
      <c r="H71" s="815"/>
      <c r="I71" s="827">
        <v>3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415" t="e">
        <f>#REF!</f>
        <v>#REF!</v>
      </c>
      <c r="O71" s="1437" t="e">
        <f>#REF!</f>
        <v>#REF!</v>
      </c>
      <c r="P71" s="1438"/>
      <c r="Q71" s="1438"/>
      <c r="R71" s="1439"/>
      <c r="S71" s="876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36" customHeight="1">
      <c r="A72" s="1127"/>
      <c r="B72" s="381" t="s">
        <v>43</v>
      </c>
      <c r="C72" s="1360" t="e">
        <f>#REF!</f>
        <v>#REF!</v>
      </c>
      <c r="D72" s="1360"/>
      <c r="E72" s="1360"/>
      <c r="F72" s="418" t="s">
        <v>994</v>
      </c>
      <c r="G72" s="660" t="e">
        <f>#REF!</f>
        <v>#REF!</v>
      </c>
      <c r="H72" s="880"/>
      <c r="I72" s="418">
        <v>2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415" t="e">
        <f>#REF!</f>
        <v>#REF!</v>
      </c>
      <c r="O72" s="1549" t="e">
        <f>#REF!</f>
        <v>#REF!</v>
      </c>
      <c r="P72" s="1550"/>
      <c r="Q72" s="1550"/>
      <c r="R72" s="1551"/>
      <c r="S72" s="876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69.75" customHeight="1">
      <c r="A73" s="1126" t="s">
        <v>640</v>
      </c>
      <c r="B73" s="84" t="s">
        <v>0</v>
      </c>
      <c r="C73" s="1427" t="e">
        <f>#REF!</f>
        <v>#REF!</v>
      </c>
      <c r="D73" s="1427"/>
      <c r="E73" s="1427"/>
      <c r="F73" s="827" t="s">
        <v>995</v>
      </c>
      <c r="G73" s="828" t="e">
        <f>#REF!</f>
        <v>#REF!</v>
      </c>
      <c r="H73" s="815"/>
      <c r="I73" s="827">
        <v>1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36" customHeight="1">
      <c r="A74" s="1127"/>
      <c r="B74" s="881" t="s">
        <v>43</v>
      </c>
      <c r="C74" s="1360" t="e">
        <f>#REF!</f>
        <v>#REF!</v>
      </c>
      <c r="D74" s="1360"/>
      <c r="E74" s="1360"/>
      <c r="F74" s="418" t="s">
        <v>995</v>
      </c>
      <c r="G74" s="660" t="e">
        <f>#REF!</f>
        <v>#REF!</v>
      </c>
      <c r="H74" s="880"/>
      <c r="I74" s="418">
        <v>4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659" t="e">
        <f>#REF!</f>
        <v>#REF!</v>
      </c>
      <c r="N74" s="658" t="e">
        <f>#REF!</f>
        <v>#REF!</v>
      </c>
      <c r="O74" s="1437" t="e">
        <f>#REF!</f>
        <v>#REF!</v>
      </c>
      <c r="P74" s="1438"/>
      <c r="Q74" s="1438"/>
      <c r="R74" s="1439"/>
      <c r="S74" s="823" t="e">
        <f>#REF!</f>
        <v>#REF!</v>
      </c>
    </row>
    <row r="75" spans="1:79" ht="17.25" customHeight="1">
      <c r="A75" s="1440" t="s">
        <v>26</v>
      </c>
      <c r="B75" s="84" t="s">
        <v>0</v>
      </c>
      <c r="C75" s="1427" t="e">
        <f>#REF!</f>
        <v>#REF!</v>
      </c>
      <c r="D75" s="1427"/>
      <c r="E75" s="1427"/>
      <c r="F75" s="827" t="s">
        <v>732</v>
      </c>
      <c r="G75" s="828" t="e">
        <f>#REF!</f>
        <v>#REF!</v>
      </c>
      <c r="H75" s="815"/>
      <c r="I75" s="827">
        <v>4</v>
      </c>
      <c r="J75" s="828" t="e">
        <f>#REF!</f>
        <v>#REF!</v>
      </c>
      <c r="K75" s="828" t="e">
        <f>#REF!</f>
        <v>#REF!</v>
      </c>
      <c r="L75" s="828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35.25" customHeight="1">
      <c r="A76" s="1441"/>
      <c r="B76" s="881" t="s">
        <v>43</v>
      </c>
      <c r="C76" s="1360" t="e">
        <f>#REF!</f>
        <v>#REF!</v>
      </c>
      <c r="D76" s="1360"/>
      <c r="E76" s="1360"/>
      <c r="F76" s="418" t="s">
        <v>732</v>
      </c>
      <c r="G76" s="660" t="e">
        <f>#REF!</f>
        <v>#REF!</v>
      </c>
      <c r="H76" s="880"/>
      <c r="I76" s="418">
        <v>4</v>
      </c>
      <c r="J76" s="660" t="e">
        <f>#REF!</f>
        <v>#REF!</v>
      </c>
      <c r="K76" s="660" t="e">
        <f>#REF!</f>
        <v>#REF!</v>
      </c>
      <c r="L76" s="660" t="e">
        <f>#REF!</f>
        <v>#REF!</v>
      </c>
      <c r="M76" s="842" t="e">
        <f>#REF!</f>
        <v>#REF!</v>
      </c>
      <c r="N76" s="415" t="e">
        <f>#REF!</f>
        <v>#REF!</v>
      </c>
      <c r="O76" s="1442" t="e">
        <f>#REF!</f>
        <v>#REF!</v>
      </c>
      <c r="P76" s="1443"/>
      <c r="Q76" s="1443"/>
      <c r="R76" s="1444"/>
      <c r="S76" s="822" t="e">
        <f>#REF!</f>
        <v>#REF!</v>
      </c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27</v>
      </c>
      <c r="B77" s="841" t="s">
        <v>0</v>
      </c>
      <c r="C77" s="1427" t="e">
        <f>#REF!</f>
        <v>#REF!</v>
      </c>
      <c r="D77" s="1427"/>
      <c r="E77" s="1427"/>
      <c r="F77" s="827" t="s">
        <v>734</v>
      </c>
      <c r="G77" s="828" t="e">
        <f>#REF!</f>
        <v>#REF!</v>
      </c>
      <c r="H77" s="815"/>
      <c r="I77" s="827">
        <v>4</v>
      </c>
      <c r="J77" s="828" t="e">
        <f>#REF!</f>
        <v>#REF!</v>
      </c>
      <c r="K77" s="828" t="e">
        <f>#REF!</f>
        <v>#REF!</v>
      </c>
      <c r="L77" s="828" t="e">
        <f>#REF!</f>
        <v>#REF!</v>
      </c>
      <c r="M77" s="842" t="e">
        <f>#REF!</f>
        <v>#REF!</v>
      </c>
      <c r="N77" s="415" t="e">
        <f>#REF!</f>
        <v>#REF!</v>
      </c>
      <c r="O77" s="1442" t="e">
        <f>#REF!</f>
        <v>#REF!</v>
      </c>
      <c r="P77" s="1443"/>
      <c r="Q77" s="1443"/>
      <c r="R77" s="1444"/>
      <c r="S77" s="822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35.25" customHeight="1">
      <c r="A78" s="1441"/>
      <c r="B78" s="881" t="s">
        <v>43</v>
      </c>
      <c r="C78" s="1360" t="e">
        <f>#REF!</f>
        <v>#REF!</v>
      </c>
      <c r="D78" s="1360"/>
      <c r="E78" s="1360"/>
      <c r="F78" s="418" t="s">
        <v>734</v>
      </c>
      <c r="G78" s="660" t="e">
        <f>#REF!</f>
        <v>#REF!</v>
      </c>
      <c r="H78" s="880"/>
      <c r="I78" s="418">
        <v>3</v>
      </c>
      <c r="J78" s="660" t="e">
        <f>#REF!</f>
        <v>#REF!</v>
      </c>
      <c r="K78" s="660" t="e">
        <f>#REF!</f>
        <v>#REF!</v>
      </c>
      <c r="L78" s="660" t="e">
        <f>#REF!</f>
        <v>#REF!</v>
      </c>
      <c r="M78" s="842" t="e">
        <f>#REF!</f>
        <v>#REF!</v>
      </c>
      <c r="N78" s="415" t="e">
        <f>#REF!</f>
        <v>#REF!</v>
      </c>
      <c r="O78" s="1442" t="e">
        <f>#REF!</f>
        <v>#REF!</v>
      </c>
      <c r="P78" s="1443"/>
      <c r="Q78" s="1443"/>
      <c r="R78" s="1444"/>
      <c r="S78" s="822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440" t="s">
        <v>641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441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659"/>
      <c r="N80" s="415"/>
      <c r="O80" s="1437"/>
      <c r="P80" s="1438"/>
      <c r="Q80" s="1438"/>
      <c r="R80" s="1439"/>
      <c r="S80" s="822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35.25" customHeight="1">
      <c r="A81" s="1126" t="s">
        <v>642</v>
      </c>
      <c r="B81" s="84" t="s">
        <v>0</v>
      </c>
      <c r="C81" s="1427" t="e">
        <f>#REF!</f>
        <v>#REF!</v>
      </c>
      <c r="D81" s="1427"/>
      <c r="E81" s="1427"/>
      <c r="F81" s="827" t="s">
        <v>901</v>
      </c>
      <c r="G81" s="828" t="e">
        <f>#REF!</f>
        <v>#REF!</v>
      </c>
      <c r="H81" s="815"/>
      <c r="I81" s="827">
        <v>0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816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89"/>
      <c r="B82" s="881" t="s">
        <v>43</v>
      </c>
      <c r="C82" s="1360" t="e">
        <f>#REF!</f>
        <v>#REF!</v>
      </c>
      <c r="D82" s="1360"/>
      <c r="E82" s="1360"/>
      <c r="F82" s="418" t="s">
        <v>901</v>
      </c>
      <c r="G82" s="660" t="e">
        <f>#REF!</f>
        <v>#REF!</v>
      </c>
      <c r="H82" s="880"/>
      <c r="I82" s="418">
        <v>0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816" t="e">
        <f>#REF!</f>
        <v>#REF!</v>
      </c>
      <c r="N82" s="415" t="e">
        <f>#REF!</f>
        <v>#REF!</v>
      </c>
      <c r="O82" s="1437"/>
      <c r="P82" s="1438"/>
      <c r="Q82" s="1438"/>
      <c r="R82" s="1439"/>
      <c r="S82" s="823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643</v>
      </c>
      <c r="B83" s="84" t="s">
        <v>0</v>
      </c>
      <c r="C83" s="1427" t="e">
        <f>#REF!</f>
        <v>#REF!</v>
      </c>
      <c r="D83" s="1427"/>
      <c r="E83" s="1427"/>
      <c r="F83" s="827" t="s">
        <v>735</v>
      </c>
      <c r="G83" s="828" t="e">
        <f>#REF!</f>
        <v>#REF!</v>
      </c>
      <c r="H83" s="815"/>
      <c r="I83" s="827">
        <v>0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554" t="e">
        <f>#REF!</f>
        <v>#REF!</v>
      </c>
      <c r="P83" s="1555"/>
      <c r="Q83" s="1555"/>
      <c r="R83" s="1556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34.5" customHeight="1">
      <c r="A84" s="1189"/>
      <c r="B84" s="84" t="s">
        <v>0</v>
      </c>
      <c r="C84" s="1427" t="e">
        <f>#REF!</f>
        <v>#REF!</v>
      </c>
      <c r="D84" s="1427"/>
      <c r="E84" s="1427"/>
      <c r="F84" s="827" t="s">
        <v>735</v>
      </c>
      <c r="G84" s="828" t="e">
        <f>#REF!</f>
        <v>#REF!</v>
      </c>
      <c r="H84" s="815"/>
      <c r="I84" s="827">
        <v>5</v>
      </c>
      <c r="J84" s="828" t="e">
        <f>#REF!</f>
        <v>#REF!</v>
      </c>
      <c r="K84" s="828" t="e">
        <f>#REF!</f>
        <v>#REF!</v>
      </c>
      <c r="L84" s="828" t="e">
        <f>#REF!</f>
        <v>#REF!</v>
      </c>
      <c r="M84" s="659" t="e">
        <f>#REF!</f>
        <v>#REF!</v>
      </c>
      <c r="N84" s="415" t="e">
        <f>#REF!</f>
        <v>#REF!</v>
      </c>
      <c r="O84" s="1549" t="e">
        <f>#REF!</f>
        <v>#REF!</v>
      </c>
      <c r="P84" s="1550"/>
      <c r="Q84" s="1550"/>
      <c r="R84" s="1551"/>
      <c r="S84" s="848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27"/>
      <c r="B85" s="881" t="s">
        <v>43</v>
      </c>
      <c r="C85" s="1360" t="e">
        <f>#REF!</f>
        <v>#REF!</v>
      </c>
      <c r="D85" s="1360"/>
      <c r="E85" s="1360"/>
      <c r="F85" s="418" t="s">
        <v>735</v>
      </c>
      <c r="G85" s="660" t="e">
        <f>#REF!</f>
        <v>#REF!</v>
      </c>
      <c r="H85" s="880"/>
      <c r="I85" s="418">
        <v>9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659" t="e">
        <f>#REF!</f>
        <v>#REF!</v>
      </c>
      <c r="N85" s="415" t="e">
        <f>#REF!</f>
        <v>#REF!</v>
      </c>
      <c r="O85" s="1437" t="e">
        <f>#REF!</f>
        <v>#REF!</v>
      </c>
      <c r="P85" s="1438"/>
      <c r="Q85" s="1438"/>
      <c r="R85" s="1439"/>
      <c r="S85" s="848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1260" t="s">
        <v>651</v>
      </c>
      <c r="B86" s="84" t="s">
        <v>0</v>
      </c>
      <c r="C86" s="1427" t="s">
        <v>633</v>
      </c>
      <c r="D86" s="1427"/>
      <c r="E86" s="1427"/>
      <c r="F86" s="827"/>
      <c r="G86" s="828"/>
      <c r="H86" s="815"/>
      <c r="I86" s="827"/>
      <c r="J86" s="828"/>
      <c r="K86" s="828"/>
      <c r="L86" s="828"/>
      <c r="M86" s="659"/>
      <c r="N86" s="415"/>
      <c r="O86" s="1437"/>
      <c r="P86" s="1438"/>
      <c r="Q86" s="1438"/>
      <c r="R86" s="1439"/>
      <c r="S86" s="823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ht="17.25" customHeight="1">
      <c r="A87" s="1260"/>
      <c r="B87" s="881" t="s">
        <v>43</v>
      </c>
      <c r="C87" s="1360" t="s">
        <v>633</v>
      </c>
      <c r="D87" s="1360"/>
      <c r="E87" s="1360"/>
      <c r="F87" s="418"/>
      <c r="G87" s="660"/>
      <c r="H87" s="880"/>
      <c r="I87" s="418"/>
      <c r="J87" s="660"/>
      <c r="K87" s="660"/>
      <c r="L87" s="660"/>
      <c r="M87" s="659"/>
      <c r="N87" s="415"/>
      <c r="O87" s="1437"/>
      <c r="P87" s="1438"/>
      <c r="Q87" s="1438"/>
      <c r="R87" s="1439"/>
      <c r="S87" s="823"/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  <c r="AF87" s="793"/>
      <c r="AG87" s="793"/>
      <c r="AH87" s="793"/>
      <c r="AI87" s="793"/>
      <c r="AJ87" s="793"/>
      <c r="AK87" s="793"/>
      <c r="AL87" s="793"/>
      <c r="AM87" s="793"/>
      <c r="AN87" s="793"/>
      <c r="AO87" s="793"/>
      <c r="AP87" s="793"/>
      <c r="AQ87" s="793"/>
      <c r="AR87" s="793"/>
      <c r="AS87" s="793"/>
      <c r="AT87" s="793"/>
      <c r="AU87" s="793"/>
      <c r="AV87" s="793"/>
      <c r="AW87" s="793"/>
      <c r="AX87" s="793"/>
      <c r="AY87" s="793"/>
      <c r="AZ87" s="793"/>
      <c r="BA87" s="793"/>
      <c r="BB87" s="793"/>
      <c r="BC87" s="793"/>
      <c r="BD87" s="793"/>
      <c r="BE87" s="793"/>
      <c r="BF87" s="793"/>
      <c r="BG87" s="793"/>
      <c r="BH87" s="793"/>
      <c r="BI87" s="793"/>
      <c r="BJ87" s="793"/>
      <c r="BK87" s="793"/>
      <c r="BL87" s="793"/>
      <c r="BM87" s="793"/>
      <c r="BN87" s="793"/>
      <c r="BO87" s="793"/>
      <c r="BP87" s="793"/>
      <c r="BQ87" s="793"/>
      <c r="BR87" s="793"/>
      <c r="BS87" s="793"/>
      <c r="BT87" s="793"/>
      <c r="BU87" s="793"/>
      <c r="BV87" s="793"/>
      <c r="BW87" s="793"/>
      <c r="BX87" s="793"/>
      <c r="BY87" s="793"/>
      <c r="BZ87" s="793"/>
      <c r="CA87" s="793"/>
    </row>
    <row r="88" spans="1:79" ht="17.25" customHeight="1">
      <c r="A88" s="837"/>
      <c r="B88" s="841"/>
      <c r="C88" s="882"/>
      <c r="D88" s="883"/>
      <c r="E88" s="883"/>
      <c r="F88" s="845"/>
      <c r="G88" s="846"/>
      <c r="H88" s="815"/>
      <c r="I88" s="827"/>
      <c r="J88" s="834" t="s">
        <v>666</v>
      </c>
      <c r="K88" s="847" t="e">
        <f>SUM(K69:K87)</f>
        <v>#REF!</v>
      </c>
      <c r="L88" s="829"/>
      <c r="M88" s="659"/>
      <c r="N88" s="415"/>
      <c r="O88" s="1437"/>
      <c r="P88" s="1438"/>
      <c r="Q88" s="1438"/>
      <c r="R88" s="1439"/>
      <c r="S88" s="862"/>
      <c r="T88" s="793"/>
      <c r="U88" s="793"/>
      <c r="V88" s="793"/>
      <c r="W88" s="793"/>
      <c r="X88" s="793"/>
      <c r="Y88" s="793"/>
      <c r="Z88" s="793"/>
      <c r="AA88" s="793"/>
      <c r="AB88" s="793"/>
      <c r="AC88" s="793"/>
      <c r="AD88" s="793"/>
      <c r="AE88" s="793"/>
      <c r="AF88" s="793"/>
      <c r="AG88" s="793"/>
      <c r="AH88" s="793"/>
      <c r="AI88" s="793"/>
      <c r="AJ88" s="793"/>
      <c r="AK88" s="793"/>
      <c r="AL88" s="793"/>
      <c r="AM88" s="793"/>
      <c r="AN88" s="793"/>
      <c r="AO88" s="793"/>
      <c r="AP88" s="793"/>
      <c r="AQ88" s="793"/>
      <c r="AR88" s="793"/>
      <c r="AS88" s="793"/>
      <c r="AT88" s="793"/>
      <c r="AU88" s="793"/>
      <c r="AV88" s="793"/>
      <c r="AW88" s="793"/>
      <c r="AX88" s="793"/>
      <c r="AY88" s="793"/>
      <c r="AZ88" s="793"/>
      <c r="BA88" s="793"/>
      <c r="BB88" s="793"/>
      <c r="BC88" s="793"/>
      <c r="BD88" s="793"/>
      <c r="BE88" s="793"/>
      <c r="BF88" s="793"/>
      <c r="BG88" s="793"/>
      <c r="BH88" s="793"/>
      <c r="BI88" s="793"/>
      <c r="BJ88" s="793"/>
      <c r="BK88" s="793"/>
      <c r="BL88" s="793"/>
      <c r="BM88" s="793"/>
      <c r="BN88" s="793"/>
      <c r="BO88" s="793"/>
      <c r="BP88" s="793"/>
      <c r="BQ88" s="793"/>
      <c r="BR88" s="793"/>
      <c r="BS88" s="793"/>
      <c r="BT88" s="793"/>
      <c r="BU88" s="793"/>
      <c r="BV88" s="793"/>
      <c r="BW88" s="793"/>
      <c r="BX88" s="793"/>
      <c r="BY88" s="793"/>
      <c r="BZ88" s="793"/>
      <c r="CA88" s="793"/>
    </row>
    <row r="89" spans="1:79" s="76" customFormat="1" ht="39" customHeight="1">
      <c r="A89" s="400" t="s">
        <v>63</v>
      </c>
      <c r="B89" s="400" t="s">
        <v>193</v>
      </c>
      <c r="C89" s="1445" t="s">
        <v>11</v>
      </c>
      <c r="D89" s="1446"/>
      <c r="E89" s="1446"/>
      <c r="F89" s="1446"/>
      <c r="G89" s="1447"/>
      <c r="H89" s="242" t="s">
        <v>216</v>
      </c>
      <c r="I89" s="242" t="s">
        <v>12</v>
      </c>
      <c r="J89" s="242" t="s">
        <v>13</v>
      </c>
      <c r="K89" s="405" t="s">
        <v>218</v>
      </c>
      <c r="L89" s="416" t="s">
        <v>60</v>
      </c>
      <c r="M89" s="257" t="s">
        <v>28</v>
      </c>
      <c r="N89" s="257" t="s">
        <v>45</v>
      </c>
      <c r="O89" s="1448" t="s">
        <v>29</v>
      </c>
      <c r="P89" s="1449"/>
      <c r="Q89" s="1449"/>
      <c r="R89" s="1450"/>
      <c r="S89" s="417" t="s">
        <v>57</v>
      </c>
    </row>
    <row r="90" spans="1:79" ht="18" customHeight="1">
      <c r="A90" s="1199">
        <v>401</v>
      </c>
      <c r="B90" s="84" t="s">
        <v>0</v>
      </c>
      <c r="C90" s="1290">
        <f>印401!I33</f>
        <v>0</v>
      </c>
      <c r="D90" s="1290"/>
      <c r="E90" s="1290"/>
      <c r="F90" s="1290"/>
      <c r="G90" s="1290"/>
      <c r="H90" s="849"/>
      <c r="I90" s="849">
        <f>印401!R33</f>
        <v>0</v>
      </c>
      <c r="J90" s="852">
        <f>印401!S33</f>
        <v>0</v>
      </c>
      <c r="K90" s="872">
        <f>印401!L33</f>
        <v>0</v>
      </c>
      <c r="L90" s="873">
        <f>印401!N33</f>
        <v>0</v>
      </c>
      <c r="M90" s="852">
        <f>印401!P33</f>
        <v>0</v>
      </c>
      <c r="N90" s="853">
        <f>印401!Q33</f>
        <v>0</v>
      </c>
      <c r="O90" s="1451"/>
      <c r="P90" s="1452"/>
      <c r="Q90" s="1452"/>
      <c r="R90" s="1453"/>
      <c r="S90" s="874">
        <f>印401!AB33</f>
        <v>0</v>
      </c>
    </row>
    <row r="91" spans="1:79" ht="18" customHeight="1">
      <c r="A91" s="1165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8" customHeight="1">
      <c r="A92" s="1461">
        <v>402</v>
      </c>
      <c r="B92" s="84" t="s">
        <v>205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73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533"/>
      <c r="B96" s="24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7.25" customHeight="1">
      <c r="A97" s="1467"/>
      <c r="B97" s="881" t="s">
        <v>43</v>
      </c>
      <c r="C97" s="1454" t="s">
        <v>633</v>
      </c>
      <c r="D97" s="1454"/>
      <c r="E97" s="1454"/>
      <c r="F97" s="1454"/>
      <c r="G97" s="1454"/>
      <c r="H97" s="664"/>
      <c r="I97" s="664"/>
      <c r="J97" s="840"/>
      <c r="K97" s="424"/>
      <c r="L97" s="840"/>
      <c r="M97" s="840"/>
      <c r="N97" s="672"/>
      <c r="O97" s="1455"/>
      <c r="P97" s="1456"/>
      <c r="Q97" s="1456"/>
      <c r="R97" s="1457"/>
      <c r="S97" s="810"/>
    </row>
    <row r="98" spans="1:19" ht="18" customHeight="1">
      <c r="A98" s="1199">
        <v>405</v>
      </c>
      <c r="B98" s="84" t="s">
        <v>0</v>
      </c>
      <c r="C98" s="1282" t="e">
        <f>#REF!</f>
        <v>#REF!</v>
      </c>
      <c r="D98" s="1283"/>
      <c r="E98" s="1283"/>
      <c r="F98" s="1283"/>
      <c r="G98" s="1468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165"/>
      <c r="B99" s="881" t="s">
        <v>43</v>
      </c>
      <c r="C99" s="1572" t="s">
        <v>633</v>
      </c>
      <c r="D99" s="1573"/>
      <c r="E99" s="1573"/>
      <c r="F99" s="1573"/>
      <c r="G99" s="1574"/>
      <c r="H99" s="664"/>
      <c r="I99" s="664"/>
      <c r="J99" s="840"/>
      <c r="K99" s="424"/>
      <c r="L99" s="840"/>
      <c r="M99" s="840"/>
      <c r="N99" s="672"/>
      <c r="O99" s="1455"/>
      <c r="P99" s="1456"/>
      <c r="Q99" s="1456"/>
      <c r="R99" s="1457"/>
      <c r="S99" s="810"/>
    </row>
    <row r="100" spans="1:19" ht="18" customHeight="1">
      <c r="A100" s="314"/>
      <c r="B100" s="841"/>
      <c r="C100" s="1458"/>
      <c r="D100" s="1459"/>
      <c r="E100" s="1459"/>
      <c r="F100" s="1459"/>
      <c r="G100" s="1460"/>
      <c r="H100" s="849"/>
      <c r="I100" s="849"/>
      <c r="J100" s="834" t="s">
        <v>666</v>
      </c>
      <c r="K100" s="835" t="e">
        <f>SUM(K90:K99)</f>
        <v>#REF!</v>
      </c>
      <c r="L100" s="852"/>
      <c r="M100" s="852"/>
      <c r="N100" s="853"/>
      <c r="O100" s="886"/>
      <c r="P100" s="887"/>
      <c r="Q100" s="887"/>
      <c r="R100" s="888"/>
      <c r="S100" s="854"/>
    </row>
    <row r="101" spans="1:19" s="76" customFormat="1" ht="31.7" hidden="1" customHeight="1">
      <c r="A101" s="400" t="s">
        <v>425</v>
      </c>
      <c r="B101" s="400" t="s">
        <v>193</v>
      </c>
      <c r="C101" s="1282" t="e">
        <f>[1]印403!J91</f>
        <v>#REF!</v>
      </c>
      <c r="D101" s="1283"/>
      <c r="E101" s="1283"/>
      <c r="F101" s="1283"/>
      <c r="G101" s="1468"/>
      <c r="H101" s="242" t="s">
        <v>216</v>
      </c>
      <c r="I101" s="242" t="s">
        <v>12</v>
      </c>
      <c r="J101" s="242" t="s">
        <v>13</v>
      </c>
      <c r="K101" s="405" t="s">
        <v>218</v>
      </c>
      <c r="L101" s="427" t="s">
        <v>60</v>
      </c>
      <c r="M101" s="399" t="e">
        <f>[1]印403!O90</f>
        <v>#REF!</v>
      </c>
      <c r="N101" s="257" t="s">
        <v>45</v>
      </c>
      <c r="O101" s="1448" t="s">
        <v>29</v>
      </c>
      <c r="P101" s="1449"/>
      <c r="Q101" s="1449"/>
      <c r="R101" s="1450"/>
      <c r="S101" s="417" t="s">
        <v>57</v>
      </c>
    </row>
    <row r="102" spans="1:19" ht="15" hidden="1" customHeight="1">
      <c r="A102" s="1199" t="s">
        <v>426</v>
      </c>
      <c r="B102" s="84" t="s">
        <v>205</v>
      </c>
      <c r="C102" s="1282" t="e">
        <f>[1]印403!J92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[1]印403!O91</f>
        <v>#REF!</v>
      </c>
      <c r="N102" s="399"/>
      <c r="O102" s="1469"/>
      <c r="P102" s="1245"/>
      <c r="Q102" s="1245"/>
      <c r="R102" s="1246"/>
      <c r="S102" s="1470"/>
    </row>
    <row r="103" spans="1:19" ht="13.7" hidden="1" customHeight="1">
      <c r="A103" s="1216"/>
      <c r="B103" s="84" t="s">
        <v>205</v>
      </c>
      <c r="C103" s="1282" t="e">
        <f>[1]印403!J93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[1]印403!O92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[1]印403!J94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[1]印403!O93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[1]印403!J95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[1]印403!O94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[1]印403!J96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[1]印403!O95</f>
        <v>#REF!</v>
      </c>
      <c r="N106" s="425"/>
      <c r="O106" s="669"/>
      <c r="P106" s="670"/>
      <c r="Q106" s="670"/>
      <c r="R106" s="671"/>
      <c r="S106" s="1471"/>
    </row>
    <row r="107" spans="1:19" ht="16.5" hidden="1" customHeight="1">
      <c r="A107" s="1216"/>
      <c r="B107" s="881" t="s">
        <v>43</v>
      </c>
      <c r="C107" s="1282" t="e">
        <f>[1]印403!J97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[1]印403!O96</f>
        <v>#REF!</v>
      </c>
      <c r="N107" s="672"/>
      <c r="O107" s="1476"/>
      <c r="P107" s="1477"/>
      <c r="Q107" s="1477"/>
      <c r="R107" s="1478"/>
      <c r="S107" s="1485"/>
    </row>
    <row r="108" spans="1:19" ht="15" hidden="1" customHeight="1">
      <c r="A108" s="1216"/>
      <c r="B108" s="881" t="s">
        <v>43</v>
      </c>
      <c r="C108" s="1282" t="e">
        <f>[1]印403!J98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[1]印403!O97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216"/>
      <c r="B109" s="881" t="s">
        <v>43</v>
      </c>
      <c r="C109" s="1282" t="e">
        <f>[1]印403!J99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[1]印403!O98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165"/>
      <c r="B110" s="881" t="s">
        <v>43</v>
      </c>
      <c r="C110" s="1282" t="e">
        <f>[1]印403!J100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[1]印403!O99</f>
        <v>#REF!</v>
      </c>
      <c r="N110" s="672"/>
      <c r="O110" s="1482"/>
      <c r="P110" s="1483"/>
      <c r="Q110" s="1483"/>
      <c r="R110" s="1484"/>
      <c r="S110" s="1486"/>
    </row>
    <row r="111" spans="1:19" ht="6" customHeight="1">
      <c r="A111" s="248"/>
      <c r="C111" s="249"/>
    </row>
    <row r="112" spans="1:19" ht="6" customHeight="1" thickBot="1">
      <c r="A112" s="248"/>
      <c r="C112" s="249"/>
    </row>
    <row r="113" spans="1:20" ht="15" customHeight="1" thickTop="1">
      <c r="A113" s="1472" t="s">
        <v>30</v>
      </c>
      <c r="B113" s="1473"/>
      <c r="C113" s="1473"/>
      <c r="D113" s="1473"/>
      <c r="E113" s="376">
        <v>614400</v>
      </c>
      <c r="F113" s="75" t="s">
        <v>64</v>
      </c>
      <c r="G113" s="1472" t="s">
        <v>31</v>
      </c>
      <c r="H113" s="1473"/>
      <c r="I113" s="1473"/>
      <c r="J113" s="1473"/>
      <c r="K113" s="1473"/>
      <c r="L113" s="377">
        <v>452000</v>
      </c>
      <c r="M113" s="75" t="s">
        <v>64</v>
      </c>
      <c r="N113" s="1472" t="s">
        <v>32</v>
      </c>
      <c r="O113" s="1473"/>
      <c r="P113" s="1473"/>
      <c r="Q113" s="377">
        <v>1117000</v>
      </c>
      <c r="R113" s="75" t="s">
        <v>64</v>
      </c>
      <c r="S113" s="75"/>
    </row>
    <row r="114" spans="1:20" ht="15" customHeight="1" thickBot="1">
      <c r="A114" s="1474" t="s">
        <v>66</v>
      </c>
      <c r="B114" s="1475"/>
      <c r="C114" s="1475"/>
      <c r="D114" s="1475"/>
      <c r="E114" s="674">
        <f>8*1000</f>
        <v>8000</v>
      </c>
      <c r="G114" s="1474" t="s">
        <v>66</v>
      </c>
      <c r="H114" s="1475"/>
      <c r="I114" s="1475"/>
      <c r="J114" s="1475"/>
      <c r="K114" s="1475"/>
      <c r="L114" s="674">
        <f>44*2000</f>
        <v>88000</v>
      </c>
      <c r="N114" s="1474" t="s">
        <v>33</v>
      </c>
      <c r="O114" s="1475"/>
      <c r="P114" s="1475"/>
      <c r="Q114" s="674">
        <f>(73+60+12)*1000</f>
        <v>145000</v>
      </c>
      <c r="R114" s="75"/>
      <c r="S114" s="75"/>
    </row>
    <row r="115" spans="1:20" ht="15" customHeight="1" thickTop="1" thickBot="1">
      <c r="A115" s="1487" t="s">
        <v>34</v>
      </c>
      <c r="B115" s="1488"/>
      <c r="C115" s="1488"/>
      <c r="D115" s="1488"/>
      <c r="E115" s="378">
        <f>E113+E114</f>
        <v>622400</v>
      </c>
      <c r="F115" s="75" t="s">
        <v>64</v>
      </c>
      <c r="G115" s="1487" t="s">
        <v>35</v>
      </c>
      <c r="H115" s="1488"/>
      <c r="I115" s="1488"/>
      <c r="J115" s="1488"/>
      <c r="K115" s="1488"/>
      <c r="L115" s="379">
        <f>L113+L114</f>
        <v>540000</v>
      </c>
      <c r="M115" s="75" t="s">
        <v>64</v>
      </c>
      <c r="N115" s="1487" t="s">
        <v>36</v>
      </c>
      <c r="O115" s="1488"/>
      <c r="P115" s="1488"/>
      <c r="Q115" s="379">
        <f>Q113+Q114</f>
        <v>1262000</v>
      </c>
      <c r="R115" s="75" t="s">
        <v>64</v>
      </c>
      <c r="S115" s="75"/>
    </row>
    <row r="116" spans="1:20" ht="15" customHeight="1" thickTop="1" thickBot="1">
      <c r="E116" s="252">
        <f>印401!M64</f>
        <v>0</v>
      </c>
      <c r="L116" s="675" t="e">
        <f>#REF!</f>
        <v>#REF!</v>
      </c>
      <c r="O116" s="75"/>
      <c r="P116" s="75"/>
      <c r="Q116" s="675" t="e">
        <f>#REF!</f>
        <v>#REF!</v>
      </c>
      <c r="R116" s="75"/>
      <c r="S116" s="75"/>
    </row>
    <row r="117" spans="1:20" ht="15" customHeight="1" thickBot="1">
      <c r="A117" s="676" t="s">
        <v>37</v>
      </c>
      <c r="B117" s="677"/>
      <c r="C117" s="677"/>
      <c r="D117" s="678"/>
      <c r="E117" s="253">
        <f>印401!P64</f>
        <v>0</v>
      </c>
      <c r="F117" s="75" t="s">
        <v>64</v>
      </c>
      <c r="G117" s="676" t="s">
        <v>38</v>
      </c>
      <c r="H117" s="677"/>
      <c r="I117" s="677"/>
      <c r="J117" s="677"/>
      <c r="K117" s="677"/>
      <c r="L117" s="384" t="e">
        <f>#REF!</f>
        <v>#REF!</v>
      </c>
      <c r="M117" s="75" t="s">
        <v>64</v>
      </c>
      <c r="N117" s="676" t="s">
        <v>39</v>
      </c>
      <c r="O117" s="677"/>
      <c r="P117" s="677"/>
      <c r="Q117" s="384" t="e">
        <f>#REF!</f>
        <v>#REF!</v>
      </c>
      <c r="R117" s="75" t="s">
        <v>64</v>
      </c>
      <c r="S117" s="75"/>
    </row>
    <row r="118" spans="1:20" ht="3" customHeight="1" thickBot="1">
      <c r="J118" s="255"/>
      <c r="K118" s="256"/>
    </row>
    <row r="119" spans="1:20" ht="15" customHeight="1" thickTop="1">
      <c r="B119" s="1509" t="s">
        <v>69</v>
      </c>
      <c r="C119" s="1510"/>
      <c r="D119" s="1511" t="s">
        <v>305</v>
      </c>
      <c r="E119" s="1512"/>
      <c r="F119" s="1489" t="s">
        <v>306</v>
      </c>
      <c r="G119" s="1490"/>
      <c r="H119" s="1491" t="s">
        <v>307</v>
      </c>
      <c r="I119" s="1492"/>
      <c r="J119" s="1492"/>
      <c r="K119" s="1493"/>
      <c r="L119" s="1472" t="s">
        <v>657</v>
      </c>
      <c r="M119" s="1473"/>
      <c r="N119" s="1473"/>
      <c r="O119" s="377">
        <v>2087000</v>
      </c>
      <c r="P119" s="75" t="s">
        <v>64</v>
      </c>
      <c r="Q119" s="1496" t="s">
        <v>65</v>
      </c>
      <c r="R119" s="1497"/>
      <c r="S119" s="385">
        <v>21533501</v>
      </c>
    </row>
    <row r="120" spans="1:20" ht="15" customHeight="1" thickBot="1">
      <c r="B120" s="1498" t="s">
        <v>308</v>
      </c>
      <c r="C120" s="1499"/>
      <c r="D120" s="1500" t="e">
        <f>總表!D20</f>
        <v>#REF!</v>
      </c>
      <c r="E120" s="1501"/>
      <c r="F120" s="1502">
        <f>總表!E20</f>
        <v>1316871</v>
      </c>
      <c r="G120" s="1503"/>
      <c r="H120" s="1504" t="e">
        <f>(D120-F120)/D120</f>
        <v>#REF!</v>
      </c>
      <c r="I120" s="1505"/>
      <c r="J120" s="1505"/>
      <c r="K120" s="1506"/>
      <c r="L120" s="1474" t="s">
        <v>33</v>
      </c>
      <c r="M120" s="1475"/>
      <c r="N120" s="1475"/>
      <c r="O120" s="674">
        <f>267*1000</f>
        <v>267000</v>
      </c>
      <c r="P120" s="75"/>
      <c r="Q120" s="1507" t="s">
        <v>67</v>
      </c>
      <c r="R120" s="1508"/>
      <c r="S120" s="386" t="e">
        <f>SUM(L52:L87,L90:L99)</f>
        <v>#REF!</v>
      </c>
    </row>
    <row r="121" spans="1:20" ht="15" customHeight="1" thickTop="1" thickBot="1">
      <c r="B121" s="1513" t="s">
        <v>309</v>
      </c>
      <c r="C121" s="1514"/>
      <c r="D121" s="1515" t="e">
        <f>總表!C43</f>
        <v>#REF!</v>
      </c>
      <c r="E121" s="1516"/>
      <c r="F121" s="1502" t="e">
        <f>總表!F43</f>
        <v>#REF!</v>
      </c>
      <c r="G121" s="1503"/>
      <c r="H121" s="1504" t="e">
        <f>(D121-F121)/D121</f>
        <v>#REF!</v>
      </c>
      <c r="I121" s="1505"/>
      <c r="J121" s="1505"/>
      <c r="K121" s="1506"/>
      <c r="L121" s="1487" t="s">
        <v>658</v>
      </c>
      <c r="M121" s="1488"/>
      <c r="N121" s="1488"/>
      <c r="O121" s="379">
        <f>O119+O120</f>
        <v>2354000</v>
      </c>
      <c r="P121" s="75" t="s">
        <v>64</v>
      </c>
      <c r="Q121" s="1494" t="s">
        <v>68</v>
      </c>
      <c r="R121" s="1495"/>
      <c r="S121" s="387" t="e">
        <f>S119+S120</f>
        <v>#REF!</v>
      </c>
    </row>
    <row r="122" spans="1:20" ht="14.1" customHeight="1" thickTop="1" thickBot="1">
      <c r="B122" s="250" t="s">
        <v>310</v>
      </c>
      <c r="C122" s="250"/>
      <c r="D122" s="250"/>
      <c r="E122" s="233"/>
      <c r="O122" s="675" t="e">
        <f>#REF!</f>
        <v>#REF!</v>
      </c>
      <c r="P122" s="75"/>
      <c r="Q122" s="75"/>
      <c r="R122" s="254" t="e">
        <f>總表!E43+總表!E52</f>
        <v>#REF!</v>
      </c>
      <c r="S122" s="254" t="e">
        <f>R122-S121</f>
        <v>#REF!</v>
      </c>
    </row>
    <row r="123" spans="1:20" ht="17.25" customHeight="1" thickBot="1">
      <c r="B123" s="250" t="s">
        <v>40</v>
      </c>
      <c r="C123" s="233"/>
      <c r="D123" s="233"/>
      <c r="E123" s="233"/>
      <c r="F123" s="233"/>
      <c r="L123" s="676" t="s">
        <v>659</v>
      </c>
      <c r="M123" s="677"/>
      <c r="N123" s="677"/>
      <c r="O123" s="384" t="e">
        <f>#REF!</f>
        <v>#REF!</v>
      </c>
      <c r="P123" s="75" t="s">
        <v>64</v>
      </c>
      <c r="T123" s="233"/>
    </row>
    <row r="124" spans="1:20" ht="15.75" customHeight="1">
      <c r="B124" s="75" t="s">
        <v>41</v>
      </c>
      <c r="N124" s="233"/>
      <c r="S124" s="75"/>
    </row>
  </sheetData>
  <mergeCells count="297">
    <mergeCell ref="S9:S11"/>
    <mergeCell ref="S12:S13"/>
    <mergeCell ref="G13:I13"/>
    <mergeCell ref="O13:R13"/>
    <mergeCell ref="A9:A13"/>
    <mergeCell ref="K9:M11"/>
    <mergeCell ref="K12:M13"/>
    <mergeCell ref="G11:I11"/>
    <mergeCell ref="O11:R11"/>
    <mergeCell ref="G12:I12"/>
    <mergeCell ref="O12:R12"/>
    <mergeCell ref="G9:I9"/>
    <mergeCell ref="O9:R9"/>
    <mergeCell ref="G10:I10"/>
    <mergeCell ref="O10:R10"/>
    <mergeCell ref="G14:I14"/>
    <mergeCell ref="K14:M14"/>
    <mergeCell ref="O14:R14"/>
    <mergeCell ref="G15:I15"/>
    <mergeCell ref="K15:M15"/>
    <mergeCell ref="O15:R15"/>
    <mergeCell ref="A18:A19"/>
    <mergeCell ref="G18:I18"/>
    <mergeCell ref="K18:M18"/>
    <mergeCell ref="O18:R18"/>
    <mergeCell ref="G19:I19"/>
    <mergeCell ref="K19:M19"/>
    <mergeCell ref="O19:R19"/>
    <mergeCell ref="A16:A17"/>
    <mergeCell ref="G16:I16"/>
    <mergeCell ref="K16:M16"/>
    <mergeCell ref="O16:R16"/>
    <mergeCell ref="G17:I17"/>
    <mergeCell ref="K17:M17"/>
    <mergeCell ref="O17:R17"/>
    <mergeCell ref="A56:A57"/>
    <mergeCell ref="C56:E56"/>
    <mergeCell ref="O56:R56"/>
    <mergeCell ref="C57:E57"/>
    <mergeCell ref="O57:R57"/>
    <mergeCell ref="K20:M20"/>
    <mergeCell ref="O20:R20"/>
    <mergeCell ref="A60:A61"/>
    <mergeCell ref="C60:E60"/>
    <mergeCell ref="O60:R60"/>
    <mergeCell ref="C61:E61"/>
    <mergeCell ref="O61:R61"/>
    <mergeCell ref="G20:I20"/>
    <mergeCell ref="C32:E32"/>
    <mergeCell ref="O32:R32"/>
    <mergeCell ref="A33:A39"/>
    <mergeCell ref="K25:M25"/>
    <mergeCell ref="O25:R25"/>
    <mergeCell ref="A26:A31"/>
    <mergeCell ref="A54:A55"/>
    <mergeCell ref="C54:E54"/>
    <mergeCell ref="O54:R54"/>
    <mergeCell ref="C55:E55"/>
    <mergeCell ref="O55:R55"/>
    <mergeCell ref="H121:K121"/>
    <mergeCell ref="L121:N121"/>
    <mergeCell ref="B119:C119"/>
    <mergeCell ref="D119:E119"/>
    <mergeCell ref="F119:G119"/>
    <mergeCell ref="H119:K119"/>
    <mergeCell ref="L119:N119"/>
    <mergeCell ref="Q121:R121"/>
    <mergeCell ref="B120:C120"/>
    <mergeCell ref="D120:E120"/>
    <mergeCell ref="F120:G120"/>
    <mergeCell ref="H120:K120"/>
    <mergeCell ref="L120:N120"/>
    <mergeCell ref="Q120:R120"/>
    <mergeCell ref="B121:C121"/>
    <mergeCell ref="D121:E121"/>
    <mergeCell ref="F121:G121"/>
    <mergeCell ref="Q119:R119"/>
    <mergeCell ref="A114:D114"/>
    <mergeCell ref="G114:K114"/>
    <mergeCell ref="N114:P114"/>
    <mergeCell ref="A115:D115"/>
    <mergeCell ref="G115:K115"/>
    <mergeCell ref="N115:P115"/>
    <mergeCell ref="C110:G110"/>
    <mergeCell ref="A113:D113"/>
    <mergeCell ref="G113:K113"/>
    <mergeCell ref="N113:P113"/>
    <mergeCell ref="A102:A110"/>
    <mergeCell ref="C102:G102"/>
    <mergeCell ref="O102:R102"/>
    <mergeCell ref="S102:S106"/>
    <mergeCell ref="C103:G103"/>
    <mergeCell ref="C104:G104"/>
    <mergeCell ref="C105:G105"/>
    <mergeCell ref="C106:G106"/>
    <mergeCell ref="C107:G107"/>
    <mergeCell ref="O107:R110"/>
    <mergeCell ref="S107:S110"/>
    <mergeCell ref="C108:G108"/>
    <mergeCell ref="C109:G109"/>
    <mergeCell ref="A92:A93"/>
    <mergeCell ref="C92:G92"/>
    <mergeCell ref="O92:R92"/>
    <mergeCell ref="C93:G93"/>
    <mergeCell ref="O93:R93"/>
    <mergeCell ref="C100:G100"/>
    <mergeCell ref="C101:G101"/>
    <mergeCell ref="O101:R101"/>
    <mergeCell ref="C94:G94"/>
    <mergeCell ref="O94:R94"/>
    <mergeCell ref="C95:G95"/>
    <mergeCell ref="O95:R95"/>
    <mergeCell ref="C96:G96"/>
    <mergeCell ref="O96:R96"/>
    <mergeCell ref="C97:G97"/>
    <mergeCell ref="O97:R97"/>
    <mergeCell ref="C99:G99"/>
    <mergeCell ref="O99:R99"/>
    <mergeCell ref="A94:A97"/>
    <mergeCell ref="A98:A99"/>
    <mergeCell ref="C98:G98"/>
    <mergeCell ref="O98:R98"/>
    <mergeCell ref="C83:E83"/>
    <mergeCell ref="O83:R83"/>
    <mergeCell ref="C84:E84"/>
    <mergeCell ref="A90:A91"/>
    <mergeCell ref="C90:G90"/>
    <mergeCell ref="A81:A82"/>
    <mergeCell ref="C81:E81"/>
    <mergeCell ref="C82:E82"/>
    <mergeCell ref="O82:R82"/>
    <mergeCell ref="O88:R88"/>
    <mergeCell ref="O81:R81"/>
    <mergeCell ref="O84:R84"/>
    <mergeCell ref="C85:E85"/>
    <mergeCell ref="O85:R85"/>
    <mergeCell ref="A86:A87"/>
    <mergeCell ref="C86:E86"/>
    <mergeCell ref="O86:R86"/>
    <mergeCell ref="C87:E87"/>
    <mergeCell ref="O87:R87"/>
    <mergeCell ref="C89:G89"/>
    <mergeCell ref="O89:R89"/>
    <mergeCell ref="O90:R90"/>
    <mergeCell ref="C91:G91"/>
    <mergeCell ref="O91:R91"/>
    <mergeCell ref="A77:A78"/>
    <mergeCell ref="C77:E77"/>
    <mergeCell ref="O77:R77"/>
    <mergeCell ref="C78:E78"/>
    <mergeCell ref="O78:R78"/>
    <mergeCell ref="A79:A80"/>
    <mergeCell ref="C79:E79"/>
    <mergeCell ref="O79:R79"/>
    <mergeCell ref="C80:E80"/>
    <mergeCell ref="O80:R80"/>
    <mergeCell ref="A73:A74"/>
    <mergeCell ref="C73:E73"/>
    <mergeCell ref="O73:R73"/>
    <mergeCell ref="C74:E74"/>
    <mergeCell ref="O74:R74"/>
    <mergeCell ref="A75:A76"/>
    <mergeCell ref="C75:E75"/>
    <mergeCell ref="O75:R75"/>
    <mergeCell ref="C76:E76"/>
    <mergeCell ref="O76:R76"/>
    <mergeCell ref="C71:E71"/>
    <mergeCell ref="O71:R71"/>
    <mergeCell ref="C72:E72"/>
    <mergeCell ref="O72:R72"/>
    <mergeCell ref="A69:A70"/>
    <mergeCell ref="C69:E69"/>
    <mergeCell ref="O69:R69"/>
    <mergeCell ref="C70:E70"/>
    <mergeCell ref="O70:R70"/>
    <mergeCell ref="V52:X52"/>
    <mergeCell ref="C53:E53"/>
    <mergeCell ref="O53:R53"/>
    <mergeCell ref="V53:X53"/>
    <mergeCell ref="C49:E49"/>
    <mergeCell ref="M49:M51"/>
    <mergeCell ref="O49:R51"/>
    <mergeCell ref="S49:S51"/>
    <mergeCell ref="C50:E50"/>
    <mergeCell ref="C51:E51"/>
    <mergeCell ref="C52:E52"/>
    <mergeCell ref="O52:R52"/>
    <mergeCell ref="S43:S45"/>
    <mergeCell ref="C44:E44"/>
    <mergeCell ref="C45:E45"/>
    <mergeCell ref="A46:A51"/>
    <mergeCell ref="C46:E46"/>
    <mergeCell ref="M46:M48"/>
    <mergeCell ref="O46:R48"/>
    <mergeCell ref="S46:S48"/>
    <mergeCell ref="C47:E47"/>
    <mergeCell ref="C48:E48"/>
    <mergeCell ref="A40:A45"/>
    <mergeCell ref="C40:E40"/>
    <mergeCell ref="M40:M42"/>
    <mergeCell ref="O40:R42"/>
    <mergeCell ref="S40:S42"/>
    <mergeCell ref="C41:E41"/>
    <mergeCell ref="C42:E42"/>
    <mergeCell ref="C43:E43"/>
    <mergeCell ref="M43:M45"/>
    <mergeCell ref="O43:R45"/>
    <mergeCell ref="O21:R21"/>
    <mergeCell ref="S26:S28"/>
    <mergeCell ref="G27:I27"/>
    <mergeCell ref="G28:I28"/>
    <mergeCell ref="G29:I29"/>
    <mergeCell ref="K29:M31"/>
    <mergeCell ref="O29:R31"/>
    <mergeCell ref="S29:S31"/>
    <mergeCell ref="G30:I30"/>
    <mergeCell ref="G31:I31"/>
    <mergeCell ref="G26:I26"/>
    <mergeCell ref="K26:M28"/>
    <mergeCell ref="O26:R28"/>
    <mergeCell ref="S33:S35"/>
    <mergeCell ref="C34:E34"/>
    <mergeCell ref="C35:E35"/>
    <mergeCell ref="C36:E36"/>
    <mergeCell ref="M36:M39"/>
    <mergeCell ref="O36:R39"/>
    <mergeCell ref="S36:S39"/>
    <mergeCell ref="C37:E37"/>
    <mergeCell ref="C38:E38"/>
    <mergeCell ref="C39:E39"/>
    <mergeCell ref="C33:E33"/>
    <mergeCell ref="M33:M35"/>
    <mergeCell ref="O33:R35"/>
    <mergeCell ref="A62:A63"/>
    <mergeCell ref="C62:E62"/>
    <mergeCell ref="O62:R62"/>
    <mergeCell ref="C63:E63"/>
    <mergeCell ref="O63:R63"/>
    <mergeCell ref="A52:A53"/>
    <mergeCell ref="A83:A85"/>
    <mergeCell ref="A58:A59"/>
    <mergeCell ref="C58:E58"/>
    <mergeCell ref="O58:R58"/>
    <mergeCell ref="C59:E59"/>
    <mergeCell ref="O59:R59"/>
    <mergeCell ref="A64:A65"/>
    <mergeCell ref="O67:R67"/>
    <mergeCell ref="O68:R68"/>
    <mergeCell ref="A66:A67"/>
    <mergeCell ref="C66:E66"/>
    <mergeCell ref="O66:R66"/>
    <mergeCell ref="C67:E67"/>
    <mergeCell ref="C64:E64"/>
    <mergeCell ref="O64:R64"/>
    <mergeCell ref="C65:E65"/>
    <mergeCell ref="O65:R65"/>
    <mergeCell ref="A71:A72"/>
    <mergeCell ref="A20:A22"/>
    <mergeCell ref="S21:S22"/>
    <mergeCell ref="O23:R23"/>
    <mergeCell ref="K23:M23"/>
    <mergeCell ref="G23:I23"/>
    <mergeCell ref="A23:A24"/>
    <mergeCell ref="G21:I21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K21:M22"/>
    <mergeCell ref="O24:R24"/>
    <mergeCell ref="K24:M24"/>
    <mergeCell ref="G24:I24"/>
    <mergeCell ref="G22:I22"/>
    <mergeCell ref="O22:R22"/>
    <mergeCell ref="A14:A15"/>
    <mergeCell ref="L4:M4"/>
    <mergeCell ref="N4:P4"/>
    <mergeCell ref="Q4:R4"/>
    <mergeCell ref="L5:M5"/>
    <mergeCell ref="N5:P5"/>
    <mergeCell ref="Q5:R5"/>
    <mergeCell ref="A1:K4"/>
    <mergeCell ref="L3:M3"/>
    <mergeCell ref="N3:P3"/>
    <mergeCell ref="Q3:R3"/>
    <mergeCell ref="L1:M1"/>
    <mergeCell ref="N1:P1"/>
    <mergeCell ref="Q1:R1"/>
    <mergeCell ref="L2:M2"/>
    <mergeCell ref="N2:P2"/>
    <mergeCell ref="Q2:R2"/>
  </mergeCells>
  <phoneticPr fontId="26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A127"/>
  <sheetViews>
    <sheetView topLeftCell="L103" workbookViewId="0">
      <selection activeCell="S124" sqref="S124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998</v>
      </c>
    </row>
    <row r="3" spans="1:23" ht="72.7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999</v>
      </c>
      <c r="O3" s="1319"/>
      <c r="P3" s="1320"/>
      <c r="Q3" s="1318" t="s">
        <v>1000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45244</v>
      </c>
      <c r="D5" s="419" t="s">
        <v>997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1.6</v>
      </c>
      <c r="E9" s="815">
        <v>715</v>
      </c>
      <c r="F9" s="815">
        <f>'102'!O33</f>
        <v>750</v>
      </c>
      <c r="G9" s="1311">
        <f>'102'!K33</f>
        <v>3019</v>
      </c>
      <c r="H9" s="1312"/>
      <c r="I9" s="1313"/>
      <c r="J9" s="814">
        <f>'102'!L33</f>
        <v>56</v>
      </c>
      <c r="K9" s="1524">
        <f>'102'!P33+'102'!P34</f>
        <v>0.89400000000000002</v>
      </c>
      <c r="L9" s="1525"/>
      <c r="M9" s="1526"/>
      <c r="N9" s="820">
        <f t="shared" ref="N9:N14" si="0">J9/(G9+J9)</f>
        <v>1.8211382113821138E-2</v>
      </c>
      <c r="O9" s="1521" t="str">
        <f>'102'!U33</f>
        <v>11:55-13:10改規格1.85*715及更換矽油馬達,NG  56KG</v>
      </c>
      <c r="P9" s="1522"/>
      <c r="Q9" s="1522"/>
      <c r="R9" s="1523"/>
      <c r="S9" s="1575" t="str">
        <f>'102'!V33</f>
        <v>阮明演</v>
      </c>
      <c r="U9" s="420" t="s">
        <v>633</v>
      </c>
      <c r="V9" s="880"/>
      <c r="W9" s="880"/>
    </row>
    <row r="10" spans="1:23" ht="17.25" customHeight="1">
      <c r="A10" s="1336"/>
      <c r="B10" s="84" t="s">
        <v>0</v>
      </c>
      <c r="C10" s="850" t="s">
        <v>42</v>
      </c>
      <c r="D10" s="851">
        <v>1.85</v>
      </c>
      <c r="E10" s="815">
        <v>715</v>
      </c>
      <c r="F10" s="815">
        <f>'102'!O34</f>
        <v>750</v>
      </c>
      <c r="G10" s="1311">
        <f>'102'!K34</f>
        <v>5027</v>
      </c>
      <c r="H10" s="1312"/>
      <c r="I10" s="1313"/>
      <c r="J10" s="814">
        <f>'102'!L34</f>
        <v>0</v>
      </c>
      <c r="K10" s="1527"/>
      <c r="L10" s="1528"/>
      <c r="M10" s="1529"/>
      <c r="N10" s="820">
        <f t="shared" si="0"/>
        <v>0</v>
      </c>
      <c r="O10" s="1530" t="str">
        <f>'102'!U34</f>
        <v>20:05最後一支交接班</v>
      </c>
      <c r="P10" s="1531"/>
      <c r="Q10" s="1531"/>
      <c r="R10" s="1532"/>
      <c r="S10" s="1577"/>
      <c r="U10" s="420" t="s">
        <v>633</v>
      </c>
      <c r="V10" s="880"/>
      <c r="W10" s="880"/>
    </row>
    <row r="11" spans="1:23" ht="17.25" customHeight="1">
      <c r="A11" s="1326"/>
      <c r="B11" s="881" t="s">
        <v>43</v>
      </c>
      <c r="C11" s="422" t="s">
        <v>42</v>
      </c>
      <c r="D11" s="421">
        <v>1.85</v>
      </c>
      <c r="E11" s="880">
        <v>715</v>
      </c>
      <c r="F11" s="880">
        <f>'102'!O35</f>
        <v>750</v>
      </c>
      <c r="G11" s="1327">
        <f>'102'!K35</f>
        <v>8025</v>
      </c>
      <c r="H11" s="1328"/>
      <c r="I11" s="1329"/>
      <c r="J11" s="423">
        <f>'102'!L35</f>
        <v>0</v>
      </c>
      <c r="K11" s="1314">
        <f>'102'!P35</f>
        <v>0.89166666666666672</v>
      </c>
      <c r="L11" s="1315"/>
      <c r="M11" s="1316"/>
      <c r="N11" s="820">
        <f t="shared" si="0"/>
        <v>0</v>
      </c>
      <c r="O11" s="1521" t="str">
        <f>'102'!U35</f>
        <v>08:06最後一支交接班</v>
      </c>
      <c r="P11" s="1522"/>
      <c r="Q11" s="1522"/>
      <c r="R11" s="1523"/>
      <c r="S11" s="892" t="str">
        <f>'102'!V35</f>
        <v>阮功體</v>
      </c>
      <c r="U11" s="420" t="s">
        <v>633</v>
      </c>
      <c r="V11" s="880"/>
      <c r="W11" s="880"/>
    </row>
    <row r="12" spans="1:23" ht="17.25" customHeight="1">
      <c r="A12" s="1325" t="s">
        <v>7</v>
      </c>
      <c r="B12" s="84" t="s">
        <v>205</v>
      </c>
      <c r="C12" s="850" t="s">
        <v>42</v>
      </c>
      <c r="D12" s="851">
        <v>0.25</v>
      </c>
      <c r="E12" s="815">
        <v>840</v>
      </c>
      <c r="F12" s="815">
        <f>'103'!O35</f>
        <v>350</v>
      </c>
      <c r="G12" s="1311">
        <f>'103'!K35</f>
        <v>3586</v>
      </c>
      <c r="H12" s="1312"/>
      <c r="I12" s="1313"/>
      <c r="J12" s="814">
        <f>'103'!L35</f>
        <v>0</v>
      </c>
      <c r="K12" s="1314">
        <f>'103'!P35</f>
        <v>0.8538095238095238</v>
      </c>
      <c r="L12" s="1315"/>
      <c r="M12" s="1316"/>
      <c r="N12" s="820">
        <f t="shared" si="0"/>
        <v>0</v>
      </c>
      <c r="O12" s="1308" t="str">
        <f>'103'!U35</f>
        <v>19:10最後一支交接班</v>
      </c>
      <c r="P12" s="1309"/>
      <c r="Q12" s="1309"/>
      <c r="R12" s="1310"/>
      <c r="S12" s="822" t="str">
        <f>'103'!V35</f>
        <v>史豐銘</v>
      </c>
    </row>
    <row r="13" spans="1:23" ht="17.25" customHeight="1">
      <c r="A13" s="1336"/>
      <c r="B13" s="881" t="s">
        <v>207</v>
      </c>
      <c r="C13" s="422" t="s">
        <v>42</v>
      </c>
      <c r="D13" s="421">
        <v>0.25</v>
      </c>
      <c r="E13" s="880">
        <v>840</v>
      </c>
      <c r="F13" s="880">
        <f>'103'!O36</f>
        <v>350</v>
      </c>
      <c r="G13" s="1327">
        <f>'103'!K36</f>
        <v>500</v>
      </c>
      <c r="H13" s="1328"/>
      <c r="I13" s="1329"/>
      <c r="J13" s="423">
        <f>'103'!L36</f>
        <v>66</v>
      </c>
      <c r="K13" s="1524">
        <f>'103'!P36+'103'!P37</f>
        <v>0.95833333333333337</v>
      </c>
      <c r="L13" s="1525"/>
      <c r="M13" s="1526"/>
      <c r="N13" s="820">
        <f t="shared" si="0"/>
        <v>0.1166077738515901</v>
      </c>
      <c r="O13" s="1521" t="str">
        <f>'103'!U36</f>
        <v>20:46-20:50改規格0.45*870,NG  66KG</v>
      </c>
      <c r="P13" s="1522"/>
      <c r="Q13" s="1522"/>
      <c r="R13" s="1523"/>
      <c r="S13" s="1517" t="str">
        <f>'103'!V36</f>
        <v>阮宏山</v>
      </c>
    </row>
    <row r="14" spans="1:23" ht="17.25" customHeight="1">
      <c r="A14" s="1326"/>
      <c r="B14" s="881" t="s">
        <v>207</v>
      </c>
      <c r="C14" s="422" t="s">
        <v>42</v>
      </c>
      <c r="D14" s="421">
        <v>0.45</v>
      </c>
      <c r="E14" s="880">
        <v>870</v>
      </c>
      <c r="F14" s="880">
        <f>'103'!O37</f>
        <v>350</v>
      </c>
      <c r="G14" s="1327">
        <f>'103'!K37</f>
        <v>3525</v>
      </c>
      <c r="H14" s="1328"/>
      <c r="I14" s="1329"/>
      <c r="J14" s="423">
        <f>'103'!L37</f>
        <v>0</v>
      </c>
      <c r="K14" s="1527"/>
      <c r="L14" s="1528"/>
      <c r="M14" s="1529"/>
      <c r="N14" s="820">
        <f t="shared" si="0"/>
        <v>0</v>
      </c>
      <c r="O14" s="1530" t="str">
        <f>'103'!U37</f>
        <v>07:52最後一支交接班</v>
      </c>
      <c r="P14" s="1531"/>
      <c r="Q14" s="1531"/>
      <c r="R14" s="1532"/>
      <c r="S14" s="1518"/>
    </row>
    <row r="15" spans="1:23" ht="17.25" customHeight="1">
      <c r="A15" s="1354" t="s">
        <v>8</v>
      </c>
      <c r="B15" s="84" t="s">
        <v>205</v>
      </c>
      <c r="C15" s="850" t="s">
        <v>44</v>
      </c>
      <c r="D15" s="649" t="s">
        <v>633</v>
      </c>
      <c r="E15" s="856"/>
      <c r="F15" s="815"/>
      <c r="G15" s="1355"/>
      <c r="H15" s="1355"/>
      <c r="I15" s="1355"/>
      <c r="J15" s="814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354"/>
      <c r="B16" s="881" t="s">
        <v>207</v>
      </c>
      <c r="C16" s="422" t="s">
        <v>44</v>
      </c>
      <c r="D16" s="421" t="s">
        <v>633</v>
      </c>
      <c r="E16" s="646"/>
      <c r="F16" s="880"/>
      <c r="G16" s="1358"/>
      <c r="H16" s="1358"/>
      <c r="I16" s="1358"/>
      <c r="J16" s="423"/>
      <c r="K16" s="1314"/>
      <c r="L16" s="1315"/>
      <c r="M16" s="1316"/>
      <c r="N16" s="820"/>
      <c r="O16" s="1356"/>
      <c r="P16" s="1357"/>
      <c r="Q16" s="1357"/>
      <c r="R16" s="1357"/>
      <c r="S16" s="822"/>
    </row>
    <row r="17" spans="1:19" ht="17.25" customHeight="1">
      <c r="A17" s="1101" t="s">
        <v>9</v>
      </c>
      <c r="B17" s="84" t="s">
        <v>205</v>
      </c>
      <c r="C17" s="850" t="s">
        <v>44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71"/>
      <c r="O17" s="1333"/>
      <c r="P17" s="1334"/>
      <c r="Q17" s="1334"/>
      <c r="R17" s="1335"/>
      <c r="S17" s="860"/>
    </row>
    <row r="18" spans="1:19" ht="17.25" customHeight="1">
      <c r="A18" s="1102"/>
      <c r="B18" s="881" t="s">
        <v>43</v>
      </c>
      <c r="C18" s="422" t="s">
        <v>44</v>
      </c>
      <c r="D18" s="421" t="s">
        <v>633</v>
      </c>
      <c r="E18" s="880"/>
      <c r="F18" s="880"/>
      <c r="G18" s="1327"/>
      <c r="H18" s="1328"/>
      <c r="I18" s="1329"/>
      <c r="J18" s="423"/>
      <c r="K18" s="1330"/>
      <c r="L18" s="1331"/>
      <c r="M18" s="1332"/>
      <c r="N18" s="871"/>
      <c r="O18" s="1333"/>
      <c r="P18" s="1334"/>
      <c r="Q18" s="1334"/>
      <c r="R18" s="1335"/>
      <c r="S18" s="860"/>
    </row>
    <row r="19" spans="1:19" ht="17.25" customHeight="1">
      <c r="A19" s="1370" t="s">
        <v>644</v>
      </c>
      <c r="B19" s="84" t="s">
        <v>205</v>
      </c>
      <c r="C19" s="850" t="s">
        <v>42</v>
      </c>
      <c r="D19" s="851">
        <v>1.1499999999999999</v>
      </c>
      <c r="E19" s="815">
        <v>805</v>
      </c>
      <c r="F19" s="815">
        <f>'106'!O34</f>
        <v>1185</v>
      </c>
      <c r="G19" s="1311">
        <f>'106'!K34</f>
        <v>13116</v>
      </c>
      <c r="H19" s="1312"/>
      <c r="I19" s="1313"/>
      <c r="J19" s="814">
        <f>'106'!L34</f>
        <v>0</v>
      </c>
      <c r="K19" s="1330">
        <f>'106'!P34</f>
        <v>0.92236286919831223</v>
      </c>
      <c r="L19" s="1331"/>
      <c r="M19" s="1332"/>
      <c r="N19" s="871">
        <f t="shared" ref="N19:N24" si="1">J19/(G19+J19)</f>
        <v>0</v>
      </c>
      <c r="O19" s="1364" t="str">
        <f>'106'!U34</f>
        <v>19:41最後一支交接班</v>
      </c>
      <c r="P19" s="1365"/>
      <c r="Q19" s="1365"/>
      <c r="R19" s="1366"/>
      <c r="S19" s="822" t="str">
        <f>'106'!V34</f>
        <v>黎文中.林子維</v>
      </c>
    </row>
    <row r="20" spans="1:19" ht="17.25" customHeight="1">
      <c r="A20" s="1371"/>
      <c r="B20" s="881" t="s">
        <v>43</v>
      </c>
      <c r="C20" s="422" t="s">
        <v>42</v>
      </c>
      <c r="D20" s="421">
        <v>1.1499999999999999</v>
      </c>
      <c r="E20" s="880">
        <v>805</v>
      </c>
      <c r="F20" s="880">
        <f>'106'!O35</f>
        <v>1185</v>
      </c>
      <c r="G20" s="1327">
        <f>'106'!K35</f>
        <v>3282</v>
      </c>
      <c r="H20" s="1328"/>
      <c r="I20" s="1329"/>
      <c r="J20" s="423">
        <f>'106'!L35</f>
        <v>0</v>
      </c>
      <c r="K20" s="1541">
        <f>'106'!P35+'106'!P36</f>
        <v>0.92383966244725735</v>
      </c>
      <c r="L20" s="1542"/>
      <c r="M20" s="1543"/>
      <c r="N20" s="871">
        <f t="shared" si="1"/>
        <v>0</v>
      </c>
      <c r="O20" s="1348" t="str">
        <f>'106'!U35</f>
        <v>22:42-22:45改規格1.5*805,無損耗</v>
      </c>
      <c r="P20" s="1349"/>
      <c r="Q20" s="1349"/>
      <c r="R20" s="1350"/>
      <c r="S20" s="1517" t="str">
        <f>'106'!V35</f>
        <v>黃隨貴.盧宇昇</v>
      </c>
    </row>
    <row r="21" spans="1:19" ht="17.25" customHeight="1">
      <c r="A21" s="1562"/>
      <c r="B21" s="881" t="s">
        <v>43</v>
      </c>
      <c r="C21" s="422" t="s">
        <v>42</v>
      </c>
      <c r="D21" s="421">
        <v>1.5</v>
      </c>
      <c r="E21" s="880">
        <v>805</v>
      </c>
      <c r="F21" s="880">
        <f>'106'!O36</f>
        <v>1185</v>
      </c>
      <c r="G21" s="1327">
        <f>'106'!K36</f>
        <v>9855</v>
      </c>
      <c r="H21" s="1328"/>
      <c r="I21" s="1329"/>
      <c r="J21" s="423">
        <f>'106'!L36</f>
        <v>0</v>
      </c>
      <c r="K21" s="1544"/>
      <c r="L21" s="1545"/>
      <c r="M21" s="1546"/>
      <c r="N21" s="871">
        <f t="shared" si="1"/>
        <v>0</v>
      </c>
      <c r="O21" s="1367" t="str">
        <f>'106'!U36</f>
        <v>07:38最後一支交接班</v>
      </c>
      <c r="P21" s="1368"/>
      <c r="Q21" s="1368"/>
      <c r="R21" s="1369"/>
      <c r="S21" s="1518"/>
    </row>
    <row r="22" spans="1:19" ht="17.25" customHeight="1">
      <c r="A22" s="1362" t="s">
        <v>418</v>
      </c>
      <c r="B22" s="84" t="s">
        <v>205</v>
      </c>
      <c r="C22" s="850" t="s">
        <v>44</v>
      </c>
      <c r="D22" s="851">
        <v>0.36</v>
      </c>
      <c r="E22" s="815">
        <v>680</v>
      </c>
      <c r="F22" s="815">
        <f>'107'!O35</f>
        <v>450</v>
      </c>
      <c r="G22" s="1311">
        <f>'107'!K35</f>
        <v>2518</v>
      </c>
      <c r="H22" s="1312"/>
      <c r="I22" s="1313"/>
      <c r="J22" s="814">
        <f>'107'!L35</f>
        <v>260</v>
      </c>
      <c r="K22" s="1524">
        <f>'107'!P35+'107'!P36</f>
        <v>0.74574074074074082</v>
      </c>
      <c r="L22" s="1525"/>
      <c r="M22" s="1526"/>
      <c r="N22" s="871">
        <f t="shared" si="1"/>
        <v>9.3592512598992081E-2</v>
      </c>
      <c r="O22" s="1348" t="str">
        <f>'107'!U35</f>
        <v>13:45-15:37改規格0.55*880,清洗料桶,NG  260KG</v>
      </c>
      <c r="P22" s="1349"/>
      <c r="Q22" s="1349"/>
      <c r="R22" s="1350"/>
      <c r="S22" s="1517" t="str">
        <f>'107'!V35</f>
        <v>潘文銅</v>
      </c>
    </row>
    <row r="23" spans="1:19" ht="17.25" customHeight="1">
      <c r="A23" s="1540"/>
      <c r="B23" s="84" t="s">
        <v>205</v>
      </c>
      <c r="C23" s="850" t="s">
        <v>1014</v>
      </c>
      <c r="D23" s="851">
        <v>0.55000000000000004</v>
      </c>
      <c r="E23" s="815">
        <v>880</v>
      </c>
      <c r="F23" s="815">
        <f>'107'!O36</f>
        <v>450</v>
      </c>
      <c r="G23" s="1311">
        <f>'107'!K36</f>
        <v>1509</v>
      </c>
      <c r="H23" s="1312"/>
      <c r="I23" s="1313"/>
      <c r="J23" s="814">
        <f>'107'!L36</f>
        <v>0</v>
      </c>
      <c r="K23" s="1527"/>
      <c r="L23" s="1528"/>
      <c r="M23" s="1529"/>
      <c r="N23" s="871">
        <f t="shared" si="1"/>
        <v>0</v>
      </c>
      <c r="O23" s="1367" t="str">
        <f>'107'!U36</f>
        <v>19:02最後一支交接班</v>
      </c>
      <c r="P23" s="1368"/>
      <c r="Q23" s="1368"/>
      <c r="R23" s="1369"/>
      <c r="S23" s="1518"/>
    </row>
    <row r="24" spans="1:19" ht="17.25" customHeight="1">
      <c r="A24" s="1363"/>
      <c r="B24" s="881" t="s">
        <v>43</v>
      </c>
      <c r="C24" s="422" t="s">
        <v>1014</v>
      </c>
      <c r="D24" s="421">
        <v>0.55000000000000004</v>
      </c>
      <c r="E24" s="880">
        <v>880</v>
      </c>
      <c r="F24" s="880">
        <f>'107'!O37</f>
        <v>450</v>
      </c>
      <c r="G24" s="1327">
        <f>'107'!K37</f>
        <v>5537</v>
      </c>
      <c r="H24" s="1328"/>
      <c r="I24" s="1329"/>
      <c r="J24" s="423">
        <f>'107'!L37</f>
        <v>0</v>
      </c>
      <c r="K24" s="1314">
        <f>'107'!P37</f>
        <v>1.0253703703703703</v>
      </c>
      <c r="L24" s="1315"/>
      <c r="M24" s="1316"/>
      <c r="N24" s="871">
        <f t="shared" si="1"/>
        <v>0</v>
      </c>
      <c r="O24" s="1364" t="str">
        <f>'107'!U37</f>
        <v>07:50最後一支交接班</v>
      </c>
      <c r="P24" s="1365"/>
      <c r="Q24" s="1365"/>
      <c r="R24" s="1366"/>
      <c r="S24" s="822" t="str">
        <f>'107'!V37</f>
        <v>磨文林</v>
      </c>
    </row>
    <row r="25" spans="1:19" ht="17.25" customHeight="1">
      <c r="A25" s="843"/>
      <c r="B25" s="841"/>
      <c r="C25" s="850"/>
      <c r="D25" s="851"/>
      <c r="E25" s="815"/>
      <c r="F25" s="815"/>
      <c r="G25" s="832" t="s">
        <v>666</v>
      </c>
      <c r="H25" s="838"/>
      <c r="I25" s="833">
        <f>SUM(G7:I24)</f>
        <v>59499</v>
      </c>
      <c r="J25" s="833">
        <f>SUM(J7:J24)</f>
        <v>382</v>
      </c>
      <c r="K25" s="1314"/>
      <c r="L25" s="1315"/>
      <c r="M25" s="1316"/>
      <c r="N25" s="647"/>
      <c r="O25" s="1372"/>
      <c r="P25" s="1373"/>
      <c r="Q25" s="1373"/>
      <c r="R25" s="1374"/>
      <c r="S25" s="812"/>
    </row>
    <row r="26" spans="1:19" ht="20.100000000000001" hidden="1" customHeight="1">
      <c r="A26" s="1400" t="s">
        <v>10</v>
      </c>
      <c r="B26" s="84" t="s">
        <v>205</v>
      </c>
      <c r="C26" s="648" t="s">
        <v>44</v>
      </c>
      <c r="D26" s="649">
        <v>2.35</v>
      </c>
      <c r="E26" s="85">
        <v>800</v>
      </c>
      <c r="F26" s="85"/>
      <c r="G26" s="1401"/>
      <c r="H26" s="1401"/>
      <c r="I26" s="1401"/>
      <c r="J26" s="650"/>
      <c r="K26" s="1402"/>
      <c r="L26" s="1403"/>
      <c r="M26" s="1404"/>
      <c r="N26" s="647" t="e">
        <f t="shared" ref="N26:N31" si="2">J26/(G26+J26)</f>
        <v>#DIV/0!</v>
      </c>
      <c r="O26" s="1348"/>
      <c r="P26" s="1349"/>
      <c r="Q26" s="1349"/>
      <c r="R26" s="1350"/>
      <c r="S26" s="1414"/>
    </row>
    <row r="27" spans="1:19" ht="20.100000000000001" hidden="1" customHeight="1">
      <c r="A27" s="1400"/>
      <c r="B27" s="84" t="s">
        <v>0</v>
      </c>
      <c r="C27" s="648" t="s">
        <v>44</v>
      </c>
      <c r="D27" s="649">
        <v>1.85</v>
      </c>
      <c r="E27" s="85">
        <v>800</v>
      </c>
      <c r="F27" s="85"/>
      <c r="G27" s="1401"/>
      <c r="H27" s="1401"/>
      <c r="I27" s="1401"/>
      <c r="J27" s="650"/>
      <c r="K27" s="1405"/>
      <c r="L27" s="1406"/>
      <c r="M27" s="1407"/>
      <c r="N27" s="647" t="e">
        <f t="shared" si="2"/>
        <v>#DIV/0!</v>
      </c>
      <c r="O27" s="1411"/>
      <c r="P27" s="1412"/>
      <c r="Q27" s="1412"/>
      <c r="R27" s="1413"/>
      <c r="S27" s="1415"/>
    </row>
    <row r="28" spans="1:19" ht="20.100000000000001" hidden="1" customHeight="1">
      <c r="A28" s="1400"/>
      <c r="B28" s="84" t="s">
        <v>205</v>
      </c>
      <c r="C28" s="648" t="s">
        <v>44</v>
      </c>
      <c r="D28" s="649"/>
      <c r="E28" s="85"/>
      <c r="F28" s="85"/>
      <c r="G28" s="1401"/>
      <c r="H28" s="1401"/>
      <c r="I28" s="1401"/>
      <c r="J28" s="650"/>
      <c r="K28" s="1408"/>
      <c r="L28" s="1409"/>
      <c r="M28" s="1410"/>
      <c r="N28" s="647" t="e">
        <f t="shared" si="2"/>
        <v>#DIV/0!</v>
      </c>
      <c r="O28" s="1367"/>
      <c r="P28" s="1368"/>
      <c r="Q28" s="1368"/>
      <c r="R28" s="1369"/>
      <c r="S28" s="141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2.35</v>
      </c>
      <c r="E29" s="880">
        <v>800</v>
      </c>
      <c r="F29" s="880"/>
      <c r="G29" s="1358"/>
      <c r="H29" s="1358"/>
      <c r="I29" s="1358"/>
      <c r="J29" s="423"/>
      <c r="K29" s="1402"/>
      <c r="L29" s="1403"/>
      <c r="M29" s="1404"/>
      <c r="N29" s="647" t="e">
        <f t="shared" si="2"/>
        <v>#DIV/0!</v>
      </c>
      <c r="O29" s="1348"/>
      <c r="P29" s="1349"/>
      <c r="Q29" s="1349"/>
      <c r="R29" s="1350"/>
      <c r="S29" s="1375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1.75</v>
      </c>
      <c r="E30" s="880">
        <v>715</v>
      </c>
      <c r="F30" s="880"/>
      <c r="G30" s="1358"/>
      <c r="H30" s="1358"/>
      <c r="I30" s="1358"/>
      <c r="J30" s="423"/>
      <c r="K30" s="1405"/>
      <c r="L30" s="1406"/>
      <c r="M30" s="1407"/>
      <c r="N30" s="647" t="e">
        <f t="shared" si="2"/>
        <v>#DIV/0!</v>
      </c>
      <c r="O30" s="1411"/>
      <c r="P30" s="1412"/>
      <c r="Q30" s="1412"/>
      <c r="R30" s="1413"/>
      <c r="S30" s="1376"/>
    </row>
    <row r="31" spans="1:19" ht="20.100000000000001" hidden="1" customHeight="1">
      <c r="A31" s="1400"/>
      <c r="B31" s="881" t="s">
        <v>207</v>
      </c>
      <c r="C31" s="422" t="s">
        <v>44</v>
      </c>
      <c r="D31" s="420">
        <v>1.6</v>
      </c>
      <c r="E31" s="880">
        <v>715</v>
      </c>
      <c r="F31" s="880"/>
      <c r="G31" s="1358"/>
      <c r="H31" s="1358"/>
      <c r="I31" s="1358"/>
      <c r="J31" s="423"/>
      <c r="K31" s="1408"/>
      <c r="L31" s="1409"/>
      <c r="M31" s="1410"/>
      <c r="N31" s="647" t="e">
        <f t="shared" si="2"/>
        <v>#DIV/0!</v>
      </c>
      <c r="O31" s="1367"/>
      <c r="P31" s="1368"/>
      <c r="Q31" s="1368"/>
      <c r="R31" s="1369"/>
      <c r="S31" s="1377"/>
    </row>
    <row r="32" spans="1:19" s="76" customFormat="1" ht="31.7" customHeight="1">
      <c r="A32" s="56" t="s">
        <v>212</v>
      </c>
      <c r="B32" s="388" t="s">
        <v>193</v>
      </c>
      <c r="C32" s="1378" t="s">
        <v>11</v>
      </c>
      <c r="D32" s="1379"/>
      <c r="E32" s="1380"/>
      <c r="F32" s="409" t="s">
        <v>12</v>
      </c>
      <c r="G32" s="409" t="s">
        <v>13</v>
      </c>
      <c r="H32" s="410" t="s">
        <v>215</v>
      </c>
      <c r="I32" s="411" t="s">
        <v>14</v>
      </c>
      <c r="J32" s="412" t="s">
        <v>15</v>
      </c>
      <c r="K32" s="651" t="s">
        <v>16</v>
      </c>
      <c r="L32" s="652" t="s">
        <v>60</v>
      </c>
      <c r="M32" s="653" t="s">
        <v>17</v>
      </c>
      <c r="N32" s="652" t="s">
        <v>18</v>
      </c>
      <c r="O32" s="1381" t="s">
        <v>29</v>
      </c>
      <c r="P32" s="1381"/>
      <c r="Q32" s="1381"/>
      <c r="R32" s="1381"/>
      <c r="S32" s="383" t="s">
        <v>4</v>
      </c>
    </row>
    <row r="33" spans="1:19" s="132" customFormat="1" ht="16.5" hidden="1" customHeight="1">
      <c r="A33" s="1126" t="s">
        <v>19</v>
      </c>
      <c r="B33" s="134" t="s">
        <v>0</v>
      </c>
      <c r="C33" s="1382"/>
      <c r="D33" s="1383"/>
      <c r="E33" s="1384"/>
      <c r="F33" s="380"/>
      <c r="G33" s="246">
        <f>SUM(G9:G31)</f>
        <v>59499</v>
      </c>
      <c r="H33" s="95"/>
      <c r="I33" s="844" t="e">
        <f>SUM(#REF!)</f>
        <v>#REF!</v>
      </c>
      <c r="J33" s="390"/>
      <c r="K33" s="390"/>
      <c r="L33" s="389"/>
      <c r="M33" s="1385"/>
      <c r="N33" s="654"/>
      <c r="O33" s="1388"/>
      <c r="P33" s="1389"/>
      <c r="Q33" s="1389"/>
      <c r="R33" s="1390"/>
      <c r="S33" s="1397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6"/>
      <c r="N34" s="654"/>
      <c r="O34" s="1391"/>
      <c r="P34" s="1392"/>
      <c r="Q34" s="1392"/>
      <c r="R34" s="1393"/>
      <c r="S34" s="1398"/>
    </row>
    <row r="35" spans="1:19" s="132" customFormat="1" ht="16.5" hidden="1" customHeight="1">
      <c r="A35" s="1189"/>
      <c r="B35" s="134" t="s">
        <v>0</v>
      </c>
      <c r="C35" s="1382"/>
      <c r="D35" s="1383"/>
      <c r="E35" s="1384"/>
      <c r="F35" s="380"/>
      <c r="G35" s="246"/>
      <c r="H35" s="95"/>
      <c r="I35" s="95"/>
      <c r="J35" s="390"/>
      <c r="K35" s="390"/>
      <c r="L35" s="389"/>
      <c r="M35" s="1387"/>
      <c r="N35" s="654"/>
      <c r="O35" s="1394"/>
      <c r="P35" s="1395"/>
      <c r="Q35" s="1395"/>
      <c r="R35" s="1396"/>
      <c r="S35" s="1399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5"/>
      <c r="N36" s="654"/>
      <c r="O36" s="1388"/>
      <c r="P36" s="1389"/>
      <c r="Q36" s="1389"/>
      <c r="R36" s="1390"/>
      <c r="S36" s="1420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6"/>
      <c r="N38" s="654"/>
      <c r="O38" s="1391"/>
      <c r="P38" s="1392"/>
      <c r="Q38" s="1392"/>
      <c r="R38" s="1393"/>
      <c r="S38" s="1421"/>
    </row>
    <row r="39" spans="1:19" ht="18" hidden="1" customHeight="1">
      <c r="A39" s="1189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7"/>
      <c r="N39" s="654"/>
      <c r="O39" s="1394"/>
      <c r="P39" s="1395"/>
      <c r="Q39" s="1395"/>
      <c r="R39" s="1396"/>
      <c r="S39" s="1422"/>
    </row>
    <row r="40" spans="1:19" ht="18" hidden="1" customHeight="1">
      <c r="A40" s="1426" t="s">
        <v>61</v>
      </c>
      <c r="B40" s="84" t="s">
        <v>205</v>
      </c>
      <c r="C40" s="1382"/>
      <c r="D40" s="1383"/>
      <c r="E40" s="1384"/>
      <c r="F40" s="380"/>
      <c r="G40" s="245"/>
      <c r="H40" s="85"/>
      <c r="I40" s="85"/>
      <c r="J40" s="656"/>
      <c r="K40" s="392"/>
      <c r="L40" s="251"/>
      <c r="M40" s="1385"/>
      <c r="N40" s="428"/>
      <c r="O40" s="1388"/>
      <c r="P40" s="1389"/>
      <c r="Q40" s="1389"/>
      <c r="R40" s="1390"/>
      <c r="S40" s="1423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6"/>
      <c r="N41" s="654"/>
      <c r="O41" s="1391"/>
      <c r="P41" s="1392"/>
      <c r="Q41" s="1392"/>
      <c r="R41" s="1393"/>
      <c r="S41" s="1424"/>
    </row>
    <row r="42" spans="1:19" s="132" customFormat="1" ht="16.5" hidden="1" customHeight="1">
      <c r="A42" s="1426"/>
      <c r="B42" s="134" t="s">
        <v>0</v>
      </c>
      <c r="C42" s="1382"/>
      <c r="D42" s="1383"/>
      <c r="E42" s="1384"/>
      <c r="F42" s="380"/>
      <c r="G42" s="246"/>
      <c r="H42" s="95"/>
      <c r="I42" s="95"/>
      <c r="J42" s="390"/>
      <c r="K42" s="390"/>
      <c r="L42" s="389"/>
      <c r="M42" s="1387"/>
      <c r="N42" s="654"/>
      <c r="O42" s="1394"/>
      <c r="P42" s="1395"/>
      <c r="Q42" s="1395"/>
      <c r="R42" s="1396"/>
      <c r="S42" s="1425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5"/>
      <c r="N43" s="654"/>
      <c r="O43" s="1388"/>
      <c r="P43" s="1389"/>
      <c r="Q43" s="1389"/>
      <c r="R43" s="1390"/>
      <c r="S43" s="1420"/>
    </row>
    <row r="44" spans="1:19" ht="18" hidden="1" customHeight="1">
      <c r="A44" s="1426"/>
      <c r="B44" s="381" t="s">
        <v>43</v>
      </c>
      <c r="C44" s="1417"/>
      <c r="D44" s="1418"/>
      <c r="E44" s="1419"/>
      <c r="F44" s="114"/>
      <c r="G44" s="243"/>
      <c r="H44" s="114"/>
      <c r="I44" s="114"/>
      <c r="J44" s="655"/>
      <c r="K44" s="391"/>
      <c r="L44" s="240"/>
      <c r="M44" s="1386"/>
      <c r="N44" s="654"/>
      <c r="O44" s="1391"/>
      <c r="P44" s="1392"/>
      <c r="Q44" s="1392"/>
      <c r="R44" s="1393"/>
      <c r="S44" s="1421"/>
    </row>
    <row r="45" spans="1:19" ht="18" hidden="1" customHeight="1">
      <c r="A45" s="1426"/>
      <c r="B45" s="381" t="s">
        <v>207</v>
      </c>
      <c r="C45" s="1417"/>
      <c r="D45" s="1418"/>
      <c r="E45" s="1419"/>
      <c r="F45" s="657"/>
      <c r="G45" s="243"/>
      <c r="H45" s="114"/>
      <c r="I45" s="114"/>
      <c r="J45" s="655"/>
      <c r="K45" s="391"/>
      <c r="L45" s="240"/>
      <c r="M45" s="1387"/>
      <c r="N45" s="428"/>
      <c r="O45" s="1394"/>
      <c r="P45" s="1395"/>
      <c r="Q45" s="1395"/>
      <c r="R45" s="1396"/>
      <c r="S45" s="1422"/>
    </row>
    <row r="46" spans="1:19" ht="18" hidden="1" customHeight="1">
      <c r="A46" s="1260" t="s">
        <v>20</v>
      </c>
      <c r="B46" s="84" t="s">
        <v>205</v>
      </c>
      <c r="C46" s="1382"/>
      <c r="D46" s="1383"/>
      <c r="E46" s="1384"/>
      <c r="F46" s="380"/>
      <c r="G46" s="245"/>
      <c r="H46" s="85"/>
      <c r="I46" s="85"/>
      <c r="J46" s="656"/>
      <c r="K46" s="393"/>
      <c r="L46" s="251"/>
      <c r="M46" s="1385"/>
      <c r="N46" s="428"/>
      <c r="O46" s="1388"/>
      <c r="P46" s="1389"/>
      <c r="Q46" s="1389"/>
      <c r="R46" s="1390"/>
      <c r="S46" s="1423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6"/>
      <c r="N47" s="654"/>
      <c r="O47" s="1391"/>
      <c r="P47" s="1392"/>
      <c r="Q47" s="1392"/>
      <c r="R47" s="1393"/>
      <c r="S47" s="1424"/>
    </row>
    <row r="48" spans="1:19" s="132" customFormat="1" ht="16.5" hidden="1" customHeight="1">
      <c r="A48" s="1260"/>
      <c r="B48" s="134" t="s">
        <v>0</v>
      </c>
      <c r="C48" s="1382"/>
      <c r="D48" s="1383"/>
      <c r="E48" s="1384"/>
      <c r="F48" s="380"/>
      <c r="G48" s="246"/>
      <c r="H48" s="95"/>
      <c r="I48" s="95"/>
      <c r="J48" s="390"/>
      <c r="K48" s="390"/>
      <c r="L48" s="389"/>
      <c r="M48" s="1387"/>
      <c r="N48" s="654"/>
      <c r="O48" s="1394"/>
      <c r="P48" s="1395"/>
      <c r="Q48" s="1395"/>
      <c r="R48" s="1396"/>
      <c r="S48" s="1425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5"/>
      <c r="N49" s="654"/>
      <c r="O49" s="1388"/>
      <c r="P49" s="1389"/>
      <c r="Q49" s="1389"/>
      <c r="R49" s="1390"/>
      <c r="S49" s="1420"/>
    </row>
    <row r="50" spans="1:24" ht="18" hidden="1" customHeight="1">
      <c r="A50" s="1260"/>
      <c r="B50" s="381" t="s">
        <v>43</v>
      </c>
      <c r="C50" s="1417"/>
      <c r="D50" s="1418"/>
      <c r="E50" s="1419"/>
      <c r="F50" s="114"/>
      <c r="G50" s="243"/>
      <c r="H50" s="114"/>
      <c r="I50" s="114"/>
      <c r="J50" s="655"/>
      <c r="K50" s="391"/>
      <c r="L50" s="240"/>
      <c r="M50" s="1386"/>
      <c r="N50" s="654"/>
      <c r="O50" s="1391"/>
      <c r="P50" s="1392"/>
      <c r="Q50" s="1392"/>
      <c r="R50" s="1393"/>
      <c r="S50" s="1421"/>
    </row>
    <row r="51" spans="1:24" ht="15.75" hidden="1" customHeight="1">
      <c r="A51" s="1260"/>
      <c r="B51" s="381" t="s">
        <v>207</v>
      </c>
      <c r="C51" s="1417"/>
      <c r="D51" s="1418"/>
      <c r="E51" s="1419"/>
      <c r="F51" s="657"/>
      <c r="G51" s="243"/>
      <c r="H51" s="114"/>
      <c r="I51" s="114"/>
      <c r="J51" s="655"/>
      <c r="K51" s="391"/>
      <c r="L51" s="240"/>
      <c r="M51" s="1387"/>
      <c r="N51" s="428"/>
      <c r="O51" s="1394"/>
      <c r="P51" s="1395"/>
      <c r="Q51" s="1395"/>
      <c r="R51" s="1396"/>
      <c r="S51" s="1422"/>
    </row>
    <row r="52" spans="1:24" ht="17.25" customHeight="1">
      <c r="A52" s="1126" t="s">
        <v>21</v>
      </c>
      <c r="B52" s="84" t="s">
        <v>0</v>
      </c>
      <c r="C52" s="1427" t="s">
        <v>633</v>
      </c>
      <c r="D52" s="1427"/>
      <c r="E52" s="1427"/>
      <c r="F52" s="827"/>
      <c r="G52" s="828"/>
      <c r="H52" s="815"/>
      <c r="I52" s="827"/>
      <c r="J52" s="828"/>
      <c r="K52" s="828"/>
      <c r="L52" s="828"/>
      <c r="M52" s="661"/>
      <c r="N52" s="662"/>
      <c r="O52" s="1361"/>
      <c r="P52" s="1361"/>
      <c r="Q52" s="1361"/>
      <c r="R52" s="1361"/>
      <c r="S52" s="822"/>
      <c r="V52" s="1382" t="s">
        <v>633</v>
      </c>
      <c r="W52" s="1383"/>
      <c r="X52" s="1384"/>
    </row>
    <row r="53" spans="1:24" ht="51.75" customHeight="1">
      <c r="A53" s="1127"/>
      <c r="B53" s="881" t="s">
        <v>43</v>
      </c>
      <c r="C53" s="1360" t="e">
        <f>#REF!</f>
        <v>#REF!</v>
      </c>
      <c r="D53" s="1360"/>
      <c r="E53" s="1360"/>
      <c r="F53" s="418" t="s">
        <v>899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661" t="e">
        <f>#REF!</f>
        <v>#REF!</v>
      </c>
      <c r="N53" s="662" t="e">
        <f>#REF!</f>
        <v>#REF!</v>
      </c>
      <c r="O53" s="1361" t="e">
        <f>#REF!</f>
        <v>#REF!</v>
      </c>
      <c r="P53" s="1361"/>
      <c r="Q53" s="1361"/>
      <c r="R53" s="1361"/>
      <c r="S53" s="822" t="e">
        <f>#REF!</f>
        <v>#REF!</v>
      </c>
      <c r="V53" s="1382" t="s">
        <v>633</v>
      </c>
      <c r="W53" s="1383"/>
      <c r="X53" s="1384"/>
    </row>
    <row r="54" spans="1:24" ht="33" customHeight="1">
      <c r="A54" s="1126" t="s">
        <v>22</v>
      </c>
      <c r="B54" s="84" t="s">
        <v>0</v>
      </c>
      <c r="C54" s="1427" t="e">
        <f>#REF!</f>
        <v>#REF!</v>
      </c>
      <c r="D54" s="1427"/>
      <c r="E54" s="1427"/>
      <c r="F54" s="827" t="s">
        <v>962</v>
      </c>
      <c r="G54" s="852" t="e">
        <f>#REF!</f>
        <v>#REF!</v>
      </c>
      <c r="H54" s="815"/>
      <c r="I54" s="827">
        <v>3</v>
      </c>
      <c r="J54" s="852" t="e">
        <f>#REF!</f>
        <v>#REF!</v>
      </c>
      <c r="K54" s="885" t="e">
        <f>#REF!</f>
        <v>#REF!</v>
      </c>
      <c r="L54" s="885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17.25" customHeight="1">
      <c r="A55" s="1127"/>
      <c r="B55" s="881" t="s">
        <v>43</v>
      </c>
      <c r="C55" s="1360" t="s">
        <v>633</v>
      </c>
      <c r="D55" s="1360"/>
      <c r="E55" s="1360"/>
      <c r="F55" s="418"/>
      <c r="G55" s="840"/>
      <c r="H55" s="880"/>
      <c r="I55" s="418"/>
      <c r="J55" s="840"/>
      <c r="K55" s="890"/>
      <c r="L55" s="890"/>
      <c r="M55" s="863"/>
      <c r="N55" s="415"/>
      <c r="O55" s="1364"/>
      <c r="P55" s="1365"/>
      <c r="Q55" s="1365"/>
      <c r="R55" s="1366"/>
      <c r="S55" s="821"/>
    </row>
    <row r="56" spans="1:24" ht="35.25" customHeight="1">
      <c r="A56" s="1428" t="s">
        <v>23</v>
      </c>
      <c r="B56" s="84" t="s">
        <v>0</v>
      </c>
      <c r="C56" s="1427" t="e">
        <f>#REF!</f>
        <v>#REF!</v>
      </c>
      <c r="D56" s="1427"/>
      <c r="E56" s="1427"/>
      <c r="F56" s="827" t="s">
        <v>989</v>
      </c>
      <c r="G56" s="828" t="e">
        <f>#REF!</f>
        <v>#REF!</v>
      </c>
      <c r="H56" s="815"/>
      <c r="I56" s="827">
        <v>3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65" t="e">
        <f>#REF!</f>
        <v>#REF!</v>
      </c>
      <c r="N56" s="662" t="e">
        <f>#REF!</f>
        <v>#REF!</v>
      </c>
      <c r="O56" s="1364" t="e">
        <f>#REF!</f>
        <v>#REF!</v>
      </c>
      <c r="P56" s="1365"/>
      <c r="Q56" s="1365"/>
      <c r="R56" s="1366"/>
      <c r="S56" s="822" t="e">
        <f>#REF!</f>
        <v>#REF!</v>
      </c>
    </row>
    <row r="57" spans="1:24" ht="17.25" customHeight="1">
      <c r="A57" s="1563"/>
      <c r="B57" s="381" t="s">
        <v>43</v>
      </c>
      <c r="C57" s="1360" t="e">
        <f>#REF!</f>
        <v>#REF!</v>
      </c>
      <c r="D57" s="1360"/>
      <c r="E57" s="1360"/>
      <c r="F57" s="418" t="s">
        <v>990</v>
      </c>
      <c r="G57" s="660" t="e">
        <f>#REF!</f>
        <v>#REF!</v>
      </c>
      <c r="H57" s="880"/>
      <c r="I57" s="418">
        <v>3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65" t="e">
        <f>#REF!</f>
        <v>#REF!</v>
      </c>
      <c r="N57" s="662" t="e">
        <f>#REF!</f>
        <v>#REF!</v>
      </c>
      <c r="O57" s="1364" t="e">
        <f>#REF!</f>
        <v>#REF!</v>
      </c>
      <c r="P57" s="1365"/>
      <c r="Q57" s="1365"/>
      <c r="R57" s="1366"/>
      <c r="S57" s="822" t="e">
        <f>#REF!</f>
        <v>#REF!</v>
      </c>
    </row>
    <row r="58" spans="1:24" ht="17.25" customHeight="1">
      <c r="A58" s="1126" t="s">
        <v>24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661"/>
      <c r="N59" s="662"/>
      <c r="O59" s="1361"/>
      <c r="P59" s="1361"/>
      <c r="Q59" s="1361"/>
      <c r="R59" s="1361"/>
      <c r="S59" s="877"/>
    </row>
    <row r="60" spans="1:24" ht="17.25" customHeight="1">
      <c r="A60" s="1260" t="s">
        <v>634</v>
      </c>
      <c r="B60" s="84" t="s">
        <v>0</v>
      </c>
      <c r="C60" s="1427" t="e">
        <f>#REF!</f>
        <v>#REF!</v>
      </c>
      <c r="D60" s="1427"/>
      <c r="E60" s="1427"/>
      <c r="F60" s="827" t="s">
        <v>775</v>
      </c>
      <c r="G60" s="828" t="e">
        <f>#REF!</f>
        <v>#REF!</v>
      </c>
      <c r="H60" s="815"/>
      <c r="I60" s="827">
        <v>5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17.25" customHeight="1">
      <c r="A61" s="1260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0"/>
      <c r="P61" s="1431"/>
      <c r="Q61" s="1431"/>
      <c r="R61" s="1432"/>
      <c r="S61" s="822"/>
    </row>
    <row r="62" spans="1:24" ht="17.25" customHeight="1">
      <c r="A62" s="1126" t="s">
        <v>416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8"/>
      <c r="O62" s="1333"/>
      <c r="P62" s="1334"/>
      <c r="Q62" s="1334"/>
      <c r="R62" s="1335"/>
      <c r="S62" s="855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8"/>
      <c r="O63" s="1333"/>
      <c r="P63" s="1334"/>
      <c r="Q63" s="1334"/>
      <c r="R63" s="1335"/>
      <c r="S63" s="855"/>
    </row>
    <row r="64" spans="1:24" ht="17.25" customHeight="1">
      <c r="A64" s="1126" t="s">
        <v>635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89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48"/>
    </row>
    <row r="66" spans="1:79" ht="17.25" customHeight="1">
      <c r="A66" s="1126" t="s">
        <v>636</v>
      </c>
      <c r="B66" s="84" t="s">
        <v>0</v>
      </c>
      <c r="C66" s="1427" t="e">
        <f>#REF!</f>
        <v>#REF!</v>
      </c>
      <c r="D66" s="1427"/>
      <c r="E66" s="1427"/>
      <c r="F66" s="827" t="s">
        <v>991</v>
      </c>
      <c r="G66" s="828" t="e">
        <f>#REF!</f>
        <v>#REF!</v>
      </c>
      <c r="H66" s="815"/>
      <c r="I66" s="827">
        <v>3</v>
      </c>
      <c r="J66" s="828" t="e">
        <f>#REF!</f>
        <v>#REF!</v>
      </c>
      <c r="K66" s="828" t="e">
        <f>#REF!</f>
        <v>#REF!</v>
      </c>
      <c r="L66" s="828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48" t="e">
        <f>#REF!</f>
        <v>#REF!</v>
      </c>
    </row>
    <row r="67" spans="1:79" ht="17.25" customHeight="1">
      <c r="A67" s="1127"/>
      <c r="B67" s="381" t="s">
        <v>43</v>
      </c>
      <c r="C67" s="1360" t="e">
        <f>#REF!</f>
        <v>#REF!</v>
      </c>
      <c r="D67" s="1360"/>
      <c r="E67" s="1360"/>
      <c r="F67" s="418" t="s">
        <v>992</v>
      </c>
      <c r="G67" s="660" t="e">
        <f>#REF!</f>
        <v>#REF!</v>
      </c>
      <c r="H67" s="880"/>
      <c r="I67" s="418">
        <v>3</v>
      </c>
      <c r="J67" s="660" t="e">
        <f>#REF!</f>
        <v>#REF!</v>
      </c>
      <c r="K67" s="660" t="e">
        <f>#REF!</f>
        <v>#REF!</v>
      </c>
      <c r="L67" s="660" t="e">
        <f>#REF!</f>
        <v>#REF!</v>
      </c>
      <c r="M67" s="816" t="e">
        <f>#REF!</f>
        <v>#REF!</v>
      </c>
      <c r="N67" s="817" t="e">
        <f>#REF!</f>
        <v>#REF!</v>
      </c>
      <c r="O67" s="1436" t="e">
        <f>#REF!</f>
        <v>#REF!</v>
      </c>
      <c r="P67" s="1436"/>
      <c r="Q67" s="1436"/>
      <c r="R67" s="1436"/>
      <c r="S67" s="821" t="e">
        <f>#REF!</f>
        <v>#REF!</v>
      </c>
    </row>
    <row r="68" spans="1:79" ht="17.25" customHeight="1">
      <c r="A68" s="831"/>
      <c r="B68" s="841"/>
      <c r="C68" s="882"/>
      <c r="D68" s="883"/>
      <c r="E68" s="884"/>
      <c r="F68" s="827"/>
      <c r="G68" s="828"/>
      <c r="H68" s="815"/>
      <c r="I68" s="827"/>
      <c r="J68" s="832" t="s">
        <v>666</v>
      </c>
      <c r="K68" s="836" t="e">
        <f>SUM(K52:K67)</f>
        <v>#REF!</v>
      </c>
      <c r="L68" s="839"/>
      <c r="M68" s="816"/>
      <c r="N68" s="817"/>
      <c r="O68" s="1433"/>
      <c r="P68" s="1434"/>
      <c r="Q68" s="1434"/>
      <c r="R68" s="1435"/>
      <c r="S68" s="811"/>
    </row>
    <row r="69" spans="1:79" ht="17.25" customHeight="1">
      <c r="A69" s="1568" t="s">
        <v>25</v>
      </c>
      <c r="B69" s="84" t="s">
        <v>0</v>
      </c>
      <c r="C69" s="1427" t="e">
        <f>#REF!</f>
        <v>#REF!</v>
      </c>
      <c r="D69" s="1427"/>
      <c r="E69" s="1427"/>
      <c r="F69" s="827" t="s">
        <v>1015</v>
      </c>
      <c r="G69" s="828" t="e">
        <f>#REF!</f>
        <v>#REF!</v>
      </c>
      <c r="H69" s="815"/>
      <c r="I69" s="827">
        <v>2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415" t="e">
        <f>#REF!</f>
        <v>#REF!</v>
      </c>
      <c r="O69" s="1554" t="e">
        <f>#REF!</f>
        <v>#REF!</v>
      </c>
      <c r="P69" s="1555"/>
      <c r="Q69" s="1555"/>
      <c r="R69" s="1556"/>
      <c r="S69" s="1566" t="e">
        <f>#REF!</f>
        <v>#REF!</v>
      </c>
    </row>
    <row r="70" spans="1:79" ht="34.5" customHeight="1">
      <c r="A70" s="1569"/>
      <c r="B70" s="84" t="s">
        <v>0</v>
      </c>
      <c r="C70" s="1427" t="e">
        <f>#REF!</f>
        <v>#REF!</v>
      </c>
      <c r="D70" s="1427"/>
      <c r="E70" s="1427"/>
      <c r="F70" s="827" t="s">
        <v>1015</v>
      </c>
      <c r="G70" s="828" t="e">
        <f>#REF!</f>
        <v>#REF!</v>
      </c>
      <c r="H70" s="815"/>
      <c r="I70" s="827">
        <v>2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1567"/>
    </row>
    <row r="71" spans="1:79" ht="17.25" customHeight="1">
      <c r="A71" s="1569"/>
      <c r="B71" s="381" t="s">
        <v>43</v>
      </c>
      <c r="C71" s="1360" t="e">
        <f>#REF!</f>
        <v>#REF!</v>
      </c>
      <c r="D71" s="1360"/>
      <c r="E71" s="1360"/>
      <c r="F71" s="418" t="s">
        <v>1015</v>
      </c>
      <c r="G71" s="660" t="e">
        <f>#REF!</f>
        <v>#REF!</v>
      </c>
      <c r="H71" s="880"/>
      <c r="I71" s="418">
        <v>4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415" t="e">
        <f>#REF!</f>
        <v>#REF!</v>
      </c>
      <c r="O71" s="1437" t="e">
        <f>#REF!</f>
        <v>#REF!</v>
      </c>
      <c r="P71" s="1438"/>
      <c r="Q71" s="1438"/>
      <c r="R71" s="1439"/>
      <c r="S71" s="876" t="e">
        <f>#REF!</f>
        <v>#REF!</v>
      </c>
    </row>
    <row r="72" spans="1:79" ht="17.25" customHeight="1">
      <c r="A72" s="1126" t="s">
        <v>62</v>
      </c>
      <c r="B72" s="84" t="s">
        <v>0</v>
      </c>
      <c r="C72" s="1427" t="s">
        <v>633</v>
      </c>
      <c r="D72" s="1427"/>
      <c r="E72" s="1427"/>
      <c r="F72" s="827"/>
      <c r="G72" s="828"/>
      <c r="H72" s="815"/>
      <c r="I72" s="827"/>
      <c r="J72" s="828"/>
      <c r="K72" s="828"/>
      <c r="L72" s="828"/>
      <c r="M72" s="659"/>
      <c r="N72" s="415"/>
      <c r="O72" s="1437"/>
      <c r="P72" s="1438"/>
      <c r="Q72" s="1438"/>
      <c r="R72" s="1439"/>
      <c r="S72" s="876"/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36" customHeight="1">
      <c r="A73" s="1189"/>
      <c r="B73" s="381" t="s">
        <v>43</v>
      </c>
      <c r="C73" s="1360" t="e">
        <f>#REF!</f>
        <v>#REF!</v>
      </c>
      <c r="D73" s="1360"/>
      <c r="E73" s="1360"/>
      <c r="F73" s="418" t="s">
        <v>993</v>
      </c>
      <c r="G73" s="660" t="e">
        <f>#REF!</f>
        <v>#REF!</v>
      </c>
      <c r="H73" s="880"/>
      <c r="I73" s="418">
        <v>1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415" t="e">
        <f>#REF!</f>
        <v>#REF!</v>
      </c>
      <c r="O73" s="1554" t="e">
        <f>#REF!</f>
        <v>#REF!</v>
      </c>
      <c r="P73" s="1555"/>
      <c r="Q73" s="1555"/>
      <c r="R73" s="1556"/>
      <c r="S73" s="1566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127"/>
      <c r="B74" s="381" t="s">
        <v>43</v>
      </c>
      <c r="C74" s="1360" t="e">
        <f>#REF!</f>
        <v>#REF!</v>
      </c>
      <c r="D74" s="1360"/>
      <c r="E74" s="1360"/>
      <c r="F74" s="418" t="s">
        <v>1016</v>
      </c>
      <c r="G74" s="660" t="e">
        <f>#REF!</f>
        <v>#REF!</v>
      </c>
      <c r="H74" s="880"/>
      <c r="I74" s="418">
        <v>2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659" t="e">
        <f>#REF!</f>
        <v>#REF!</v>
      </c>
      <c r="N74" s="415" t="e">
        <f>#REF!</f>
        <v>#REF!</v>
      </c>
      <c r="O74" s="1549" t="e">
        <f>#REF!</f>
        <v>#REF!</v>
      </c>
      <c r="P74" s="1550"/>
      <c r="Q74" s="1550"/>
      <c r="R74" s="1551"/>
      <c r="S74" s="1567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126" t="s">
        <v>640</v>
      </c>
      <c r="B75" s="84" t="s">
        <v>0</v>
      </c>
      <c r="C75" s="1427" t="e">
        <f>#REF!</f>
        <v>#REF!</v>
      </c>
      <c r="D75" s="1427"/>
      <c r="E75" s="1427"/>
      <c r="F75" s="827" t="s">
        <v>995</v>
      </c>
      <c r="G75" s="828" t="e">
        <f>#REF!</f>
        <v>#REF!</v>
      </c>
      <c r="H75" s="815"/>
      <c r="I75" s="827">
        <v>0</v>
      </c>
      <c r="J75" s="828" t="e">
        <f>#REF!</f>
        <v>#REF!</v>
      </c>
      <c r="K75" s="828" t="e">
        <f>#REF!</f>
        <v>#REF!</v>
      </c>
      <c r="L75" s="828" t="e">
        <f>#REF!</f>
        <v>#REF!</v>
      </c>
      <c r="M75" s="659" t="e">
        <f>#REF!</f>
        <v>#REF!</v>
      </c>
      <c r="N75" s="658" t="e">
        <f>#REF!</f>
        <v>#REF!</v>
      </c>
      <c r="O75" s="1437" t="e">
        <f>#REF!</f>
        <v>#REF!</v>
      </c>
      <c r="P75" s="1438"/>
      <c r="Q75" s="1438"/>
      <c r="R75" s="1439"/>
      <c r="S75" s="823" t="e">
        <f>#REF!</f>
        <v>#REF!</v>
      </c>
    </row>
    <row r="76" spans="1:79" ht="17.25" customHeight="1">
      <c r="A76" s="112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659"/>
      <c r="N76" s="658"/>
      <c r="O76" s="1437"/>
      <c r="P76" s="1438"/>
      <c r="Q76" s="1438"/>
      <c r="R76" s="1439"/>
      <c r="S76" s="823"/>
    </row>
    <row r="77" spans="1:79" ht="17.25" customHeight="1">
      <c r="A77" s="1441" t="s">
        <v>26</v>
      </c>
      <c r="B77" s="84" t="s">
        <v>0</v>
      </c>
      <c r="C77" s="1427" t="e">
        <f>#REF!</f>
        <v>#REF!</v>
      </c>
      <c r="D77" s="1427"/>
      <c r="E77" s="1427"/>
      <c r="F77" s="827" t="s">
        <v>732</v>
      </c>
      <c r="G77" s="828" t="e">
        <f>#REF!</f>
        <v>#REF!</v>
      </c>
      <c r="H77" s="815"/>
      <c r="I77" s="827">
        <v>0</v>
      </c>
      <c r="J77" s="828" t="e">
        <f>#REF!</f>
        <v>#REF!</v>
      </c>
      <c r="K77" s="828" t="e">
        <f>#REF!</f>
        <v>#REF!</v>
      </c>
      <c r="L77" s="828" t="e">
        <f>#REF!</f>
        <v>#REF!</v>
      </c>
      <c r="M77" s="842" t="e">
        <f>#REF!</f>
        <v>#REF!</v>
      </c>
      <c r="N77" s="415" t="e">
        <f>#REF!</f>
        <v>#REF!</v>
      </c>
      <c r="O77" s="1587" t="e">
        <f>#REF!</f>
        <v>#REF!</v>
      </c>
      <c r="P77" s="1588"/>
      <c r="Q77" s="1588"/>
      <c r="R77" s="1589"/>
      <c r="S77" s="1517" t="e">
        <f>#REF!</f>
        <v>#REF!</v>
      </c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36" customHeight="1">
      <c r="A78" s="1441"/>
      <c r="B78" s="84" t="s">
        <v>0</v>
      </c>
      <c r="C78" s="1427" t="e">
        <f>#REF!</f>
        <v>#REF!</v>
      </c>
      <c r="D78" s="1427"/>
      <c r="E78" s="1427"/>
      <c r="F78" s="827" t="s">
        <v>732</v>
      </c>
      <c r="G78" s="828" t="e">
        <f>#REF!</f>
        <v>#REF!</v>
      </c>
      <c r="H78" s="815"/>
      <c r="I78" s="827">
        <v>4</v>
      </c>
      <c r="J78" s="828" t="e">
        <f>#REF!</f>
        <v>#REF!</v>
      </c>
      <c r="K78" s="828" t="e">
        <f>#REF!</f>
        <v>#REF!</v>
      </c>
      <c r="L78" s="828" t="e">
        <f>#REF!</f>
        <v>#REF!</v>
      </c>
      <c r="M78" s="842" t="e">
        <f>#REF!</f>
        <v>#REF!</v>
      </c>
      <c r="N78" s="415" t="e">
        <f>#REF!</f>
        <v>#REF!</v>
      </c>
      <c r="O78" s="1584" t="e">
        <f>#REF!</f>
        <v>#REF!</v>
      </c>
      <c r="P78" s="1585"/>
      <c r="Q78" s="1585"/>
      <c r="R78" s="1586"/>
      <c r="S78" s="1518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35.25" customHeight="1">
      <c r="A79" s="1547"/>
      <c r="B79" s="881" t="s">
        <v>43</v>
      </c>
      <c r="C79" s="1360" t="e">
        <f>#REF!</f>
        <v>#REF!</v>
      </c>
      <c r="D79" s="1360"/>
      <c r="E79" s="1360"/>
      <c r="F79" s="418" t="s">
        <v>732</v>
      </c>
      <c r="G79" s="660" t="e">
        <f>#REF!</f>
        <v>#REF!</v>
      </c>
      <c r="H79" s="880"/>
      <c r="I79" s="418">
        <v>4</v>
      </c>
      <c r="J79" s="660" t="e">
        <f>#REF!</f>
        <v>#REF!</v>
      </c>
      <c r="K79" s="660" t="e">
        <f>#REF!</f>
        <v>#REF!</v>
      </c>
      <c r="L79" s="660" t="e">
        <f>#REF!</f>
        <v>#REF!</v>
      </c>
      <c r="M79" s="842" t="e">
        <f>#REF!</f>
        <v>#REF!</v>
      </c>
      <c r="N79" s="415" t="e">
        <f>#REF!</f>
        <v>#REF!</v>
      </c>
      <c r="O79" s="1442" t="e">
        <f>#REF!</f>
        <v>#REF!</v>
      </c>
      <c r="P79" s="1443"/>
      <c r="Q79" s="1443"/>
      <c r="R79" s="1444"/>
      <c r="S79" s="822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440" t="s">
        <v>27</v>
      </c>
      <c r="B80" s="841" t="s">
        <v>0</v>
      </c>
      <c r="C80" s="1427" t="s">
        <v>633</v>
      </c>
      <c r="D80" s="1427"/>
      <c r="E80" s="1427"/>
      <c r="F80" s="827"/>
      <c r="G80" s="828"/>
      <c r="H80" s="815"/>
      <c r="I80" s="827"/>
      <c r="J80" s="828"/>
      <c r="K80" s="828"/>
      <c r="L80" s="828"/>
      <c r="M80" s="842"/>
      <c r="N80" s="415"/>
      <c r="O80" s="1442"/>
      <c r="P80" s="1443"/>
      <c r="Q80" s="1443"/>
      <c r="R80" s="1444"/>
      <c r="S80" s="822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441"/>
      <c r="B81" s="881" t="s">
        <v>43</v>
      </c>
      <c r="C81" s="1360" t="e">
        <f>#REF!</f>
        <v>#REF!</v>
      </c>
      <c r="D81" s="1360"/>
      <c r="E81" s="1360"/>
      <c r="F81" s="418" t="s">
        <v>734</v>
      </c>
      <c r="G81" s="660" t="e">
        <f>#REF!</f>
        <v>#REF!</v>
      </c>
      <c r="H81" s="880"/>
      <c r="I81" s="418">
        <v>4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842" t="e">
        <f>#REF!</f>
        <v>#REF!</v>
      </c>
      <c r="N81" s="415" t="e">
        <f>#REF!</f>
        <v>#REF!</v>
      </c>
      <c r="O81" s="1442" t="e">
        <f>#REF!</f>
        <v>#REF!</v>
      </c>
      <c r="P81" s="1443"/>
      <c r="Q81" s="1443"/>
      <c r="R81" s="1444"/>
      <c r="S81" s="822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440" t="s">
        <v>641</v>
      </c>
      <c r="B82" s="84" t="s">
        <v>0</v>
      </c>
      <c r="C82" s="1427" t="s">
        <v>633</v>
      </c>
      <c r="D82" s="1427"/>
      <c r="E82" s="1427"/>
      <c r="F82" s="827"/>
      <c r="G82" s="828"/>
      <c r="H82" s="815"/>
      <c r="I82" s="827"/>
      <c r="J82" s="828"/>
      <c r="K82" s="828"/>
      <c r="L82" s="828"/>
      <c r="M82" s="659"/>
      <c r="N82" s="415"/>
      <c r="O82" s="1437"/>
      <c r="P82" s="1438"/>
      <c r="Q82" s="1438"/>
      <c r="R82" s="1439"/>
      <c r="S82" s="822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441"/>
      <c r="B83" s="881" t="s">
        <v>43</v>
      </c>
      <c r="C83" s="1360" t="s">
        <v>633</v>
      </c>
      <c r="D83" s="1360"/>
      <c r="E83" s="1360"/>
      <c r="F83" s="418"/>
      <c r="G83" s="660"/>
      <c r="H83" s="880"/>
      <c r="I83" s="418"/>
      <c r="J83" s="660"/>
      <c r="K83" s="660"/>
      <c r="L83" s="660"/>
      <c r="M83" s="659"/>
      <c r="N83" s="415"/>
      <c r="O83" s="1437"/>
      <c r="P83" s="1438"/>
      <c r="Q83" s="1438"/>
      <c r="R83" s="1439"/>
      <c r="S83" s="822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6" t="s">
        <v>642</v>
      </c>
      <c r="B84" s="84" t="s">
        <v>0</v>
      </c>
      <c r="C84" s="1427" t="e">
        <f>#REF!</f>
        <v>#REF!</v>
      </c>
      <c r="D84" s="1427"/>
      <c r="E84" s="1427"/>
      <c r="F84" s="827" t="s">
        <v>901</v>
      </c>
      <c r="G84" s="828" t="e">
        <f>#REF!</f>
        <v>#REF!</v>
      </c>
      <c r="H84" s="815"/>
      <c r="I84" s="827">
        <v>0</v>
      </c>
      <c r="J84" s="828" t="e">
        <f>#REF!</f>
        <v>#REF!</v>
      </c>
      <c r="K84" s="828" t="e">
        <f>#REF!</f>
        <v>#REF!</v>
      </c>
      <c r="L84" s="828" t="e">
        <f>#REF!</f>
        <v>#REF!</v>
      </c>
      <c r="M84" s="816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89"/>
      <c r="B85" s="881" t="s">
        <v>43</v>
      </c>
      <c r="C85" s="1360" t="e">
        <f>#REF!</f>
        <v>#REF!</v>
      </c>
      <c r="D85" s="1360"/>
      <c r="E85" s="1360"/>
      <c r="F85" s="418" t="s">
        <v>901</v>
      </c>
      <c r="G85" s="660" t="e">
        <f>#REF!</f>
        <v>#REF!</v>
      </c>
      <c r="H85" s="880"/>
      <c r="I85" s="418">
        <v>0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816" t="e">
        <f>#REF!</f>
        <v>#REF!</v>
      </c>
      <c r="N85" s="415" t="e">
        <f>#REF!</f>
        <v>#REF!</v>
      </c>
      <c r="O85" s="1437"/>
      <c r="P85" s="1438"/>
      <c r="Q85" s="1438"/>
      <c r="R85" s="1439"/>
      <c r="S85" s="823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1126" t="s">
        <v>643</v>
      </c>
      <c r="B86" s="84" t="s">
        <v>0</v>
      </c>
      <c r="C86" s="1427" t="e">
        <f>#REF!</f>
        <v>#REF!</v>
      </c>
      <c r="D86" s="1427"/>
      <c r="E86" s="1427"/>
      <c r="F86" s="827" t="s">
        <v>735</v>
      </c>
      <c r="G86" s="828" t="e">
        <f>#REF!</f>
        <v>#REF!</v>
      </c>
      <c r="H86" s="815"/>
      <c r="I86" s="827">
        <v>9</v>
      </c>
      <c r="J86" s="828" t="e">
        <f>#REF!</f>
        <v>#REF!</v>
      </c>
      <c r="K86" s="828" t="e">
        <f>#REF!</f>
        <v>#REF!</v>
      </c>
      <c r="L86" s="828" t="e">
        <f>#REF!</f>
        <v>#REF!</v>
      </c>
      <c r="M86" s="659" t="e">
        <f>#REF!</f>
        <v>#REF!</v>
      </c>
      <c r="N86" s="415" t="e">
        <f>#REF!</f>
        <v>#REF!</v>
      </c>
      <c r="O86" s="1437"/>
      <c r="P86" s="1438"/>
      <c r="Q86" s="1438"/>
      <c r="R86" s="1439"/>
      <c r="S86" s="848" t="e">
        <f>#REF!</f>
        <v>#REF!</v>
      </c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ht="17.25" customHeight="1">
      <c r="A87" s="1127"/>
      <c r="B87" s="881" t="s">
        <v>43</v>
      </c>
      <c r="C87" s="1360" t="e">
        <f>#REF!</f>
        <v>#REF!</v>
      </c>
      <c r="D87" s="1360"/>
      <c r="E87" s="1360"/>
      <c r="F87" s="418" t="s">
        <v>735</v>
      </c>
      <c r="G87" s="660" t="e">
        <f>#REF!</f>
        <v>#REF!</v>
      </c>
      <c r="H87" s="880"/>
      <c r="I87" s="418">
        <v>8</v>
      </c>
      <c r="J87" s="660" t="e">
        <f>#REF!</f>
        <v>#REF!</v>
      </c>
      <c r="K87" s="660" t="e">
        <f>#REF!</f>
        <v>#REF!</v>
      </c>
      <c r="L87" s="660" t="e">
        <f>#REF!</f>
        <v>#REF!</v>
      </c>
      <c r="M87" s="659" t="e">
        <f>#REF!</f>
        <v>#REF!</v>
      </c>
      <c r="N87" s="415" t="e">
        <f>#REF!</f>
        <v>#REF!</v>
      </c>
      <c r="O87" s="1437" t="e">
        <f>#REF!</f>
        <v>#REF!</v>
      </c>
      <c r="P87" s="1438"/>
      <c r="Q87" s="1438"/>
      <c r="R87" s="1439"/>
      <c r="S87" s="848" t="e">
        <f>#REF!</f>
        <v>#REF!</v>
      </c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  <c r="AF87" s="793"/>
      <c r="AG87" s="793"/>
      <c r="AH87" s="793"/>
      <c r="AI87" s="793"/>
      <c r="AJ87" s="793"/>
      <c r="AK87" s="793"/>
      <c r="AL87" s="793"/>
      <c r="AM87" s="793"/>
      <c r="AN87" s="793"/>
      <c r="AO87" s="793"/>
      <c r="AP87" s="793"/>
      <c r="AQ87" s="793"/>
      <c r="AR87" s="793"/>
      <c r="AS87" s="793"/>
      <c r="AT87" s="793"/>
      <c r="AU87" s="793"/>
      <c r="AV87" s="793"/>
      <c r="AW87" s="793"/>
      <c r="AX87" s="793"/>
      <c r="AY87" s="793"/>
      <c r="AZ87" s="793"/>
      <c r="BA87" s="793"/>
      <c r="BB87" s="793"/>
      <c r="BC87" s="793"/>
      <c r="BD87" s="793"/>
      <c r="BE87" s="793"/>
      <c r="BF87" s="793"/>
      <c r="BG87" s="793"/>
      <c r="BH87" s="793"/>
      <c r="BI87" s="793"/>
      <c r="BJ87" s="793"/>
      <c r="BK87" s="793"/>
      <c r="BL87" s="793"/>
      <c r="BM87" s="793"/>
      <c r="BN87" s="793"/>
      <c r="BO87" s="793"/>
      <c r="BP87" s="793"/>
      <c r="BQ87" s="793"/>
      <c r="BR87" s="793"/>
      <c r="BS87" s="793"/>
      <c r="BT87" s="793"/>
      <c r="BU87" s="793"/>
      <c r="BV87" s="793"/>
      <c r="BW87" s="793"/>
      <c r="BX87" s="793"/>
      <c r="BY87" s="793"/>
      <c r="BZ87" s="793"/>
      <c r="CA87" s="793"/>
    </row>
    <row r="88" spans="1:79" ht="36" customHeight="1">
      <c r="A88" s="1260" t="s">
        <v>651</v>
      </c>
      <c r="B88" s="84" t="s">
        <v>0</v>
      </c>
      <c r="C88" s="1427" t="e">
        <f>#REF!</f>
        <v>#REF!</v>
      </c>
      <c r="D88" s="1427"/>
      <c r="E88" s="1427"/>
      <c r="F88" s="827" t="s">
        <v>1018</v>
      </c>
      <c r="G88" s="828" t="e">
        <f>#REF!</f>
        <v>#REF!</v>
      </c>
      <c r="H88" s="815"/>
      <c r="I88" s="827">
        <v>6</v>
      </c>
      <c r="J88" s="828" t="e">
        <f>#REF!</f>
        <v>#REF!</v>
      </c>
      <c r="K88" s="828" t="e">
        <f>#REF!</f>
        <v>#REF!</v>
      </c>
      <c r="L88" s="828" t="e">
        <f>#REF!</f>
        <v>#REF!</v>
      </c>
      <c r="M88" s="659" t="e">
        <f>#REF!</f>
        <v>#REF!</v>
      </c>
      <c r="N88" s="415" t="e">
        <f>#REF!</f>
        <v>#REF!</v>
      </c>
      <c r="O88" s="1437" t="e">
        <f>#REF!</f>
        <v>#REF!</v>
      </c>
      <c r="P88" s="1438"/>
      <c r="Q88" s="1438"/>
      <c r="R88" s="1439"/>
      <c r="S88" s="823" t="e">
        <f>#REF!</f>
        <v>#REF!</v>
      </c>
      <c r="T88" s="793"/>
      <c r="U88" s="793"/>
      <c r="V88" s="793"/>
      <c r="W88" s="793"/>
      <c r="X88" s="793"/>
      <c r="Y88" s="793"/>
      <c r="Z88" s="793"/>
      <c r="AA88" s="793"/>
      <c r="AB88" s="793"/>
      <c r="AC88" s="793"/>
      <c r="AD88" s="793"/>
      <c r="AE88" s="793"/>
      <c r="AF88" s="793"/>
      <c r="AG88" s="793"/>
      <c r="AH88" s="793"/>
      <c r="AI88" s="793"/>
      <c r="AJ88" s="793"/>
      <c r="AK88" s="793"/>
      <c r="AL88" s="793"/>
      <c r="AM88" s="793"/>
      <c r="AN88" s="793"/>
      <c r="AO88" s="793"/>
      <c r="AP88" s="793"/>
      <c r="AQ88" s="793"/>
      <c r="AR88" s="793"/>
      <c r="AS88" s="793"/>
      <c r="AT88" s="793"/>
      <c r="AU88" s="793"/>
      <c r="AV88" s="793"/>
      <c r="AW88" s="793"/>
      <c r="AX88" s="793"/>
      <c r="AY88" s="793"/>
      <c r="AZ88" s="793"/>
      <c r="BA88" s="793"/>
      <c r="BB88" s="793"/>
      <c r="BC88" s="793"/>
      <c r="BD88" s="793"/>
      <c r="BE88" s="793"/>
      <c r="BF88" s="793"/>
      <c r="BG88" s="793"/>
      <c r="BH88" s="793"/>
      <c r="BI88" s="793"/>
      <c r="BJ88" s="793"/>
      <c r="BK88" s="793"/>
      <c r="BL88" s="793"/>
      <c r="BM88" s="793"/>
      <c r="BN88" s="793"/>
      <c r="BO88" s="793"/>
      <c r="BP88" s="793"/>
      <c r="BQ88" s="793"/>
      <c r="BR88" s="793"/>
      <c r="BS88" s="793"/>
      <c r="BT88" s="793"/>
      <c r="BU88" s="793"/>
      <c r="BV88" s="793"/>
      <c r="BW88" s="793"/>
      <c r="BX88" s="793"/>
      <c r="BY88" s="793"/>
      <c r="BZ88" s="793"/>
      <c r="CA88" s="793"/>
    </row>
    <row r="89" spans="1:79" ht="17.25" customHeight="1">
      <c r="A89" s="1260"/>
      <c r="B89" s="881" t="s">
        <v>43</v>
      </c>
      <c r="C89" s="1360" t="e">
        <f>#REF!</f>
        <v>#REF!</v>
      </c>
      <c r="D89" s="1360"/>
      <c r="E89" s="1360"/>
      <c r="F89" s="418" t="s">
        <v>1018</v>
      </c>
      <c r="G89" s="660" t="e">
        <f>#REF!</f>
        <v>#REF!</v>
      </c>
      <c r="H89" s="880"/>
      <c r="I89" s="418">
        <v>6</v>
      </c>
      <c r="J89" s="660" t="e">
        <f>#REF!</f>
        <v>#REF!</v>
      </c>
      <c r="K89" s="660" t="e">
        <f>#REF!</f>
        <v>#REF!</v>
      </c>
      <c r="L89" s="660" t="e">
        <f>#REF!</f>
        <v>#REF!</v>
      </c>
      <c r="M89" s="659" t="e">
        <f>#REF!</f>
        <v>#REF!</v>
      </c>
      <c r="N89" s="415" t="e">
        <f>#REF!</f>
        <v>#REF!</v>
      </c>
      <c r="O89" s="1437" t="e">
        <f>#REF!</f>
        <v>#REF!</v>
      </c>
      <c r="P89" s="1438"/>
      <c r="Q89" s="1438"/>
      <c r="R89" s="1439"/>
      <c r="S89" s="823" t="e">
        <f>#REF!</f>
        <v>#REF!</v>
      </c>
      <c r="T89" s="793"/>
      <c r="U89" s="793"/>
      <c r="V89" s="793"/>
      <c r="W89" s="793"/>
      <c r="X89" s="793"/>
      <c r="Y89" s="793"/>
      <c r="Z89" s="793"/>
      <c r="AA89" s="793"/>
      <c r="AB89" s="793"/>
      <c r="AC89" s="793"/>
      <c r="AD89" s="793"/>
      <c r="AE89" s="793"/>
      <c r="AF89" s="793"/>
      <c r="AG89" s="793"/>
      <c r="AH89" s="793"/>
      <c r="AI89" s="793"/>
      <c r="AJ89" s="793"/>
      <c r="AK89" s="793"/>
      <c r="AL89" s="793"/>
      <c r="AM89" s="793"/>
      <c r="AN89" s="793"/>
      <c r="AO89" s="793"/>
      <c r="AP89" s="793"/>
      <c r="AQ89" s="793"/>
      <c r="AR89" s="793"/>
      <c r="AS89" s="793"/>
      <c r="AT89" s="793"/>
      <c r="AU89" s="793"/>
      <c r="AV89" s="793"/>
      <c r="AW89" s="793"/>
      <c r="AX89" s="793"/>
      <c r="AY89" s="793"/>
      <c r="AZ89" s="793"/>
      <c r="BA89" s="793"/>
      <c r="BB89" s="793"/>
      <c r="BC89" s="793"/>
      <c r="BD89" s="793"/>
      <c r="BE89" s="793"/>
      <c r="BF89" s="793"/>
      <c r="BG89" s="793"/>
      <c r="BH89" s="793"/>
      <c r="BI89" s="793"/>
      <c r="BJ89" s="793"/>
      <c r="BK89" s="793"/>
      <c r="BL89" s="793"/>
      <c r="BM89" s="793"/>
      <c r="BN89" s="793"/>
      <c r="BO89" s="793"/>
      <c r="BP89" s="793"/>
      <c r="BQ89" s="793"/>
      <c r="BR89" s="793"/>
      <c r="BS89" s="793"/>
      <c r="BT89" s="793"/>
      <c r="BU89" s="793"/>
      <c r="BV89" s="793"/>
      <c r="BW89" s="793"/>
      <c r="BX89" s="793"/>
      <c r="BY89" s="793"/>
      <c r="BZ89" s="793"/>
      <c r="CA89" s="793"/>
    </row>
    <row r="90" spans="1:79" ht="17.25" customHeight="1">
      <c r="A90" s="837"/>
      <c r="B90" s="841"/>
      <c r="C90" s="882"/>
      <c r="D90" s="883"/>
      <c r="E90" s="883"/>
      <c r="F90" s="845"/>
      <c r="G90" s="846"/>
      <c r="H90" s="815"/>
      <c r="I90" s="827"/>
      <c r="J90" s="834" t="s">
        <v>666</v>
      </c>
      <c r="K90" s="847" t="e">
        <f>SUM(K69:K89)</f>
        <v>#REF!</v>
      </c>
      <c r="L90" s="829"/>
      <c r="M90" s="659"/>
      <c r="N90" s="415"/>
      <c r="O90" s="1437"/>
      <c r="P90" s="1438"/>
      <c r="Q90" s="1438"/>
      <c r="R90" s="1439"/>
      <c r="S90" s="862"/>
      <c r="T90" s="793"/>
      <c r="U90" s="793"/>
      <c r="V90" s="793"/>
      <c r="W90" s="793"/>
      <c r="X90" s="793"/>
      <c r="Y90" s="793"/>
      <c r="Z90" s="793"/>
      <c r="AA90" s="793"/>
      <c r="AB90" s="793"/>
      <c r="AC90" s="793"/>
      <c r="AD90" s="793"/>
      <c r="AE90" s="793"/>
      <c r="AF90" s="793"/>
      <c r="AG90" s="793"/>
      <c r="AH90" s="793"/>
      <c r="AI90" s="793"/>
      <c r="AJ90" s="793"/>
      <c r="AK90" s="793"/>
      <c r="AL90" s="793"/>
      <c r="AM90" s="793"/>
      <c r="AN90" s="793"/>
      <c r="AO90" s="793"/>
      <c r="AP90" s="793"/>
      <c r="AQ90" s="793"/>
      <c r="AR90" s="793"/>
      <c r="AS90" s="793"/>
      <c r="AT90" s="793"/>
      <c r="AU90" s="793"/>
      <c r="AV90" s="793"/>
      <c r="AW90" s="793"/>
      <c r="AX90" s="793"/>
      <c r="AY90" s="793"/>
      <c r="AZ90" s="793"/>
      <c r="BA90" s="793"/>
      <c r="BB90" s="793"/>
      <c r="BC90" s="793"/>
      <c r="BD90" s="793"/>
      <c r="BE90" s="793"/>
      <c r="BF90" s="793"/>
      <c r="BG90" s="793"/>
      <c r="BH90" s="793"/>
      <c r="BI90" s="793"/>
      <c r="BJ90" s="793"/>
      <c r="BK90" s="793"/>
      <c r="BL90" s="793"/>
      <c r="BM90" s="793"/>
      <c r="BN90" s="793"/>
      <c r="BO90" s="793"/>
      <c r="BP90" s="793"/>
      <c r="BQ90" s="793"/>
      <c r="BR90" s="793"/>
      <c r="BS90" s="793"/>
      <c r="BT90" s="793"/>
      <c r="BU90" s="793"/>
      <c r="BV90" s="793"/>
      <c r="BW90" s="793"/>
      <c r="BX90" s="793"/>
      <c r="BY90" s="793"/>
      <c r="BZ90" s="793"/>
      <c r="CA90" s="793"/>
    </row>
    <row r="91" spans="1:79" s="76" customFormat="1" ht="39" customHeight="1">
      <c r="A91" s="400" t="s">
        <v>63</v>
      </c>
      <c r="B91" s="400" t="s">
        <v>193</v>
      </c>
      <c r="C91" s="1445" t="s">
        <v>11</v>
      </c>
      <c r="D91" s="1446"/>
      <c r="E91" s="1446"/>
      <c r="F91" s="1446"/>
      <c r="G91" s="1447"/>
      <c r="H91" s="242" t="s">
        <v>216</v>
      </c>
      <c r="I91" s="242" t="s">
        <v>12</v>
      </c>
      <c r="J91" s="242" t="s">
        <v>13</v>
      </c>
      <c r="K91" s="405" t="s">
        <v>218</v>
      </c>
      <c r="L91" s="416" t="s">
        <v>60</v>
      </c>
      <c r="M91" s="257" t="s">
        <v>28</v>
      </c>
      <c r="N91" s="257" t="s">
        <v>45</v>
      </c>
      <c r="O91" s="1448" t="s">
        <v>29</v>
      </c>
      <c r="P91" s="1449"/>
      <c r="Q91" s="1449"/>
      <c r="R91" s="1450"/>
      <c r="S91" s="417" t="s">
        <v>57</v>
      </c>
    </row>
    <row r="92" spans="1:79" ht="18" customHeight="1">
      <c r="A92" s="1199">
        <v>401</v>
      </c>
      <c r="B92" s="84" t="s">
        <v>0</v>
      </c>
      <c r="C92" s="1290">
        <f>印401!I34</f>
        <v>0</v>
      </c>
      <c r="D92" s="1290"/>
      <c r="E92" s="1290"/>
      <c r="F92" s="1290"/>
      <c r="G92" s="1290"/>
      <c r="H92" s="849"/>
      <c r="I92" s="849">
        <f>印401!R34</f>
        <v>0</v>
      </c>
      <c r="J92" s="852">
        <f>印401!S34</f>
        <v>0</v>
      </c>
      <c r="K92" s="872">
        <f>印401!L34</f>
        <v>0</v>
      </c>
      <c r="L92" s="873">
        <f>印401!N34</f>
        <v>0</v>
      </c>
      <c r="M92" s="852">
        <f>印401!P34</f>
        <v>0</v>
      </c>
      <c r="N92" s="853">
        <f>印401!Q34</f>
        <v>0</v>
      </c>
      <c r="O92" s="1451"/>
      <c r="P92" s="1452"/>
      <c r="Q92" s="1452"/>
      <c r="R92" s="1453"/>
      <c r="S92" s="874">
        <f>印401!AB34</f>
        <v>0</v>
      </c>
    </row>
    <row r="93" spans="1:79" ht="18" customHeight="1">
      <c r="A93" s="1165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8" customHeight="1">
      <c r="A94" s="1461">
        <v>402</v>
      </c>
      <c r="B94" s="84" t="s">
        <v>205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73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8" customHeight="1">
      <c r="A95" s="1462"/>
      <c r="B95" s="881" t="s">
        <v>43</v>
      </c>
      <c r="C95" s="1454" t="s">
        <v>633</v>
      </c>
      <c r="D95" s="1454"/>
      <c r="E95" s="1454"/>
      <c r="F95" s="1454"/>
      <c r="G95" s="1454"/>
      <c r="H95" s="664"/>
      <c r="I95" s="664"/>
      <c r="J95" s="840"/>
      <c r="K95" s="424"/>
      <c r="L95" s="830"/>
      <c r="M95" s="840"/>
      <c r="N95" s="672"/>
      <c r="O95" s="1455"/>
      <c r="P95" s="1456"/>
      <c r="Q95" s="1456"/>
      <c r="R95" s="1457"/>
      <c r="S95" s="810"/>
    </row>
    <row r="96" spans="1:79" ht="17.25" customHeight="1">
      <c r="A96" s="1466">
        <v>403</v>
      </c>
      <c r="B96" s="24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7.25" customHeight="1">
      <c r="A97" s="1533"/>
      <c r="B97" s="24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7.25" customHeight="1">
      <c r="A98" s="1533"/>
      <c r="B98" s="24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7.25" customHeight="1">
      <c r="A99" s="1467"/>
      <c r="B99" s="881" t="s">
        <v>43</v>
      </c>
      <c r="C99" s="1454" t="s">
        <v>633</v>
      </c>
      <c r="D99" s="1454"/>
      <c r="E99" s="1454"/>
      <c r="F99" s="1454"/>
      <c r="G99" s="1454"/>
      <c r="H99" s="664"/>
      <c r="I99" s="664"/>
      <c r="J99" s="840"/>
      <c r="K99" s="424"/>
      <c r="L99" s="840"/>
      <c r="M99" s="840"/>
      <c r="N99" s="672"/>
      <c r="O99" s="1455"/>
      <c r="P99" s="1456"/>
      <c r="Q99" s="1456"/>
      <c r="R99" s="1457"/>
      <c r="S99" s="810"/>
    </row>
    <row r="100" spans="1:19" ht="18" customHeight="1">
      <c r="A100" s="1199">
        <v>405</v>
      </c>
      <c r="B100" s="84" t="s">
        <v>0</v>
      </c>
      <c r="C100" s="1282" t="e">
        <f>#REF!</f>
        <v>#REF!</v>
      </c>
      <c r="D100" s="1283"/>
      <c r="E100" s="1283"/>
      <c r="F100" s="1283"/>
      <c r="G100" s="1468"/>
      <c r="H100" s="849"/>
      <c r="I100" s="849" t="e">
        <f>#REF!</f>
        <v>#REF!</v>
      </c>
      <c r="J100" s="852" t="e">
        <f>#REF!</f>
        <v>#REF!</v>
      </c>
      <c r="K100" s="872" t="e">
        <f>#REF!</f>
        <v>#REF!</v>
      </c>
      <c r="L100" s="852" t="e">
        <f>#REF!</f>
        <v>#REF!</v>
      </c>
      <c r="M100" s="852" t="e">
        <f>#REF!</f>
        <v>#REF!</v>
      </c>
      <c r="N100" s="853" t="e">
        <f>#REF!</f>
        <v>#REF!</v>
      </c>
      <c r="O100" s="1451"/>
      <c r="P100" s="1452"/>
      <c r="Q100" s="1452"/>
      <c r="R100" s="1453"/>
      <c r="S100" s="874" t="e">
        <f>#REF!</f>
        <v>#REF!</v>
      </c>
    </row>
    <row r="101" spans="1:19" ht="18" customHeight="1">
      <c r="A101" s="1216"/>
      <c r="B101" s="84" t="s">
        <v>0</v>
      </c>
      <c r="C101" s="1282" t="e">
        <f>#REF!</f>
        <v>#REF!</v>
      </c>
      <c r="D101" s="1283"/>
      <c r="E101" s="1283"/>
      <c r="F101" s="1283"/>
      <c r="G101" s="1468"/>
      <c r="H101" s="849"/>
      <c r="I101" s="849" t="e">
        <f>#REF!</f>
        <v>#REF!</v>
      </c>
      <c r="J101" s="852" t="e">
        <f>#REF!</f>
        <v>#REF!</v>
      </c>
      <c r="K101" s="872" t="e">
        <f>#REF!</f>
        <v>#REF!</v>
      </c>
      <c r="L101" s="852" t="e">
        <f>#REF!</f>
        <v>#REF!</v>
      </c>
      <c r="M101" s="852" t="e">
        <f>#REF!</f>
        <v>#REF!</v>
      </c>
      <c r="N101" s="853" t="e">
        <f>#REF!</f>
        <v>#REF!</v>
      </c>
      <c r="O101" s="1451"/>
      <c r="P101" s="1452"/>
      <c r="Q101" s="1452"/>
      <c r="R101" s="1453"/>
      <c r="S101" s="874" t="e">
        <f>#REF!</f>
        <v>#REF!</v>
      </c>
    </row>
    <row r="102" spans="1:19" ht="18" customHeight="1">
      <c r="A102" s="1165"/>
      <c r="B102" s="881" t="s">
        <v>43</v>
      </c>
      <c r="C102" s="1572" t="s">
        <v>633</v>
      </c>
      <c r="D102" s="1573"/>
      <c r="E102" s="1573"/>
      <c r="F102" s="1573"/>
      <c r="G102" s="1574"/>
      <c r="H102" s="664"/>
      <c r="I102" s="664"/>
      <c r="J102" s="840"/>
      <c r="K102" s="424"/>
      <c r="L102" s="840"/>
      <c r="M102" s="840"/>
      <c r="N102" s="672"/>
      <c r="O102" s="1455"/>
      <c r="P102" s="1456"/>
      <c r="Q102" s="1456"/>
      <c r="R102" s="1457"/>
      <c r="S102" s="810"/>
    </row>
    <row r="103" spans="1:19" ht="18" customHeight="1">
      <c r="A103" s="314"/>
      <c r="B103" s="841"/>
      <c r="C103" s="1458"/>
      <c r="D103" s="1459"/>
      <c r="E103" s="1459"/>
      <c r="F103" s="1459"/>
      <c r="G103" s="1460"/>
      <c r="H103" s="849"/>
      <c r="I103" s="849"/>
      <c r="J103" s="834" t="s">
        <v>666</v>
      </c>
      <c r="K103" s="835" t="e">
        <f>SUM(K92:K102)</f>
        <v>#REF!</v>
      </c>
      <c r="L103" s="852"/>
      <c r="M103" s="852"/>
      <c r="N103" s="853"/>
      <c r="O103" s="886"/>
      <c r="P103" s="887"/>
      <c r="Q103" s="887"/>
      <c r="R103" s="888"/>
      <c r="S103" s="854"/>
    </row>
    <row r="104" spans="1:19" s="76" customFormat="1" ht="31.7" hidden="1" customHeight="1">
      <c r="A104" s="400" t="s">
        <v>425</v>
      </c>
      <c r="B104" s="400" t="s">
        <v>193</v>
      </c>
      <c r="C104" s="1282" t="e">
        <f>[1]印403!J91</f>
        <v>#REF!</v>
      </c>
      <c r="D104" s="1283"/>
      <c r="E104" s="1283"/>
      <c r="F104" s="1283"/>
      <c r="G104" s="1468"/>
      <c r="H104" s="242" t="s">
        <v>216</v>
      </c>
      <c r="I104" s="242" t="s">
        <v>12</v>
      </c>
      <c r="J104" s="242" t="s">
        <v>13</v>
      </c>
      <c r="K104" s="405" t="s">
        <v>218</v>
      </c>
      <c r="L104" s="427" t="s">
        <v>60</v>
      </c>
      <c r="M104" s="399" t="e">
        <f>[1]印403!O90</f>
        <v>#REF!</v>
      </c>
      <c r="N104" s="257" t="s">
        <v>45</v>
      </c>
      <c r="O104" s="1448" t="s">
        <v>29</v>
      </c>
      <c r="P104" s="1449"/>
      <c r="Q104" s="1449"/>
      <c r="R104" s="1450"/>
      <c r="S104" s="417" t="s">
        <v>57</v>
      </c>
    </row>
    <row r="105" spans="1:19" ht="15" hidden="1" customHeight="1">
      <c r="A105" s="1199" t="s">
        <v>426</v>
      </c>
      <c r="B105" s="84" t="s">
        <v>205</v>
      </c>
      <c r="C105" s="1282" t="e">
        <f>[1]印403!J92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[1]印403!O91</f>
        <v>#REF!</v>
      </c>
      <c r="N105" s="399"/>
      <c r="O105" s="1469"/>
      <c r="P105" s="1245"/>
      <c r="Q105" s="1245"/>
      <c r="R105" s="1246"/>
      <c r="S105" s="1470"/>
    </row>
    <row r="106" spans="1:19" ht="13.7" hidden="1" customHeight="1">
      <c r="A106" s="1216"/>
      <c r="B106" s="84" t="s">
        <v>205</v>
      </c>
      <c r="C106" s="1282" t="e">
        <f>[1]印403!J93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[1]印403!O92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[1]印403!J94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[1]印403!O93</f>
        <v>#REF!</v>
      </c>
      <c r="N107" s="425"/>
      <c r="O107" s="666"/>
      <c r="P107" s="667"/>
      <c r="Q107" s="667"/>
      <c r="R107" s="668"/>
      <c r="S107" s="1471"/>
    </row>
    <row r="108" spans="1:19" ht="15" hidden="1" customHeight="1">
      <c r="A108" s="1216"/>
      <c r="B108" s="84" t="s">
        <v>205</v>
      </c>
      <c r="C108" s="1282" t="e">
        <f>[1]印403!J95</f>
        <v>#REF!</v>
      </c>
      <c r="D108" s="1283"/>
      <c r="E108" s="1283"/>
      <c r="F108" s="1283"/>
      <c r="G108" s="1468"/>
      <c r="H108" s="663"/>
      <c r="I108" s="663"/>
      <c r="J108" s="399"/>
      <c r="K108" s="665"/>
      <c r="L108" s="673"/>
      <c r="M108" s="399" t="e">
        <f>[1]印403!O94</f>
        <v>#REF!</v>
      </c>
      <c r="N108" s="425"/>
      <c r="O108" s="666"/>
      <c r="P108" s="667"/>
      <c r="Q108" s="667"/>
      <c r="R108" s="668"/>
      <c r="S108" s="1471"/>
    </row>
    <row r="109" spans="1:19" ht="15" hidden="1" customHeight="1">
      <c r="A109" s="1216"/>
      <c r="B109" s="84" t="s">
        <v>205</v>
      </c>
      <c r="C109" s="1282" t="e">
        <f>[1]印403!J96</f>
        <v>#REF!</v>
      </c>
      <c r="D109" s="1283"/>
      <c r="E109" s="1283"/>
      <c r="F109" s="1283"/>
      <c r="G109" s="1468"/>
      <c r="H109" s="663"/>
      <c r="I109" s="663"/>
      <c r="J109" s="399"/>
      <c r="K109" s="665"/>
      <c r="L109" s="673"/>
      <c r="M109" s="399" t="e">
        <f>[1]印403!O95</f>
        <v>#REF!</v>
      </c>
      <c r="N109" s="425"/>
      <c r="O109" s="669"/>
      <c r="P109" s="670"/>
      <c r="Q109" s="670"/>
      <c r="R109" s="671"/>
      <c r="S109" s="1471"/>
    </row>
    <row r="110" spans="1:19" ht="16.5" hidden="1" customHeight="1">
      <c r="A110" s="1216"/>
      <c r="B110" s="881" t="s">
        <v>43</v>
      </c>
      <c r="C110" s="1282" t="e">
        <f>[1]印403!J97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[1]印403!O96</f>
        <v>#REF!</v>
      </c>
      <c r="N110" s="672"/>
      <c r="O110" s="1476"/>
      <c r="P110" s="1477"/>
      <c r="Q110" s="1477"/>
      <c r="R110" s="1478"/>
      <c r="S110" s="1485"/>
    </row>
    <row r="111" spans="1:19" ht="15" hidden="1" customHeight="1">
      <c r="A111" s="1216"/>
      <c r="B111" s="881" t="s">
        <v>43</v>
      </c>
      <c r="C111" s="1282" t="e">
        <f>[1]印403!J98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[1]印403!O97</f>
        <v>#REF!</v>
      </c>
      <c r="N111" s="672"/>
      <c r="O111" s="1479"/>
      <c r="P111" s="1480"/>
      <c r="Q111" s="1480"/>
      <c r="R111" s="1481"/>
      <c r="S111" s="1485"/>
    </row>
    <row r="112" spans="1:19" ht="15" hidden="1" customHeight="1">
      <c r="A112" s="1216"/>
      <c r="B112" s="881" t="s">
        <v>43</v>
      </c>
      <c r="C112" s="1282" t="e">
        <f>[1]印403!J99</f>
        <v>#REF!</v>
      </c>
      <c r="D112" s="1283"/>
      <c r="E112" s="1283"/>
      <c r="F112" s="1283"/>
      <c r="G112" s="1468"/>
      <c r="H112" s="664"/>
      <c r="I112" s="664"/>
      <c r="J112" s="840"/>
      <c r="K112" s="424"/>
      <c r="L112" s="426"/>
      <c r="M112" s="399" t="e">
        <f>[1]印403!O98</f>
        <v>#REF!</v>
      </c>
      <c r="N112" s="672"/>
      <c r="O112" s="1479"/>
      <c r="P112" s="1480"/>
      <c r="Q112" s="1480"/>
      <c r="R112" s="1481"/>
      <c r="S112" s="1485"/>
    </row>
    <row r="113" spans="1:20" ht="15" hidden="1" customHeight="1">
      <c r="A113" s="1165"/>
      <c r="B113" s="881" t="s">
        <v>43</v>
      </c>
      <c r="C113" s="1282" t="e">
        <f>[1]印403!J100</f>
        <v>#REF!</v>
      </c>
      <c r="D113" s="1283"/>
      <c r="E113" s="1283"/>
      <c r="F113" s="1283"/>
      <c r="G113" s="1468"/>
      <c r="H113" s="664"/>
      <c r="I113" s="664"/>
      <c r="J113" s="840"/>
      <c r="K113" s="424"/>
      <c r="L113" s="426"/>
      <c r="M113" s="399" t="e">
        <f>[1]印403!O99</f>
        <v>#REF!</v>
      </c>
      <c r="N113" s="672"/>
      <c r="O113" s="1482"/>
      <c r="P113" s="1483"/>
      <c r="Q113" s="1483"/>
      <c r="R113" s="1484"/>
      <c r="S113" s="1486"/>
    </row>
    <row r="114" spans="1:20" ht="6" customHeight="1">
      <c r="A114" s="248"/>
      <c r="C114" s="249"/>
    </row>
    <row r="115" spans="1:20" ht="6" customHeight="1" thickBot="1">
      <c r="A115" s="248"/>
      <c r="C115" s="249"/>
    </row>
    <row r="116" spans="1:20" ht="15" customHeight="1" thickTop="1">
      <c r="A116" s="1472" t="s">
        <v>30</v>
      </c>
      <c r="B116" s="1473"/>
      <c r="C116" s="1473"/>
      <c r="D116" s="1473"/>
      <c r="E116" s="376">
        <v>622400</v>
      </c>
      <c r="F116" s="75" t="s">
        <v>64</v>
      </c>
      <c r="G116" s="1472" t="s">
        <v>31</v>
      </c>
      <c r="H116" s="1473"/>
      <c r="I116" s="1473"/>
      <c r="J116" s="1473"/>
      <c r="K116" s="1473"/>
      <c r="L116" s="377">
        <v>540000</v>
      </c>
      <c r="M116" s="75" t="s">
        <v>64</v>
      </c>
      <c r="N116" s="1472" t="s">
        <v>32</v>
      </c>
      <c r="O116" s="1473"/>
      <c r="P116" s="1473"/>
      <c r="Q116" s="377">
        <v>1262000</v>
      </c>
      <c r="R116" s="75" t="s">
        <v>64</v>
      </c>
      <c r="S116" s="75"/>
    </row>
    <row r="117" spans="1:20" ht="15" customHeight="1" thickBot="1">
      <c r="A117" s="1474" t="s">
        <v>66</v>
      </c>
      <c r="B117" s="1475"/>
      <c r="C117" s="1475"/>
      <c r="D117" s="1475"/>
      <c r="E117" s="674">
        <f>90*1000</f>
        <v>90000</v>
      </c>
      <c r="G117" s="1474" t="s">
        <v>66</v>
      </c>
      <c r="H117" s="1475"/>
      <c r="I117" s="1475"/>
      <c r="J117" s="1475"/>
      <c r="K117" s="1475"/>
      <c r="L117" s="674">
        <f>15*2000</f>
        <v>30000</v>
      </c>
      <c r="N117" s="1474" t="s">
        <v>33</v>
      </c>
      <c r="O117" s="1475"/>
      <c r="P117" s="1475"/>
      <c r="Q117" s="674">
        <f>(18*1000)+(100*500)+(130*300)</f>
        <v>107000</v>
      </c>
      <c r="R117" s="75"/>
      <c r="S117" s="75"/>
    </row>
    <row r="118" spans="1:20" ht="15" customHeight="1" thickTop="1" thickBot="1">
      <c r="A118" s="1487" t="s">
        <v>34</v>
      </c>
      <c r="B118" s="1488"/>
      <c r="C118" s="1488"/>
      <c r="D118" s="1488"/>
      <c r="E118" s="378">
        <f>E116+E117</f>
        <v>712400</v>
      </c>
      <c r="F118" s="75" t="s">
        <v>64</v>
      </c>
      <c r="G118" s="1487" t="s">
        <v>35</v>
      </c>
      <c r="H118" s="1488"/>
      <c r="I118" s="1488"/>
      <c r="J118" s="1488"/>
      <c r="K118" s="1488"/>
      <c r="L118" s="379">
        <f>L116+L117</f>
        <v>570000</v>
      </c>
      <c r="M118" s="75" t="s">
        <v>64</v>
      </c>
      <c r="N118" s="1487" t="s">
        <v>36</v>
      </c>
      <c r="O118" s="1488"/>
      <c r="P118" s="1488"/>
      <c r="Q118" s="379">
        <f>Q116+Q117</f>
        <v>1369000</v>
      </c>
      <c r="R118" s="75" t="s">
        <v>64</v>
      </c>
      <c r="S118" s="75"/>
    </row>
    <row r="119" spans="1:20" ht="15" customHeight="1" thickTop="1" thickBot="1">
      <c r="E119" s="252">
        <f>印401!M64</f>
        <v>0</v>
      </c>
      <c r="L119" s="675" t="e">
        <f>#REF!</f>
        <v>#REF!</v>
      </c>
      <c r="O119" s="75"/>
      <c r="P119" s="75"/>
      <c r="Q119" s="675" t="e">
        <f>#REF!</f>
        <v>#REF!</v>
      </c>
      <c r="R119" s="75"/>
      <c r="S119" s="75"/>
    </row>
    <row r="120" spans="1:20" ht="15" customHeight="1" thickBot="1">
      <c r="A120" s="676" t="s">
        <v>37</v>
      </c>
      <c r="B120" s="677"/>
      <c r="C120" s="677"/>
      <c r="D120" s="678"/>
      <c r="E120" s="253">
        <f>印401!P64</f>
        <v>0</v>
      </c>
      <c r="F120" s="75" t="s">
        <v>64</v>
      </c>
      <c r="G120" s="676" t="s">
        <v>38</v>
      </c>
      <c r="H120" s="677"/>
      <c r="I120" s="677"/>
      <c r="J120" s="677"/>
      <c r="K120" s="677"/>
      <c r="L120" s="384" t="e">
        <f>#REF!</f>
        <v>#REF!</v>
      </c>
      <c r="M120" s="75" t="s">
        <v>64</v>
      </c>
      <c r="N120" s="676" t="s">
        <v>39</v>
      </c>
      <c r="O120" s="677"/>
      <c r="P120" s="677"/>
      <c r="Q120" s="384" t="e">
        <f>#REF!</f>
        <v>#REF!</v>
      </c>
      <c r="R120" s="75" t="s">
        <v>64</v>
      </c>
      <c r="S120" s="75"/>
    </row>
    <row r="121" spans="1:20" ht="3" customHeight="1" thickBot="1">
      <c r="J121" s="255"/>
      <c r="K121" s="256"/>
    </row>
    <row r="122" spans="1:20" ht="15" customHeight="1" thickTop="1">
      <c r="B122" s="1509" t="s">
        <v>69</v>
      </c>
      <c r="C122" s="1510"/>
      <c r="D122" s="1511" t="s">
        <v>305</v>
      </c>
      <c r="E122" s="1512"/>
      <c r="F122" s="1489" t="s">
        <v>306</v>
      </c>
      <c r="G122" s="1490"/>
      <c r="H122" s="1491" t="s">
        <v>307</v>
      </c>
      <c r="I122" s="1492"/>
      <c r="J122" s="1492"/>
      <c r="K122" s="1493"/>
      <c r="L122" s="1472" t="s">
        <v>657</v>
      </c>
      <c r="M122" s="1473"/>
      <c r="N122" s="1473"/>
      <c r="O122" s="377">
        <v>2354000</v>
      </c>
      <c r="P122" s="75" t="s">
        <v>64</v>
      </c>
      <c r="Q122" s="1496" t="s">
        <v>65</v>
      </c>
      <c r="R122" s="1497"/>
      <c r="S122" s="385">
        <v>23772561</v>
      </c>
    </row>
    <row r="123" spans="1:20" ht="15" customHeight="1" thickBot="1">
      <c r="B123" s="1498" t="s">
        <v>308</v>
      </c>
      <c r="C123" s="1499"/>
      <c r="D123" s="1500" t="e">
        <f>總表!D20</f>
        <v>#REF!</v>
      </c>
      <c r="E123" s="1501"/>
      <c r="F123" s="1502">
        <f>總表!E20</f>
        <v>1316871</v>
      </c>
      <c r="G123" s="1503"/>
      <c r="H123" s="1504" t="e">
        <f>(D123-F123)/D123</f>
        <v>#REF!</v>
      </c>
      <c r="I123" s="1505"/>
      <c r="J123" s="1505"/>
      <c r="K123" s="1506"/>
      <c r="L123" s="1474" t="s">
        <v>33</v>
      </c>
      <c r="M123" s="1475"/>
      <c r="N123" s="1475"/>
      <c r="O123" s="674">
        <f>(50+205)*1000</f>
        <v>255000</v>
      </c>
      <c r="P123" s="75"/>
      <c r="Q123" s="1507" t="s">
        <v>67</v>
      </c>
      <c r="R123" s="1508"/>
      <c r="S123" s="386" t="e">
        <f>SUM(L52:L89,L92:L102)</f>
        <v>#REF!</v>
      </c>
    </row>
    <row r="124" spans="1:20" ht="15" customHeight="1" thickTop="1" thickBot="1">
      <c r="B124" s="1513" t="s">
        <v>309</v>
      </c>
      <c r="C124" s="1514"/>
      <c r="D124" s="1515" t="e">
        <f>總表!C43</f>
        <v>#REF!</v>
      </c>
      <c r="E124" s="1516"/>
      <c r="F124" s="1502" t="e">
        <f>總表!F43</f>
        <v>#REF!</v>
      </c>
      <c r="G124" s="1503"/>
      <c r="H124" s="1504" t="e">
        <f>(D124-F124)/D124</f>
        <v>#REF!</v>
      </c>
      <c r="I124" s="1505"/>
      <c r="J124" s="1505"/>
      <c r="K124" s="1506"/>
      <c r="L124" s="1487" t="s">
        <v>658</v>
      </c>
      <c r="M124" s="1488"/>
      <c r="N124" s="1488"/>
      <c r="O124" s="379">
        <f>O122+O123</f>
        <v>2609000</v>
      </c>
      <c r="P124" s="75" t="s">
        <v>64</v>
      </c>
      <c r="Q124" s="1494" t="s">
        <v>68</v>
      </c>
      <c r="R124" s="1495"/>
      <c r="S124" s="387" t="e">
        <f>S122+S123</f>
        <v>#REF!</v>
      </c>
    </row>
    <row r="125" spans="1:20" ht="14.1" customHeight="1" thickTop="1" thickBot="1">
      <c r="B125" s="250" t="s">
        <v>310</v>
      </c>
      <c r="C125" s="250"/>
      <c r="D125" s="250"/>
      <c r="E125" s="233"/>
      <c r="O125" s="675" t="e">
        <f>#REF!</f>
        <v>#REF!</v>
      </c>
      <c r="P125" s="75"/>
      <c r="Q125" s="75"/>
      <c r="R125" s="254" t="e">
        <f>總表!E43+總表!E52</f>
        <v>#REF!</v>
      </c>
      <c r="S125" s="254" t="e">
        <f>R125-S124</f>
        <v>#REF!</v>
      </c>
    </row>
    <row r="126" spans="1:20" ht="17.25" customHeight="1" thickBot="1">
      <c r="B126" s="250" t="s">
        <v>40</v>
      </c>
      <c r="C126" s="233"/>
      <c r="D126" s="233"/>
      <c r="E126" s="233"/>
      <c r="F126" s="233"/>
      <c r="L126" s="676" t="s">
        <v>659</v>
      </c>
      <c r="M126" s="677"/>
      <c r="N126" s="677"/>
      <c r="O126" s="384" t="e">
        <f>#REF!</f>
        <v>#REF!</v>
      </c>
      <c r="P126" s="75" t="s">
        <v>64</v>
      </c>
      <c r="T126" s="233"/>
    </row>
    <row r="127" spans="1:20" ht="15.75" customHeight="1">
      <c r="B127" s="75" t="s">
        <v>41</v>
      </c>
      <c r="N127" s="233"/>
      <c r="S127" s="75"/>
    </row>
  </sheetData>
  <mergeCells count="307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S20:S21"/>
    <mergeCell ref="G21:I21"/>
    <mergeCell ref="O21:R21"/>
    <mergeCell ref="C77:E77"/>
    <mergeCell ref="O77:R77"/>
    <mergeCell ref="S77:S78"/>
    <mergeCell ref="G24:I24"/>
    <mergeCell ref="K24:M24"/>
    <mergeCell ref="O24:R24"/>
    <mergeCell ref="G30:I30"/>
    <mergeCell ref="G31:I31"/>
    <mergeCell ref="C32:E32"/>
    <mergeCell ref="O32:R32"/>
    <mergeCell ref="O67:R67"/>
    <mergeCell ref="C71:E71"/>
    <mergeCell ref="O71:R71"/>
    <mergeCell ref="C70:E70"/>
    <mergeCell ref="O70:R70"/>
    <mergeCell ref="A19:A21"/>
    <mergeCell ref="G19:I19"/>
    <mergeCell ref="K19:M19"/>
    <mergeCell ref="O19:R19"/>
    <mergeCell ref="G20:I20"/>
    <mergeCell ref="K20:M21"/>
    <mergeCell ref="A15:A16"/>
    <mergeCell ref="G15:I15"/>
    <mergeCell ref="K15:M15"/>
    <mergeCell ref="O15:R15"/>
    <mergeCell ref="G16:I16"/>
    <mergeCell ref="K16:M16"/>
    <mergeCell ref="O16:R16"/>
    <mergeCell ref="A17:A18"/>
    <mergeCell ref="G17:I17"/>
    <mergeCell ref="K17:M17"/>
    <mergeCell ref="O17:R17"/>
    <mergeCell ref="G18:I18"/>
    <mergeCell ref="K18:M18"/>
    <mergeCell ref="O18:R18"/>
    <mergeCell ref="O20:R20"/>
    <mergeCell ref="A22:A24"/>
    <mergeCell ref="S22:S23"/>
    <mergeCell ref="C74:E74"/>
    <mergeCell ref="O74:R74"/>
    <mergeCell ref="S69:S70"/>
    <mergeCell ref="C72:E72"/>
    <mergeCell ref="O72:R72"/>
    <mergeCell ref="C73:E73"/>
    <mergeCell ref="O73:R73"/>
    <mergeCell ref="A72:A74"/>
    <mergeCell ref="S73:S74"/>
    <mergeCell ref="K25:M25"/>
    <mergeCell ref="O25:R25"/>
    <mergeCell ref="A26:A31"/>
    <mergeCell ref="G26:I26"/>
    <mergeCell ref="K26:M28"/>
    <mergeCell ref="O26:R28"/>
    <mergeCell ref="S26:S28"/>
    <mergeCell ref="G27:I27"/>
    <mergeCell ref="G28:I28"/>
    <mergeCell ref="G29:I29"/>
    <mergeCell ref="K29:M31"/>
    <mergeCell ref="O29:R31"/>
    <mergeCell ref="S29:S31"/>
    <mergeCell ref="A33:A39"/>
    <mergeCell ref="C33:E33"/>
    <mergeCell ref="M33:M35"/>
    <mergeCell ref="O33:R35"/>
    <mergeCell ref="S33:S35"/>
    <mergeCell ref="C34:E34"/>
    <mergeCell ref="C35:E35"/>
    <mergeCell ref="C36:E36"/>
    <mergeCell ref="M36:M39"/>
    <mergeCell ref="O36:R39"/>
    <mergeCell ref="S36:S39"/>
    <mergeCell ref="C37:E37"/>
    <mergeCell ref="C38:E38"/>
    <mergeCell ref="C39:E39"/>
    <mergeCell ref="A40:A45"/>
    <mergeCell ref="C40:E40"/>
    <mergeCell ref="M40:M42"/>
    <mergeCell ref="O40:R42"/>
    <mergeCell ref="S40:S42"/>
    <mergeCell ref="C41:E41"/>
    <mergeCell ref="C42:E42"/>
    <mergeCell ref="C43:E43"/>
    <mergeCell ref="M43:M45"/>
    <mergeCell ref="O43:R45"/>
    <mergeCell ref="S43:S45"/>
    <mergeCell ref="C44:E44"/>
    <mergeCell ref="C45:E45"/>
    <mergeCell ref="A46:A51"/>
    <mergeCell ref="C46:E46"/>
    <mergeCell ref="M46:M48"/>
    <mergeCell ref="O46:R48"/>
    <mergeCell ref="S46:S48"/>
    <mergeCell ref="C47:E47"/>
    <mergeCell ref="C48:E48"/>
    <mergeCell ref="C49:E49"/>
    <mergeCell ref="M49:M51"/>
    <mergeCell ref="O49:R51"/>
    <mergeCell ref="S49:S51"/>
    <mergeCell ref="C50:E50"/>
    <mergeCell ref="C51:E51"/>
    <mergeCell ref="A52:A53"/>
    <mergeCell ref="C52:E52"/>
    <mergeCell ref="O52:R52"/>
    <mergeCell ref="V52:X52"/>
    <mergeCell ref="C53:E53"/>
    <mergeCell ref="O53:R53"/>
    <mergeCell ref="V53:X53"/>
    <mergeCell ref="A56:A57"/>
    <mergeCell ref="C56:E56"/>
    <mergeCell ref="O56:R56"/>
    <mergeCell ref="C57:E57"/>
    <mergeCell ref="O57:R57"/>
    <mergeCell ref="A54:A55"/>
    <mergeCell ref="A60:A61"/>
    <mergeCell ref="C60:E60"/>
    <mergeCell ref="O60:R60"/>
    <mergeCell ref="C61:E61"/>
    <mergeCell ref="O61:R61"/>
    <mergeCell ref="A58:A59"/>
    <mergeCell ref="C58:E58"/>
    <mergeCell ref="O58:R58"/>
    <mergeCell ref="C59:E59"/>
    <mergeCell ref="O59:R59"/>
    <mergeCell ref="A62:A63"/>
    <mergeCell ref="C62:E62"/>
    <mergeCell ref="O62:R62"/>
    <mergeCell ref="C63:E63"/>
    <mergeCell ref="C69:E69"/>
    <mergeCell ref="O69:R69"/>
    <mergeCell ref="O63:R63"/>
    <mergeCell ref="A64:A65"/>
    <mergeCell ref="C64:E64"/>
    <mergeCell ref="O64:R64"/>
    <mergeCell ref="C65:E65"/>
    <mergeCell ref="O65:R65"/>
    <mergeCell ref="O68:R68"/>
    <mergeCell ref="A66:A67"/>
    <mergeCell ref="C66:E66"/>
    <mergeCell ref="O66:R66"/>
    <mergeCell ref="C67:E67"/>
    <mergeCell ref="A69:A71"/>
    <mergeCell ref="A75:A76"/>
    <mergeCell ref="C75:E75"/>
    <mergeCell ref="O75:R75"/>
    <mergeCell ref="C76:E76"/>
    <mergeCell ref="O76:R76"/>
    <mergeCell ref="A92:A93"/>
    <mergeCell ref="C88:E88"/>
    <mergeCell ref="O87:R87"/>
    <mergeCell ref="O96:R96"/>
    <mergeCell ref="O94:R94"/>
    <mergeCell ref="C95:G95"/>
    <mergeCell ref="C92:G92"/>
    <mergeCell ref="O89:R89"/>
    <mergeCell ref="O90:R90"/>
    <mergeCell ref="O82:R82"/>
    <mergeCell ref="C83:E83"/>
    <mergeCell ref="O83:R83"/>
    <mergeCell ref="A77:A79"/>
    <mergeCell ref="O86:R86"/>
    <mergeCell ref="A82:A83"/>
    <mergeCell ref="O95:R95"/>
    <mergeCell ref="C87:E87"/>
    <mergeCell ref="A86:A87"/>
    <mergeCell ref="C82:E82"/>
    <mergeCell ref="C98:G98"/>
    <mergeCell ref="O98:R98"/>
    <mergeCell ref="C91:G91"/>
    <mergeCell ref="O91:R91"/>
    <mergeCell ref="A88:A89"/>
    <mergeCell ref="C97:G97"/>
    <mergeCell ref="O97:R97"/>
    <mergeCell ref="A96:A99"/>
    <mergeCell ref="C96:G96"/>
    <mergeCell ref="O88:R88"/>
    <mergeCell ref="A94:A95"/>
    <mergeCell ref="C94:G94"/>
    <mergeCell ref="C99:G99"/>
    <mergeCell ref="C89:E89"/>
    <mergeCell ref="O99:R99"/>
    <mergeCell ref="O92:R92"/>
    <mergeCell ref="C93:G93"/>
    <mergeCell ref="O93:R93"/>
    <mergeCell ref="C103:G103"/>
    <mergeCell ref="C102:G102"/>
    <mergeCell ref="O102:R102"/>
    <mergeCell ref="C100:G100"/>
    <mergeCell ref="O100:R100"/>
    <mergeCell ref="C101:G101"/>
    <mergeCell ref="C104:G104"/>
    <mergeCell ref="O104:R104"/>
    <mergeCell ref="A105:A113"/>
    <mergeCell ref="C105:G105"/>
    <mergeCell ref="O105:R105"/>
    <mergeCell ref="C113:G113"/>
    <mergeCell ref="O101:R101"/>
    <mergeCell ref="A100:A102"/>
    <mergeCell ref="S105:S109"/>
    <mergeCell ref="C106:G106"/>
    <mergeCell ref="C107:G107"/>
    <mergeCell ref="C108:G108"/>
    <mergeCell ref="C109:G109"/>
    <mergeCell ref="C110:G110"/>
    <mergeCell ref="O110:R113"/>
    <mergeCell ref="S110:S113"/>
    <mergeCell ref="C111:G111"/>
    <mergeCell ref="C112:G112"/>
    <mergeCell ref="A116:D116"/>
    <mergeCell ref="G116:K116"/>
    <mergeCell ref="N116:P116"/>
    <mergeCell ref="A117:D117"/>
    <mergeCell ref="G117:K117"/>
    <mergeCell ref="N117:P117"/>
    <mergeCell ref="A118:D118"/>
    <mergeCell ref="G118:K118"/>
    <mergeCell ref="N118:P118"/>
    <mergeCell ref="B122:C122"/>
    <mergeCell ref="D122:E122"/>
    <mergeCell ref="F122:G122"/>
    <mergeCell ref="H122:K122"/>
    <mergeCell ref="L122:N122"/>
    <mergeCell ref="Q122:R122"/>
    <mergeCell ref="B123:C123"/>
    <mergeCell ref="D123:E123"/>
    <mergeCell ref="F123:G123"/>
    <mergeCell ref="H123:K123"/>
    <mergeCell ref="L123:N123"/>
    <mergeCell ref="Q123:R123"/>
    <mergeCell ref="B124:C124"/>
    <mergeCell ref="D124:E124"/>
    <mergeCell ref="F124:G124"/>
    <mergeCell ref="H124:K124"/>
    <mergeCell ref="L124:N124"/>
    <mergeCell ref="Q124:R124"/>
    <mergeCell ref="G13:I13"/>
    <mergeCell ref="G9:I9"/>
    <mergeCell ref="K9:M10"/>
    <mergeCell ref="O9:R9"/>
    <mergeCell ref="G22:I22"/>
    <mergeCell ref="O22:R22"/>
    <mergeCell ref="G23:I23"/>
    <mergeCell ref="O23:R23"/>
    <mergeCell ref="K22:M23"/>
    <mergeCell ref="C54:E54"/>
    <mergeCell ref="O54:R54"/>
    <mergeCell ref="C55:E55"/>
    <mergeCell ref="O55:R55"/>
    <mergeCell ref="C78:E78"/>
    <mergeCell ref="O78:R78"/>
    <mergeCell ref="C79:E79"/>
    <mergeCell ref="O79:R79"/>
    <mergeCell ref="C86:E86"/>
    <mergeCell ref="S9:S10"/>
    <mergeCell ref="G10:I10"/>
    <mergeCell ref="O10:R10"/>
    <mergeCell ref="O13:R13"/>
    <mergeCell ref="S13:S14"/>
    <mergeCell ref="G11:I11"/>
    <mergeCell ref="O11:R11"/>
    <mergeCell ref="A9:A11"/>
    <mergeCell ref="K11:M11"/>
    <mergeCell ref="G12:I12"/>
    <mergeCell ref="K12:M12"/>
    <mergeCell ref="O12:R12"/>
    <mergeCell ref="G14:I14"/>
    <mergeCell ref="O14:R14"/>
    <mergeCell ref="A12:A14"/>
    <mergeCell ref="K13:M14"/>
    <mergeCell ref="A80:A81"/>
    <mergeCell ref="C80:E80"/>
    <mergeCell ref="O80:R80"/>
    <mergeCell ref="C81:E81"/>
    <mergeCell ref="O81:R81"/>
    <mergeCell ref="A84:A85"/>
    <mergeCell ref="C84:E84"/>
    <mergeCell ref="O84:R84"/>
    <mergeCell ref="C85:E85"/>
    <mergeCell ref="O85:R85"/>
  </mergeCells>
  <phoneticPr fontId="26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A123"/>
  <sheetViews>
    <sheetView topLeftCell="L98" workbookViewId="0">
      <selection activeCell="S120" sqref="S120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998</v>
      </c>
    </row>
    <row r="3" spans="1:23" ht="72.7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1020</v>
      </c>
      <c r="O3" s="1319"/>
      <c r="P3" s="1320"/>
      <c r="Q3" s="1318" t="s">
        <v>1021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45245</v>
      </c>
      <c r="D5" s="419" t="s">
        <v>1019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75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1.85</v>
      </c>
      <c r="E9" s="815">
        <v>715</v>
      </c>
      <c r="F9" s="815">
        <f>'102'!O36</f>
        <v>750</v>
      </c>
      <c r="G9" s="1311">
        <f>'102'!K36</f>
        <v>8035</v>
      </c>
      <c r="H9" s="1312"/>
      <c r="I9" s="1313"/>
      <c r="J9" s="814">
        <f>'102'!L36</f>
        <v>0</v>
      </c>
      <c r="K9" s="1314">
        <f>'102'!P36</f>
        <v>0.89277777777777778</v>
      </c>
      <c r="L9" s="1315"/>
      <c r="M9" s="1316"/>
      <c r="N9" s="820">
        <f>J9/(G9+J9)</f>
        <v>0</v>
      </c>
      <c r="O9" s="1521" t="str">
        <f>'102'!U36</f>
        <v>20:01最後一支交接班</v>
      </c>
      <c r="P9" s="1522"/>
      <c r="Q9" s="1522"/>
      <c r="R9" s="1523"/>
      <c r="S9" s="892" t="str">
        <f>'102'!V36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1.85</v>
      </c>
      <c r="E10" s="880">
        <v>715</v>
      </c>
      <c r="F10" s="880">
        <f>'102'!O37</f>
        <v>750</v>
      </c>
      <c r="G10" s="1327">
        <f>'102'!K37</f>
        <v>8025</v>
      </c>
      <c r="H10" s="1328"/>
      <c r="I10" s="1329"/>
      <c r="J10" s="423">
        <f>'102'!L37</f>
        <v>0</v>
      </c>
      <c r="K10" s="1314">
        <f>'102'!P37</f>
        <v>0.89166666666666672</v>
      </c>
      <c r="L10" s="1315"/>
      <c r="M10" s="1316"/>
      <c r="N10" s="820">
        <f>J10/(G10+J10)</f>
        <v>0</v>
      </c>
      <c r="O10" s="1521" t="str">
        <f>'102'!U37</f>
        <v>07:48最後一支交接班</v>
      </c>
      <c r="P10" s="1522"/>
      <c r="Q10" s="1522"/>
      <c r="R10" s="1523"/>
      <c r="S10" s="892" t="str">
        <f>'102'!V37</f>
        <v>阮功體</v>
      </c>
      <c r="U10" s="420" t="s">
        <v>633</v>
      </c>
      <c r="V10" s="880"/>
      <c r="W10" s="880"/>
    </row>
    <row r="11" spans="1:23" ht="36" customHeight="1">
      <c r="A11" s="1325" t="s">
        <v>7</v>
      </c>
      <c r="B11" s="84" t="s">
        <v>205</v>
      </c>
      <c r="C11" s="850" t="s">
        <v>42</v>
      </c>
      <c r="D11" s="851">
        <v>0.45</v>
      </c>
      <c r="E11" s="815">
        <v>870</v>
      </c>
      <c r="F11" s="815">
        <f>'103'!O38</f>
        <v>350</v>
      </c>
      <c r="G11" s="1311">
        <f>'103'!K38</f>
        <v>3860</v>
      </c>
      <c r="H11" s="1312"/>
      <c r="I11" s="1313"/>
      <c r="J11" s="814">
        <f>'103'!L38</f>
        <v>37</v>
      </c>
      <c r="K11" s="1314">
        <f>'103'!P38</f>
        <v>0.919047619047619</v>
      </c>
      <c r="L11" s="1315"/>
      <c r="M11" s="1316"/>
      <c r="N11" s="820">
        <f>J11/(G11+J11)</f>
        <v>9.4944829355914813E-3</v>
      </c>
      <c r="O11" s="1308" t="str">
        <f>'103'!U38</f>
        <v>20:10最後一支交接班
07:52-08:20連續斷板,調整參數,NG  37KG</v>
      </c>
      <c r="P11" s="1309"/>
      <c r="Q11" s="1309"/>
      <c r="R11" s="1310"/>
      <c r="S11" s="822" t="str">
        <f>'103'!V38</f>
        <v>史豐銘</v>
      </c>
    </row>
    <row r="12" spans="1:23" ht="17.25" customHeight="1">
      <c r="A12" s="1326"/>
      <c r="B12" s="881" t="s">
        <v>207</v>
      </c>
      <c r="C12" s="422" t="s">
        <v>42</v>
      </c>
      <c r="D12" s="421">
        <v>0.45</v>
      </c>
      <c r="E12" s="880">
        <v>870</v>
      </c>
      <c r="F12" s="880">
        <f>'103'!O39</f>
        <v>350</v>
      </c>
      <c r="G12" s="1327">
        <f>'103'!K39</f>
        <v>800</v>
      </c>
      <c r="H12" s="1328"/>
      <c r="I12" s="1329"/>
      <c r="J12" s="423">
        <f>'103'!L39</f>
        <v>0</v>
      </c>
      <c r="K12" s="1314">
        <f>'103'!P39</f>
        <v>0.19047619047619047</v>
      </c>
      <c r="L12" s="1315"/>
      <c r="M12" s="1316"/>
      <c r="N12" s="820">
        <f>J12/(G12+J12)</f>
        <v>0</v>
      </c>
      <c r="O12" s="1308" t="str">
        <f>'103'!U39</f>
        <v>23:00最後一支計畫性停機,人員安排開105機台</v>
      </c>
      <c r="P12" s="1309"/>
      <c r="Q12" s="1309"/>
      <c r="R12" s="1310"/>
      <c r="S12" s="822" t="str">
        <f>'103'!V39</f>
        <v>阮宏山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35.25" customHeight="1">
      <c r="A16" s="1359"/>
      <c r="B16" s="881" t="s">
        <v>43</v>
      </c>
      <c r="C16" s="422" t="s">
        <v>44</v>
      </c>
      <c r="D16" s="421">
        <v>1.55</v>
      </c>
      <c r="E16" s="880">
        <v>715</v>
      </c>
      <c r="F16" s="880">
        <f>'105'!O34</f>
        <v>450</v>
      </c>
      <c r="G16" s="1327">
        <f>'105'!K34</f>
        <v>1991</v>
      </c>
      <c r="H16" s="1328"/>
      <c r="I16" s="1329"/>
      <c r="J16" s="423">
        <f>'105'!L34</f>
        <v>80</v>
      </c>
      <c r="K16" s="1541">
        <f>'105'!P34+'105'!P35</f>
        <v>0.61370370370370364</v>
      </c>
      <c r="L16" s="1542"/>
      <c r="M16" s="1543"/>
      <c r="N16" s="871">
        <f t="shared" ref="N16:N22" si="0">J16/(G16+J16)</f>
        <v>3.8628681796233702E-2</v>
      </c>
      <c r="O16" s="1534" t="str">
        <f>'105'!U34</f>
        <v>23:28開機,NG  80KG
04:18改規格1.57*715,無損耗</v>
      </c>
      <c r="P16" s="1535"/>
      <c r="Q16" s="1535"/>
      <c r="R16" s="1536"/>
      <c r="S16" s="1519" t="str">
        <f>'105'!V34</f>
        <v>阮宏山</v>
      </c>
    </row>
    <row r="17" spans="1:19" ht="17.25" customHeight="1">
      <c r="A17" s="1102"/>
      <c r="B17" s="881" t="s">
        <v>43</v>
      </c>
      <c r="C17" s="422" t="s">
        <v>44</v>
      </c>
      <c r="D17" s="421">
        <v>1.57</v>
      </c>
      <c r="E17" s="880">
        <v>715</v>
      </c>
      <c r="F17" s="880">
        <f>'105'!O35</f>
        <v>450</v>
      </c>
      <c r="G17" s="1327">
        <f>'105'!K35</f>
        <v>1323</v>
      </c>
      <c r="H17" s="1328"/>
      <c r="I17" s="1329"/>
      <c r="J17" s="423">
        <f>'105'!L35</f>
        <v>0</v>
      </c>
      <c r="K17" s="1544"/>
      <c r="L17" s="1545"/>
      <c r="M17" s="1546"/>
      <c r="N17" s="871">
        <f t="shared" si="0"/>
        <v>0</v>
      </c>
      <c r="O17" s="1537" t="str">
        <f>'105'!U35</f>
        <v>07:30最後一支交接班</v>
      </c>
      <c r="P17" s="1538"/>
      <c r="Q17" s="1538"/>
      <c r="R17" s="1539"/>
      <c r="S17" s="1520"/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1.5</v>
      </c>
      <c r="E18" s="815">
        <v>805</v>
      </c>
      <c r="F18" s="815">
        <f>'106'!O37</f>
        <v>1185</v>
      </c>
      <c r="G18" s="1311">
        <f>'106'!K37</f>
        <v>13125</v>
      </c>
      <c r="H18" s="1312"/>
      <c r="I18" s="1313"/>
      <c r="J18" s="814">
        <f>'106'!L37</f>
        <v>0</v>
      </c>
      <c r="K18" s="1330">
        <f>'106'!P37</f>
        <v>0.9229957805907173</v>
      </c>
      <c r="L18" s="1331"/>
      <c r="M18" s="1332"/>
      <c r="N18" s="871">
        <f t="shared" si="0"/>
        <v>0</v>
      </c>
      <c r="O18" s="1364" t="str">
        <f>'106'!U37</f>
        <v>19:26最後一支交接班</v>
      </c>
      <c r="P18" s="1365"/>
      <c r="Q18" s="1365"/>
      <c r="R18" s="1366"/>
      <c r="S18" s="822" t="str">
        <f>'106'!V37</f>
        <v>黎文中.林子維</v>
      </c>
    </row>
    <row r="19" spans="1:19" ht="17.25" customHeight="1">
      <c r="A19" s="1562"/>
      <c r="B19" s="881" t="s">
        <v>43</v>
      </c>
      <c r="C19" s="422" t="s">
        <v>42</v>
      </c>
      <c r="D19" s="421">
        <v>1.5</v>
      </c>
      <c r="E19" s="880">
        <v>805</v>
      </c>
      <c r="F19" s="880">
        <f>'106'!O38</f>
        <v>1185</v>
      </c>
      <c r="G19" s="1327">
        <f>'106'!K38</f>
        <v>14236</v>
      </c>
      <c r="H19" s="1328"/>
      <c r="I19" s="1329"/>
      <c r="J19" s="423">
        <f>'106'!L38</f>
        <v>0</v>
      </c>
      <c r="K19" s="1330">
        <f>'106'!P38</f>
        <v>1.0011251758087201</v>
      </c>
      <c r="L19" s="1331"/>
      <c r="M19" s="1332"/>
      <c r="N19" s="871">
        <f t="shared" si="0"/>
        <v>0</v>
      </c>
      <c r="O19" s="1364" t="str">
        <f>'106'!U38</f>
        <v>07:51最後一支交接班</v>
      </c>
      <c r="P19" s="1365"/>
      <c r="Q19" s="1365"/>
      <c r="R19" s="1366"/>
      <c r="S19" s="822" t="str">
        <f>'106'!V38</f>
        <v>黃隨貴.盧宇昇</v>
      </c>
    </row>
    <row r="20" spans="1:19" ht="17.25" customHeight="1">
      <c r="A20" s="1362" t="s">
        <v>418</v>
      </c>
      <c r="B20" s="84" t="s">
        <v>205</v>
      </c>
      <c r="C20" s="850" t="s">
        <v>433</v>
      </c>
      <c r="D20" s="851">
        <v>0.55000000000000004</v>
      </c>
      <c r="E20" s="815">
        <v>880</v>
      </c>
      <c r="F20" s="815">
        <f>'107'!O38</f>
        <v>450</v>
      </c>
      <c r="G20" s="1311">
        <f>'107'!K38</f>
        <v>5031</v>
      </c>
      <c r="H20" s="1312"/>
      <c r="I20" s="1313"/>
      <c r="J20" s="814">
        <f>'107'!L38</f>
        <v>0</v>
      </c>
      <c r="K20" s="1314">
        <f>'107'!P38</f>
        <v>0.93166666666666664</v>
      </c>
      <c r="L20" s="1315"/>
      <c r="M20" s="1316"/>
      <c r="N20" s="871">
        <f t="shared" si="0"/>
        <v>0</v>
      </c>
      <c r="O20" s="1364" t="str">
        <f>'107'!U38</f>
        <v>19:08最後一支交接班</v>
      </c>
      <c r="P20" s="1365"/>
      <c r="Q20" s="1365"/>
      <c r="R20" s="1366"/>
      <c r="S20" s="822" t="str">
        <f>'107'!V38</f>
        <v>潘文銅</v>
      </c>
    </row>
    <row r="21" spans="1:19" ht="17.25" customHeight="1">
      <c r="A21" s="1540"/>
      <c r="B21" s="881" t="s">
        <v>43</v>
      </c>
      <c r="C21" s="422" t="s">
        <v>433</v>
      </c>
      <c r="D21" s="421">
        <v>0.55000000000000004</v>
      </c>
      <c r="E21" s="880">
        <v>880</v>
      </c>
      <c r="F21" s="880">
        <f>'107'!O39</f>
        <v>450</v>
      </c>
      <c r="G21" s="1327">
        <f>'107'!K39</f>
        <v>3021</v>
      </c>
      <c r="H21" s="1328"/>
      <c r="I21" s="1329"/>
      <c r="J21" s="423">
        <f>'107'!L39</f>
        <v>0</v>
      </c>
      <c r="K21" s="1524">
        <f>'107'!P39+'107'!P40</f>
        <v>1.0257407407407406</v>
      </c>
      <c r="L21" s="1525"/>
      <c r="M21" s="1526"/>
      <c r="N21" s="871">
        <f t="shared" si="0"/>
        <v>0</v>
      </c>
      <c r="O21" s="1348" t="str">
        <f>'107'!U39</f>
        <v>01:57-01:59改規格0.6*830,無損耗</v>
      </c>
      <c r="P21" s="1349"/>
      <c r="Q21" s="1349"/>
      <c r="R21" s="1350"/>
      <c r="S21" s="1517" t="str">
        <f>'107'!V39</f>
        <v>磨文林</v>
      </c>
    </row>
    <row r="22" spans="1:19" ht="17.25" customHeight="1">
      <c r="A22" s="1363"/>
      <c r="B22" s="881" t="s">
        <v>43</v>
      </c>
      <c r="C22" s="422" t="s">
        <v>433</v>
      </c>
      <c r="D22" s="421">
        <v>0.6</v>
      </c>
      <c r="E22" s="880">
        <v>830</v>
      </c>
      <c r="F22" s="880">
        <f>'107'!O40</f>
        <v>450</v>
      </c>
      <c r="G22" s="1327">
        <f>'107'!K40</f>
        <v>2518</v>
      </c>
      <c r="H22" s="1328"/>
      <c r="I22" s="1329"/>
      <c r="J22" s="423">
        <f>'107'!L40</f>
        <v>0</v>
      </c>
      <c r="K22" s="1527"/>
      <c r="L22" s="1528"/>
      <c r="M22" s="1529"/>
      <c r="N22" s="871">
        <f t="shared" si="0"/>
        <v>0</v>
      </c>
      <c r="O22" s="1367" t="str">
        <f>'107'!U40</f>
        <v>07:58最後一支交接班</v>
      </c>
      <c r="P22" s="1368"/>
      <c r="Q22" s="1368"/>
      <c r="R22" s="1369"/>
      <c r="S22" s="1518"/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61965</v>
      </c>
      <c r="J23" s="833">
        <f>SUM(J7:J22)</f>
        <v>117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1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1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1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1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1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1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61965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s">
        <v>633</v>
      </c>
      <c r="D50" s="1427"/>
      <c r="E50" s="1427"/>
      <c r="F50" s="827"/>
      <c r="G50" s="828"/>
      <c r="H50" s="815"/>
      <c r="I50" s="827"/>
      <c r="J50" s="828"/>
      <c r="K50" s="828"/>
      <c r="L50" s="828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s">
        <v>633</v>
      </c>
      <c r="D51" s="1360"/>
      <c r="E51" s="1360"/>
      <c r="F51" s="418"/>
      <c r="G51" s="660"/>
      <c r="H51" s="880"/>
      <c r="I51" s="418"/>
      <c r="J51" s="660"/>
      <c r="K51" s="660"/>
      <c r="L51" s="660"/>
      <c r="M51" s="661"/>
      <c r="N51" s="662"/>
      <c r="O51" s="1361"/>
      <c r="P51" s="1361"/>
      <c r="Q51" s="1361"/>
      <c r="R51" s="1361"/>
      <c r="S51" s="822"/>
      <c r="V51" s="1382" t="s">
        <v>633</v>
      </c>
      <c r="W51" s="1383"/>
      <c r="X51" s="1384"/>
    </row>
    <row r="52" spans="1:24" ht="33" customHeight="1">
      <c r="A52" s="1126" t="s">
        <v>22</v>
      </c>
      <c r="B52" s="84" t="s">
        <v>0</v>
      </c>
      <c r="C52" s="1427" t="e">
        <f>#REF!</f>
        <v>#REF!</v>
      </c>
      <c r="D52" s="1427"/>
      <c r="E52" s="1427"/>
      <c r="F52" s="827" t="s">
        <v>962</v>
      </c>
      <c r="G52" s="852" t="e">
        <f>#REF!</f>
        <v>#REF!</v>
      </c>
      <c r="H52" s="815"/>
      <c r="I52" s="827">
        <v>2</v>
      </c>
      <c r="J52" s="852" t="e">
        <f>#REF!</f>
        <v>#REF!</v>
      </c>
      <c r="K52" s="885" t="e">
        <f>#REF!</f>
        <v>#REF!</v>
      </c>
      <c r="L52" s="885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17.25" customHeight="1">
      <c r="A53" s="1127"/>
      <c r="B53" s="881" t="s">
        <v>43</v>
      </c>
      <c r="C53" s="1360" t="e">
        <f>#REF!</f>
        <v>#REF!</v>
      </c>
      <c r="D53" s="1360"/>
      <c r="E53" s="1360"/>
      <c r="F53" s="418" t="s">
        <v>1035</v>
      </c>
      <c r="G53" s="840" t="e">
        <f>#REF!</f>
        <v>#REF!</v>
      </c>
      <c r="H53" s="880"/>
      <c r="I53" s="418">
        <v>3</v>
      </c>
      <c r="J53" s="840" t="e">
        <f>#REF!</f>
        <v>#REF!</v>
      </c>
      <c r="K53" s="890" t="e">
        <f>#REF!</f>
        <v>#REF!</v>
      </c>
      <c r="L53" s="890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17.25" customHeight="1">
      <c r="A54" s="1428" t="s">
        <v>23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865"/>
      <c r="N54" s="662"/>
      <c r="O54" s="1364"/>
      <c r="P54" s="1365"/>
      <c r="Q54" s="1365"/>
      <c r="R54" s="1366"/>
      <c r="S54" s="822"/>
    </row>
    <row r="55" spans="1:24" ht="34.5" customHeight="1">
      <c r="A55" s="1563"/>
      <c r="B55" s="381" t="s">
        <v>43</v>
      </c>
      <c r="C55" s="1360" t="e">
        <f>#REF!</f>
        <v>#REF!</v>
      </c>
      <c r="D55" s="1360"/>
      <c r="E55" s="1360"/>
      <c r="F55" s="418" t="s">
        <v>990</v>
      </c>
      <c r="G55" s="660" t="e">
        <f>#REF!</f>
        <v>#REF!</v>
      </c>
      <c r="H55" s="880"/>
      <c r="I55" s="418">
        <v>3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260" t="s">
        <v>634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7"/>
      <c r="O58" s="1430"/>
      <c r="P58" s="1431"/>
      <c r="Q58" s="1431"/>
      <c r="R58" s="1432"/>
      <c r="S58" s="822"/>
    </row>
    <row r="59" spans="1:24" ht="17.25" customHeight="1">
      <c r="A59" s="1260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7"/>
      <c r="O59" s="1430"/>
      <c r="P59" s="1431"/>
      <c r="Q59" s="1431"/>
      <c r="R59" s="1432"/>
      <c r="S59" s="822"/>
    </row>
    <row r="60" spans="1:24" ht="17.25" customHeight="1">
      <c r="A60" s="1126" t="s">
        <v>416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8"/>
      <c r="O60" s="1333"/>
      <c r="P60" s="1334"/>
      <c r="Q60" s="1334"/>
      <c r="R60" s="1335"/>
      <c r="S60" s="855"/>
    </row>
    <row r="61" spans="1:24" ht="33.75" customHeight="1">
      <c r="A61" s="1189"/>
      <c r="B61" s="381" t="s">
        <v>43</v>
      </c>
      <c r="C61" s="1360" t="e">
        <f>#REF!</f>
        <v>#REF!</v>
      </c>
      <c r="D61" s="1360"/>
      <c r="E61" s="1360"/>
      <c r="F61" s="418" t="s">
        <v>1036</v>
      </c>
      <c r="G61" s="660" t="e">
        <f>#REF!</f>
        <v>#REF!</v>
      </c>
      <c r="H61" s="880"/>
      <c r="I61" s="418">
        <v>3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8" t="e">
        <f>#REF!</f>
        <v>#REF!</v>
      </c>
      <c r="O61" s="1333" t="e">
        <f>#REF!</f>
        <v>#REF!</v>
      </c>
      <c r="P61" s="1334"/>
      <c r="Q61" s="1334"/>
      <c r="R61" s="1335"/>
      <c r="S61" s="855" t="e">
        <f>#REF!</f>
        <v>#REF!</v>
      </c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6" t="s">
        <v>636</v>
      </c>
      <c r="B64" s="84" t="s">
        <v>0</v>
      </c>
      <c r="C64" s="1427" t="e">
        <f>#REF!</f>
        <v>#REF!</v>
      </c>
      <c r="D64" s="1427"/>
      <c r="E64" s="1427"/>
      <c r="F64" s="827" t="s">
        <v>1037</v>
      </c>
      <c r="G64" s="828" t="e">
        <f>#REF!</f>
        <v>#REF!</v>
      </c>
      <c r="H64" s="815"/>
      <c r="I64" s="827">
        <v>3</v>
      </c>
      <c r="J64" s="828" t="e">
        <f>#REF!</f>
        <v>#REF!</v>
      </c>
      <c r="K64" s="828" t="e">
        <f>#REF!</f>
        <v>#REF!</v>
      </c>
      <c r="L64" s="828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48" t="e">
        <f>#REF!</f>
        <v>#REF!</v>
      </c>
    </row>
    <row r="65" spans="1:79" ht="17.25" customHeight="1">
      <c r="A65" s="1127"/>
      <c r="B65" s="381" t="s">
        <v>43</v>
      </c>
      <c r="C65" s="1360" t="e">
        <f>#REF!</f>
        <v>#REF!</v>
      </c>
      <c r="D65" s="1360"/>
      <c r="E65" s="1360"/>
      <c r="F65" s="418" t="s">
        <v>1038</v>
      </c>
      <c r="G65" s="660" t="e">
        <f>#REF!</f>
        <v>#REF!</v>
      </c>
      <c r="H65" s="880"/>
      <c r="I65" s="418">
        <v>3</v>
      </c>
      <c r="J65" s="660" t="e">
        <f>#REF!</f>
        <v>#REF!</v>
      </c>
      <c r="K65" s="660" t="e">
        <f>#REF!</f>
        <v>#REF!</v>
      </c>
      <c r="L65" s="660" t="e">
        <f>#REF!</f>
        <v>#REF!</v>
      </c>
      <c r="M65" s="816" t="e">
        <f>#REF!</f>
        <v>#REF!</v>
      </c>
      <c r="N65" s="817" t="e">
        <f>#REF!</f>
        <v>#REF!</v>
      </c>
      <c r="O65" s="1436" t="e">
        <f>#REF!</f>
        <v>#REF!</v>
      </c>
      <c r="P65" s="1436"/>
      <c r="Q65" s="1436"/>
      <c r="R65" s="1436"/>
      <c r="S65" s="821" t="e">
        <f>#REF!</f>
        <v>#REF!</v>
      </c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 t="e">
        <f>SUM(K50:K65)</f>
        <v>#REF!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33" customHeight="1">
      <c r="A67" s="1568" t="s">
        <v>25</v>
      </c>
      <c r="B67" s="84" t="s">
        <v>0</v>
      </c>
      <c r="C67" s="1427" t="e">
        <f>#REF!</f>
        <v>#REF!</v>
      </c>
      <c r="D67" s="1427"/>
      <c r="E67" s="1427"/>
      <c r="F67" s="827" t="s">
        <v>1039</v>
      </c>
      <c r="G67" s="828" t="e">
        <f>#REF!</f>
        <v>#REF!</v>
      </c>
      <c r="H67" s="815"/>
      <c r="I67" s="827">
        <v>5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437" t="e">
        <f>#REF!</f>
        <v>#REF!</v>
      </c>
      <c r="P67" s="1438"/>
      <c r="Q67" s="1438"/>
      <c r="R67" s="1439"/>
      <c r="S67" s="876" t="e">
        <f>#REF!</f>
        <v>#REF!</v>
      </c>
    </row>
    <row r="68" spans="1:79" ht="33" customHeight="1">
      <c r="A68" s="1570"/>
      <c r="B68" s="381" t="s">
        <v>43</v>
      </c>
      <c r="C68" s="1360" t="e">
        <f>#REF!</f>
        <v>#REF!</v>
      </c>
      <c r="D68" s="1360"/>
      <c r="E68" s="1360"/>
      <c r="F68" s="418" t="s">
        <v>1040</v>
      </c>
      <c r="G68" s="660" t="e">
        <f>#REF!</f>
        <v>#REF!</v>
      </c>
      <c r="H68" s="880"/>
      <c r="I68" s="418">
        <v>5</v>
      </c>
      <c r="J68" s="660" t="e">
        <f>#REF!</f>
        <v>#REF!</v>
      </c>
      <c r="K68" s="660" t="e">
        <f>#REF!</f>
        <v>#REF!</v>
      </c>
      <c r="L68" s="660" t="e">
        <f>#REF!</f>
        <v>#REF!</v>
      </c>
      <c r="M68" s="659" t="e">
        <f>#REF!</f>
        <v>#REF!</v>
      </c>
      <c r="N68" s="415" t="e">
        <f>#REF!</f>
        <v>#REF!</v>
      </c>
      <c r="O68" s="1437" t="e">
        <f>#REF!</f>
        <v>#REF!</v>
      </c>
      <c r="P68" s="1438"/>
      <c r="Q68" s="1438"/>
      <c r="R68" s="1439"/>
      <c r="S68" s="876" t="e">
        <f>#REF!</f>
        <v>#REF!</v>
      </c>
    </row>
    <row r="69" spans="1:79" ht="17.25" customHeight="1">
      <c r="A69" s="1126" t="s">
        <v>62</v>
      </c>
      <c r="B69" s="84" t="s">
        <v>0</v>
      </c>
      <c r="C69" s="1427" t="e">
        <f>#REF!</f>
        <v>#REF!</v>
      </c>
      <c r="D69" s="1427"/>
      <c r="E69" s="1427"/>
      <c r="F69" s="827" t="s">
        <v>1041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415" t="e">
        <f>#REF!</f>
        <v>#REF!</v>
      </c>
      <c r="O69" s="1549" t="e">
        <f>#REF!</f>
        <v>#REF!</v>
      </c>
      <c r="P69" s="1550"/>
      <c r="Q69" s="1550"/>
      <c r="R69" s="1551"/>
      <c r="S69" s="893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127"/>
      <c r="B70" s="381" t="s">
        <v>43</v>
      </c>
      <c r="C70" s="1360" t="e">
        <f>#REF!</f>
        <v>#REF!</v>
      </c>
      <c r="D70" s="1360"/>
      <c r="E70" s="1360"/>
      <c r="F70" s="418" t="s">
        <v>1016</v>
      </c>
      <c r="G70" s="660" t="e">
        <f>#REF!</f>
        <v>#REF!</v>
      </c>
      <c r="H70" s="880"/>
      <c r="I70" s="418">
        <v>3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893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6" t="s">
        <v>640</v>
      </c>
      <c r="B71" s="84" t="s">
        <v>0</v>
      </c>
      <c r="C71" s="1427" t="s">
        <v>633</v>
      </c>
      <c r="D71" s="1427"/>
      <c r="E71" s="1427"/>
      <c r="F71" s="827"/>
      <c r="G71" s="828"/>
      <c r="H71" s="815"/>
      <c r="I71" s="827"/>
      <c r="J71" s="828"/>
      <c r="K71" s="828"/>
      <c r="L71" s="828"/>
      <c r="M71" s="659"/>
      <c r="N71" s="658"/>
      <c r="O71" s="1437"/>
      <c r="P71" s="1438"/>
      <c r="Q71" s="1438"/>
      <c r="R71" s="1439"/>
      <c r="S71" s="823"/>
    </row>
    <row r="72" spans="1:79" ht="17.25" customHeight="1">
      <c r="A72" s="1127"/>
      <c r="B72" s="881" t="s">
        <v>43</v>
      </c>
      <c r="C72" s="1360" t="s">
        <v>633</v>
      </c>
      <c r="D72" s="1360"/>
      <c r="E72" s="1360"/>
      <c r="F72" s="418"/>
      <c r="G72" s="660"/>
      <c r="H72" s="880"/>
      <c r="I72" s="418"/>
      <c r="J72" s="660"/>
      <c r="K72" s="660"/>
      <c r="L72" s="660"/>
      <c r="M72" s="659"/>
      <c r="N72" s="658"/>
      <c r="O72" s="1437"/>
      <c r="P72" s="1438"/>
      <c r="Q72" s="1438"/>
      <c r="R72" s="1439"/>
      <c r="S72" s="823"/>
    </row>
    <row r="73" spans="1:79" ht="17.25" customHeight="1">
      <c r="A73" s="1440" t="s">
        <v>26</v>
      </c>
      <c r="B73" s="84" t="s">
        <v>0</v>
      </c>
      <c r="C73" s="1427" t="e">
        <f>#REF!</f>
        <v>#REF!</v>
      </c>
      <c r="D73" s="1427"/>
      <c r="E73" s="1427"/>
      <c r="F73" s="827" t="s">
        <v>1042</v>
      </c>
      <c r="G73" s="828" t="e">
        <f>#REF!</f>
        <v>#REF!</v>
      </c>
      <c r="H73" s="815"/>
      <c r="I73" s="827">
        <v>4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35.25" customHeight="1">
      <c r="A74" s="1547"/>
      <c r="B74" s="881" t="s">
        <v>43</v>
      </c>
      <c r="C74" s="1360" t="e">
        <f>#REF!</f>
        <v>#REF!</v>
      </c>
      <c r="D74" s="1360"/>
      <c r="E74" s="1360"/>
      <c r="F74" s="418" t="s">
        <v>1042</v>
      </c>
      <c r="G74" s="660" t="e">
        <f>#REF!</f>
        <v>#REF!</v>
      </c>
      <c r="H74" s="880"/>
      <c r="I74" s="418">
        <v>4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e">
        <f>#REF!</f>
        <v>#REF!</v>
      </c>
      <c r="D75" s="1427"/>
      <c r="E75" s="1427"/>
      <c r="F75" s="827" t="s">
        <v>734</v>
      </c>
      <c r="G75" s="828" t="e">
        <f>#REF!</f>
        <v>#REF!</v>
      </c>
      <c r="H75" s="815"/>
      <c r="I75" s="827">
        <v>5</v>
      </c>
      <c r="J75" s="828" t="e">
        <f>#REF!</f>
        <v>#REF!</v>
      </c>
      <c r="K75" s="828" t="e">
        <f>#REF!</f>
        <v>#REF!</v>
      </c>
      <c r="L75" s="828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89" t="s">
        <v>642</v>
      </c>
      <c r="B79" s="84" t="s">
        <v>0</v>
      </c>
      <c r="C79" s="1427" t="e">
        <f>#REF!</f>
        <v>#REF!</v>
      </c>
      <c r="D79" s="1427"/>
      <c r="E79" s="1427"/>
      <c r="F79" s="827" t="s">
        <v>901</v>
      </c>
      <c r="G79" s="828" t="e">
        <f>#REF!</f>
        <v>#REF!</v>
      </c>
      <c r="H79" s="815"/>
      <c r="I79" s="827">
        <v>0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816" t="e">
        <f>#REF!</f>
        <v>#REF!</v>
      </c>
      <c r="N79" s="415" t="e">
        <f>#REF!</f>
        <v>#REF!</v>
      </c>
      <c r="O79" s="1554" t="e">
        <f>#REF!</f>
        <v>#REF!</v>
      </c>
      <c r="P79" s="1555"/>
      <c r="Q79" s="1555"/>
      <c r="R79" s="1556"/>
      <c r="S79" s="1552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89"/>
      <c r="B80" s="84" t="s">
        <v>0</v>
      </c>
      <c r="C80" s="1427" t="e">
        <f>#REF!</f>
        <v>#REF!</v>
      </c>
      <c r="D80" s="1427"/>
      <c r="E80" s="1427"/>
      <c r="F80" s="827" t="s">
        <v>1043</v>
      </c>
      <c r="G80" s="828" t="e">
        <f>#REF!</f>
        <v>#REF!</v>
      </c>
      <c r="H80" s="815"/>
      <c r="I80" s="827">
        <v>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816" t="e">
        <f>#REF!</f>
        <v>#REF!</v>
      </c>
      <c r="N80" s="415" t="e">
        <f>#REF!</f>
        <v>#REF!</v>
      </c>
      <c r="O80" s="1549"/>
      <c r="P80" s="1550"/>
      <c r="Q80" s="1550"/>
      <c r="R80" s="1551"/>
      <c r="S80" s="155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7"/>
      <c r="B81" s="881" t="s">
        <v>43</v>
      </c>
      <c r="C81" s="1360" t="e">
        <f>#REF!</f>
        <v>#REF!</v>
      </c>
      <c r="D81" s="1360"/>
      <c r="E81" s="1360"/>
      <c r="F81" s="418" t="s">
        <v>1044</v>
      </c>
      <c r="G81" s="660" t="e">
        <f>#REF!</f>
        <v>#REF!</v>
      </c>
      <c r="H81" s="880"/>
      <c r="I81" s="418">
        <v>0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816" t="e">
        <f>#REF!</f>
        <v>#REF!</v>
      </c>
      <c r="N81" s="415" t="e">
        <f>#REF!</f>
        <v>#REF!</v>
      </c>
      <c r="O81" s="1437"/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6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735</v>
      </c>
      <c r="G82" s="828" t="e">
        <f>#REF!</f>
        <v>#REF!</v>
      </c>
      <c r="H82" s="815"/>
      <c r="I82" s="827">
        <v>9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437"/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7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10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 t="s">
        <v>651</v>
      </c>
      <c r="B84" s="84" t="s">
        <v>0</v>
      </c>
      <c r="C84" s="1427" t="e">
        <f>#REF!</f>
        <v>#REF!</v>
      </c>
      <c r="D84" s="1427"/>
      <c r="E84" s="1427"/>
      <c r="F84" s="827" t="s">
        <v>828</v>
      </c>
      <c r="G84" s="828" t="e">
        <f>#REF!</f>
        <v>#REF!</v>
      </c>
      <c r="H84" s="815"/>
      <c r="I84" s="827">
        <v>10</v>
      </c>
      <c r="J84" s="828" t="e">
        <f>#REF!</f>
        <v>#REF!</v>
      </c>
      <c r="K84" s="828" t="e">
        <f>#REF!</f>
        <v>#REF!</v>
      </c>
      <c r="L84" s="828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260"/>
      <c r="B85" s="881" t="s">
        <v>43</v>
      </c>
      <c r="C85" s="1360" t="e">
        <f>#REF!</f>
        <v>#REF!</v>
      </c>
      <c r="D85" s="1360"/>
      <c r="E85" s="1360"/>
      <c r="F85" s="418" t="s">
        <v>828</v>
      </c>
      <c r="G85" s="660" t="e">
        <f>#REF!</f>
        <v>#REF!</v>
      </c>
      <c r="H85" s="880"/>
      <c r="I85" s="418">
        <v>6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659" t="e">
        <f>#REF!</f>
        <v>#REF!</v>
      </c>
      <c r="N85" s="415" t="e">
        <f>#REF!</f>
        <v>#REF!</v>
      </c>
      <c r="O85" s="1437" t="e">
        <f>#REF!</f>
        <v>#REF!</v>
      </c>
      <c r="P85" s="1438"/>
      <c r="Q85" s="1438"/>
      <c r="R85" s="1439"/>
      <c r="S85" s="823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SUM(K67:K85)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印401!I35</f>
        <v>0</v>
      </c>
      <c r="D88" s="1290"/>
      <c r="E88" s="1290"/>
      <c r="F88" s="1290"/>
      <c r="G88" s="1290"/>
      <c r="H88" s="849"/>
      <c r="I88" s="849">
        <f>印401!R35</f>
        <v>0</v>
      </c>
      <c r="J88" s="852">
        <f>印401!S35</f>
        <v>0</v>
      </c>
      <c r="K88" s="872">
        <f>印401!L35</f>
        <v>0</v>
      </c>
      <c r="L88" s="873">
        <f>印401!N35</f>
        <v>0</v>
      </c>
      <c r="M88" s="852">
        <f>印401!P35</f>
        <v>0</v>
      </c>
      <c r="N88" s="853">
        <f>印401!Q35</f>
        <v>0</v>
      </c>
      <c r="O88" s="1451"/>
      <c r="P88" s="1452"/>
      <c r="Q88" s="1452"/>
      <c r="R88" s="1453"/>
      <c r="S88" s="874">
        <f>印401!AB35</f>
        <v>0</v>
      </c>
    </row>
    <row r="89" spans="1:79" ht="18" customHeight="1">
      <c r="A89" s="1216"/>
      <c r="B89" s="84" t="s">
        <v>0</v>
      </c>
      <c r="C89" s="1290">
        <f>印401!I36</f>
        <v>0</v>
      </c>
      <c r="D89" s="1290"/>
      <c r="E89" s="1290"/>
      <c r="F89" s="1290"/>
      <c r="G89" s="1290"/>
      <c r="H89" s="849"/>
      <c r="I89" s="849">
        <f>印401!R36</f>
        <v>0</v>
      </c>
      <c r="J89" s="852">
        <f>印401!S36</f>
        <v>0</v>
      </c>
      <c r="K89" s="872">
        <f>印401!L36</f>
        <v>0</v>
      </c>
      <c r="L89" s="873">
        <f>印401!N36</f>
        <v>0</v>
      </c>
      <c r="M89" s="852">
        <f>印401!P36</f>
        <v>0</v>
      </c>
      <c r="N89" s="853">
        <f>印401!Q36</f>
        <v>0</v>
      </c>
      <c r="O89" s="1451"/>
      <c r="P89" s="1452"/>
      <c r="Q89" s="1452"/>
      <c r="R89" s="1453"/>
      <c r="S89" s="874">
        <f>印401!AB36</f>
        <v>0</v>
      </c>
    </row>
    <row r="90" spans="1:79" ht="18" customHeight="1">
      <c r="A90" s="1216"/>
      <c r="B90" s="84" t="s">
        <v>0</v>
      </c>
      <c r="C90" s="1290">
        <f>印401!I37</f>
        <v>0</v>
      </c>
      <c r="D90" s="1290"/>
      <c r="E90" s="1290"/>
      <c r="F90" s="1290"/>
      <c r="G90" s="1290"/>
      <c r="H90" s="849"/>
      <c r="I90" s="849">
        <f>印401!R37</f>
        <v>0</v>
      </c>
      <c r="J90" s="852">
        <f>印401!S37</f>
        <v>0</v>
      </c>
      <c r="K90" s="872">
        <f>印401!L37</f>
        <v>0</v>
      </c>
      <c r="L90" s="873">
        <f>印401!N37</f>
        <v>0</v>
      </c>
      <c r="M90" s="852">
        <f>印401!P37</f>
        <v>0</v>
      </c>
      <c r="N90" s="853">
        <f>印401!Q37</f>
        <v>0</v>
      </c>
      <c r="O90" s="1451"/>
      <c r="P90" s="1452"/>
      <c r="Q90" s="1452"/>
      <c r="R90" s="1453"/>
      <c r="S90" s="874">
        <f>印401!AB37</f>
        <v>0</v>
      </c>
    </row>
    <row r="91" spans="1:79" ht="18" customHeight="1">
      <c r="A91" s="1165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8" customHeight="1">
      <c r="A92" s="1461">
        <v>402</v>
      </c>
      <c r="B92" s="84" t="s">
        <v>205</v>
      </c>
      <c r="C92" s="1290" t="s">
        <v>1045</v>
      </c>
      <c r="D92" s="1290"/>
      <c r="E92" s="1290"/>
      <c r="F92" s="1290"/>
      <c r="G92" s="1290"/>
      <c r="H92" s="849"/>
      <c r="I92" s="849"/>
      <c r="J92" s="852"/>
      <c r="K92" s="872"/>
      <c r="L92" s="873"/>
      <c r="M92" s="852"/>
      <c r="N92" s="853"/>
      <c r="O92" s="1451"/>
      <c r="P92" s="1452"/>
      <c r="Q92" s="1452"/>
      <c r="R92" s="1453"/>
      <c r="S92" s="874"/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467"/>
      <c r="B96" s="881" t="s">
        <v>43</v>
      </c>
      <c r="C96" s="1454" t="s">
        <v>633</v>
      </c>
      <c r="D96" s="1454"/>
      <c r="E96" s="1454"/>
      <c r="F96" s="1454"/>
      <c r="G96" s="1454"/>
      <c r="H96" s="664"/>
      <c r="I96" s="664"/>
      <c r="J96" s="840"/>
      <c r="K96" s="424"/>
      <c r="L96" s="840"/>
      <c r="M96" s="840"/>
      <c r="N96" s="672"/>
      <c r="O96" s="1455"/>
      <c r="P96" s="1456"/>
      <c r="Q96" s="1456"/>
      <c r="R96" s="1457"/>
      <c r="S96" s="810"/>
    </row>
    <row r="97" spans="1:19" ht="18" customHeight="1">
      <c r="A97" s="1199">
        <v>405</v>
      </c>
      <c r="B97" s="84" t="s">
        <v>0</v>
      </c>
      <c r="C97" s="1282" t="e">
        <f>#REF!</f>
        <v>#REF!</v>
      </c>
      <c r="D97" s="1283"/>
      <c r="E97" s="1283"/>
      <c r="F97" s="1283"/>
      <c r="G97" s="1468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165"/>
      <c r="B98" s="881" t="s">
        <v>43</v>
      </c>
      <c r="C98" s="1572" t="s">
        <v>633</v>
      </c>
      <c r="D98" s="1573"/>
      <c r="E98" s="1573"/>
      <c r="F98" s="1573"/>
      <c r="G98" s="1574"/>
      <c r="H98" s="664"/>
      <c r="I98" s="664"/>
      <c r="J98" s="840"/>
      <c r="K98" s="424"/>
      <c r="L98" s="840"/>
      <c r="M98" s="840"/>
      <c r="N98" s="672"/>
      <c r="O98" s="1455"/>
      <c r="P98" s="1456"/>
      <c r="Q98" s="1456"/>
      <c r="R98" s="1457"/>
      <c r="S98" s="810"/>
    </row>
    <row r="99" spans="1:19" ht="18" customHeight="1">
      <c r="A99" s="314"/>
      <c r="B99" s="841"/>
      <c r="C99" s="1458"/>
      <c r="D99" s="1459"/>
      <c r="E99" s="1459"/>
      <c r="F99" s="1459"/>
      <c r="G99" s="1460"/>
      <c r="H99" s="849"/>
      <c r="I99" s="849"/>
      <c r="J99" s="834" t="s">
        <v>666</v>
      </c>
      <c r="K99" s="835" t="e">
        <f>SUM(K88:K98)</f>
        <v>#REF!</v>
      </c>
      <c r="L99" s="852"/>
      <c r="M99" s="852"/>
      <c r="N99" s="853"/>
      <c r="O99" s="886"/>
      <c r="P99" s="887"/>
      <c r="Q99" s="887"/>
      <c r="R99" s="888"/>
      <c r="S99" s="854"/>
    </row>
    <row r="100" spans="1:19" s="76" customFormat="1" ht="31.7" hidden="1" customHeight="1">
      <c r="A100" s="400" t="s">
        <v>425</v>
      </c>
      <c r="B100" s="400" t="s">
        <v>193</v>
      </c>
      <c r="C100" s="1282" t="e">
        <f>[1]印403!J91</f>
        <v>#REF!</v>
      </c>
      <c r="D100" s="1283"/>
      <c r="E100" s="1283"/>
      <c r="F100" s="1283"/>
      <c r="G100" s="1468"/>
      <c r="H100" s="242" t="s">
        <v>216</v>
      </c>
      <c r="I100" s="242" t="s">
        <v>12</v>
      </c>
      <c r="J100" s="242" t="s">
        <v>13</v>
      </c>
      <c r="K100" s="405" t="s">
        <v>218</v>
      </c>
      <c r="L100" s="427" t="s">
        <v>60</v>
      </c>
      <c r="M100" s="399" t="e">
        <f>[1]印403!O90</f>
        <v>#REF!</v>
      </c>
      <c r="N100" s="257" t="s">
        <v>45</v>
      </c>
      <c r="O100" s="1448" t="s">
        <v>29</v>
      </c>
      <c r="P100" s="1449"/>
      <c r="Q100" s="1449"/>
      <c r="R100" s="1450"/>
      <c r="S100" s="417" t="s">
        <v>57</v>
      </c>
    </row>
    <row r="101" spans="1:19" ht="15" hidden="1" customHeight="1">
      <c r="A101" s="1199" t="s">
        <v>426</v>
      </c>
      <c r="B101" s="84" t="s">
        <v>205</v>
      </c>
      <c r="C101" s="1282" t="e">
        <f>[1]印403!J92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[1]印403!O91</f>
        <v>#REF!</v>
      </c>
      <c r="N101" s="399"/>
      <c r="O101" s="1469"/>
      <c r="P101" s="1245"/>
      <c r="Q101" s="1245"/>
      <c r="R101" s="1246"/>
      <c r="S101" s="1470"/>
    </row>
    <row r="102" spans="1:19" ht="13.7" hidden="1" customHeight="1">
      <c r="A102" s="1216"/>
      <c r="B102" s="84" t="s">
        <v>205</v>
      </c>
      <c r="C102" s="1282" t="e">
        <f>[1]印403!J93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[1]印403!O92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[1]印403!J94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[1]印403!O93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[1]印403!J95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[1]印403!O94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[1]印403!J96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[1]印403!O95</f>
        <v>#REF!</v>
      </c>
      <c r="N105" s="425"/>
      <c r="O105" s="669"/>
      <c r="P105" s="670"/>
      <c r="Q105" s="670"/>
      <c r="R105" s="671"/>
      <c r="S105" s="1471"/>
    </row>
    <row r="106" spans="1:19" ht="16.5" hidden="1" customHeight="1">
      <c r="A106" s="1216"/>
      <c r="B106" s="881" t="s">
        <v>43</v>
      </c>
      <c r="C106" s="1282" t="e">
        <f>[1]印403!J97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[1]印403!O96</f>
        <v>#REF!</v>
      </c>
      <c r="N106" s="672"/>
      <c r="O106" s="1476"/>
      <c r="P106" s="1477"/>
      <c r="Q106" s="1477"/>
      <c r="R106" s="1478"/>
      <c r="S106" s="1485"/>
    </row>
    <row r="107" spans="1:19" ht="15" hidden="1" customHeight="1">
      <c r="A107" s="1216"/>
      <c r="B107" s="881" t="s">
        <v>43</v>
      </c>
      <c r="C107" s="1282" t="e">
        <f>[1]印403!J98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[1]印403!O97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216"/>
      <c r="B108" s="881" t="s">
        <v>43</v>
      </c>
      <c r="C108" s="1282" t="e">
        <f>[1]印403!J99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[1]印403!O98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165"/>
      <c r="B109" s="881" t="s">
        <v>43</v>
      </c>
      <c r="C109" s="1282" t="e">
        <f>[1]印403!J100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[1]印403!O99</f>
        <v>#REF!</v>
      </c>
      <c r="N109" s="672"/>
      <c r="O109" s="1482"/>
      <c r="P109" s="1483"/>
      <c r="Q109" s="1483"/>
      <c r="R109" s="1484"/>
      <c r="S109" s="1486"/>
    </row>
    <row r="110" spans="1:19" ht="6" customHeight="1">
      <c r="A110" s="248"/>
      <c r="C110" s="249"/>
    </row>
    <row r="111" spans="1:19" ht="6" customHeight="1" thickBot="1">
      <c r="A111" s="248"/>
      <c r="C111" s="249"/>
    </row>
    <row r="112" spans="1:19" ht="15" customHeight="1" thickTop="1">
      <c r="A112" s="1472" t="s">
        <v>30</v>
      </c>
      <c r="B112" s="1473"/>
      <c r="C112" s="1473"/>
      <c r="D112" s="1473"/>
      <c r="E112" s="376">
        <v>712400</v>
      </c>
      <c r="F112" s="75" t="s">
        <v>64</v>
      </c>
      <c r="G112" s="1472" t="s">
        <v>31</v>
      </c>
      <c r="H112" s="1473"/>
      <c r="I112" s="1473"/>
      <c r="J112" s="1473"/>
      <c r="K112" s="1473"/>
      <c r="L112" s="377">
        <v>570000</v>
      </c>
      <c r="M112" s="75" t="s">
        <v>64</v>
      </c>
      <c r="N112" s="1472" t="s">
        <v>32</v>
      </c>
      <c r="O112" s="1473"/>
      <c r="P112" s="1473"/>
      <c r="Q112" s="377">
        <v>1369000</v>
      </c>
      <c r="R112" s="75" t="s">
        <v>64</v>
      </c>
      <c r="S112" s="75"/>
    </row>
    <row r="113" spans="1:20" ht="15" customHeight="1" thickBot="1">
      <c r="A113" s="1474" t="s">
        <v>66</v>
      </c>
      <c r="B113" s="1475"/>
      <c r="C113" s="1475"/>
      <c r="D113" s="1475"/>
      <c r="E113" s="674">
        <f>(10+50+70)*1000</f>
        <v>130000</v>
      </c>
      <c r="G113" s="1474" t="s">
        <v>66</v>
      </c>
      <c r="H113" s="1475"/>
      <c r="I113" s="1475"/>
      <c r="J113" s="1475"/>
      <c r="K113" s="1475"/>
      <c r="L113" s="674">
        <v>0</v>
      </c>
      <c r="N113" s="1474" t="s">
        <v>33</v>
      </c>
      <c r="O113" s="1475"/>
      <c r="P113" s="1475"/>
      <c r="Q113" s="674">
        <f>(60*500)+(86*1000)</f>
        <v>116000</v>
      </c>
      <c r="R113" s="75"/>
      <c r="S113" s="75"/>
    </row>
    <row r="114" spans="1:20" ht="15" customHeight="1" thickTop="1" thickBot="1">
      <c r="A114" s="1487" t="s">
        <v>34</v>
      </c>
      <c r="B114" s="1488"/>
      <c r="C114" s="1488"/>
      <c r="D114" s="1488"/>
      <c r="E114" s="378">
        <f>E112+E113</f>
        <v>842400</v>
      </c>
      <c r="F114" s="75" t="s">
        <v>64</v>
      </c>
      <c r="G114" s="1487" t="s">
        <v>35</v>
      </c>
      <c r="H114" s="1488"/>
      <c r="I114" s="1488"/>
      <c r="J114" s="1488"/>
      <c r="K114" s="1488"/>
      <c r="L114" s="379">
        <f>L112+L113</f>
        <v>570000</v>
      </c>
      <c r="M114" s="75" t="s">
        <v>64</v>
      </c>
      <c r="N114" s="1487" t="s">
        <v>36</v>
      </c>
      <c r="O114" s="1488"/>
      <c r="P114" s="1488"/>
      <c r="Q114" s="379">
        <f>Q112+Q113</f>
        <v>1485000</v>
      </c>
      <c r="R114" s="75" t="s">
        <v>64</v>
      </c>
      <c r="S114" s="75"/>
    </row>
    <row r="115" spans="1:20" ht="15" customHeight="1" thickTop="1" thickBot="1">
      <c r="E115" s="252">
        <f>印401!M64</f>
        <v>0</v>
      </c>
      <c r="L115" s="675" t="e">
        <f>#REF!</f>
        <v>#REF!</v>
      </c>
      <c r="O115" s="75"/>
      <c r="P115" s="75"/>
      <c r="Q115" s="675" t="e">
        <f>#REF!</f>
        <v>#REF!</v>
      </c>
      <c r="R115" s="75"/>
      <c r="S115" s="75"/>
    </row>
    <row r="116" spans="1:20" ht="15" customHeight="1" thickBot="1">
      <c r="A116" s="676" t="s">
        <v>37</v>
      </c>
      <c r="B116" s="677"/>
      <c r="C116" s="677"/>
      <c r="D116" s="678"/>
      <c r="E116" s="253">
        <f>印401!P64</f>
        <v>0</v>
      </c>
      <c r="F116" s="75" t="s">
        <v>64</v>
      </c>
      <c r="G116" s="676" t="s">
        <v>38</v>
      </c>
      <c r="H116" s="677"/>
      <c r="I116" s="677"/>
      <c r="J116" s="677"/>
      <c r="K116" s="677"/>
      <c r="L116" s="384" t="e">
        <f>#REF!</f>
        <v>#REF!</v>
      </c>
      <c r="M116" s="75" t="s">
        <v>64</v>
      </c>
      <c r="N116" s="676" t="s">
        <v>39</v>
      </c>
      <c r="O116" s="677"/>
      <c r="P116" s="677"/>
      <c r="Q116" s="384" t="e">
        <f>#REF!</f>
        <v>#REF!</v>
      </c>
      <c r="R116" s="75" t="s">
        <v>64</v>
      </c>
      <c r="S116" s="75"/>
    </row>
    <row r="117" spans="1:20" ht="3" customHeight="1" thickBot="1">
      <c r="J117" s="255"/>
      <c r="K117" s="256"/>
    </row>
    <row r="118" spans="1:20" ht="15" customHeight="1" thickTop="1">
      <c r="B118" s="1509" t="s">
        <v>69</v>
      </c>
      <c r="C118" s="1510"/>
      <c r="D118" s="1511" t="s">
        <v>305</v>
      </c>
      <c r="E118" s="1512"/>
      <c r="F118" s="1489" t="s">
        <v>306</v>
      </c>
      <c r="G118" s="1490"/>
      <c r="H118" s="1491" t="s">
        <v>307</v>
      </c>
      <c r="I118" s="1492"/>
      <c r="J118" s="1492"/>
      <c r="K118" s="1493"/>
      <c r="L118" s="1472" t="s">
        <v>657</v>
      </c>
      <c r="M118" s="1473"/>
      <c r="N118" s="1473"/>
      <c r="O118" s="377">
        <v>2609000</v>
      </c>
      <c r="P118" s="75" t="s">
        <v>64</v>
      </c>
      <c r="Q118" s="1496" t="s">
        <v>65</v>
      </c>
      <c r="R118" s="1497"/>
      <c r="S118" s="385">
        <v>26725039</v>
      </c>
    </row>
    <row r="119" spans="1:20" ht="15" customHeight="1" thickBot="1">
      <c r="B119" s="1498" t="s">
        <v>308</v>
      </c>
      <c r="C119" s="1499"/>
      <c r="D119" s="1500" t="e">
        <f>總表!D20</f>
        <v>#REF!</v>
      </c>
      <c r="E119" s="1501"/>
      <c r="F119" s="1502">
        <f>總表!E20</f>
        <v>1316871</v>
      </c>
      <c r="G119" s="1503"/>
      <c r="H119" s="1504" t="e">
        <f>(D119-F119)/D119</f>
        <v>#REF!</v>
      </c>
      <c r="I119" s="1505"/>
      <c r="J119" s="1505"/>
      <c r="K119" s="1506"/>
      <c r="L119" s="1474" t="s">
        <v>33</v>
      </c>
      <c r="M119" s="1475"/>
      <c r="N119" s="1475"/>
      <c r="O119" s="674">
        <f>260*1000</f>
        <v>260000</v>
      </c>
      <c r="P119" s="75"/>
      <c r="Q119" s="1507" t="s">
        <v>67</v>
      </c>
      <c r="R119" s="1508"/>
      <c r="S119" s="386" t="e">
        <f>SUM(L50:L85,L88:L98)</f>
        <v>#REF!</v>
      </c>
    </row>
    <row r="120" spans="1:20" ht="15" customHeight="1" thickTop="1" thickBot="1">
      <c r="B120" s="1513" t="s">
        <v>309</v>
      </c>
      <c r="C120" s="1514"/>
      <c r="D120" s="1515" t="e">
        <f>總表!C43</f>
        <v>#REF!</v>
      </c>
      <c r="E120" s="1516"/>
      <c r="F120" s="1502" t="e">
        <f>總表!F43</f>
        <v>#REF!</v>
      </c>
      <c r="G120" s="1503"/>
      <c r="H120" s="1504" t="e">
        <f>(D120-F120)/D120</f>
        <v>#REF!</v>
      </c>
      <c r="I120" s="1505"/>
      <c r="J120" s="1505"/>
      <c r="K120" s="1506"/>
      <c r="L120" s="1487" t="s">
        <v>658</v>
      </c>
      <c r="M120" s="1488"/>
      <c r="N120" s="1488"/>
      <c r="O120" s="379">
        <f>O118+O119</f>
        <v>2869000</v>
      </c>
      <c r="P120" s="75" t="s">
        <v>64</v>
      </c>
      <c r="Q120" s="1494" t="s">
        <v>68</v>
      </c>
      <c r="R120" s="1495"/>
      <c r="S120" s="387" t="e">
        <f>S118+S119</f>
        <v>#REF!</v>
      </c>
    </row>
    <row r="121" spans="1:20" ht="14.1" customHeight="1" thickTop="1" thickBot="1">
      <c r="B121" s="250" t="s">
        <v>310</v>
      </c>
      <c r="C121" s="250"/>
      <c r="D121" s="250"/>
      <c r="E121" s="233"/>
      <c r="O121" s="675" t="e">
        <f>#REF!</f>
        <v>#REF!</v>
      </c>
      <c r="P121" s="75"/>
      <c r="Q121" s="75"/>
      <c r="R121" s="254" t="e">
        <f>總表!E43+總表!E52</f>
        <v>#REF!</v>
      </c>
      <c r="S121" s="254" t="e">
        <f>R121-S120</f>
        <v>#REF!</v>
      </c>
    </row>
    <row r="122" spans="1:20" ht="17.25" customHeight="1" thickBot="1">
      <c r="B122" s="250" t="s">
        <v>40</v>
      </c>
      <c r="C122" s="233"/>
      <c r="D122" s="233"/>
      <c r="E122" s="233"/>
      <c r="F122" s="233"/>
      <c r="L122" s="676" t="s">
        <v>659</v>
      </c>
      <c r="M122" s="677"/>
      <c r="N122" s="677"/>
      <c r="O122" s="384" t="e">
        <f>#REF!</f>
        <v>#REF!</v>
      </c>
      <c r="P122" s="75" t="s">
        <v>64</v>
      </c>
      <c r="T122" s="233"/>
    </row>
    <row r="123" spans="1:20" ht="15.75" customHeight="1">
      <c r="B123" s="75" t="s">
        <v>41</v>
      </c>
      <c r="N123" s="233"/>
      <c r="S123" s="75"/>
    </row>
  </sheetData>
  <mergeCells count="295">
    <mergeCell ref="A67:A68"/>
    <mergeCell ref="C69:E69"/>
    <mergeCell ref="O69:R69"/>
    <mergeCell ref="C70:E70"/>
    <mergeCell ref="O70:R70"/>
    <mergeCell ref="A69:A70"/>
    <mergeCell ref="O86:R86"/>
    <mergeCell ref="C85:E85"/>
    <mergeCell ref="O85:R85"/>
    <mergeCell ref="C78:E78"/>
    <mergeCell ref="C75:E75"/>
    <mergeCell ref="O75:R75"/>
    <mergeCell ref="A75:A76"/>
    <mergeCell ref="C79:E79"/>
    <mergeCell ref="O79:R79"/>
    <mergeCell ref="A79:A81"/>
    <mergeCell ref="A77:A78"/>
    <mergeCell ref="C77:E77"/>
    <mergeCell ref="O77:R77"/>
    <mergeCell ref="C81:E81"/>
    <mergeCell ref="O81:R81"/>
    <mergeCell ref="O78:R78"/>
    <mergeCell ref="A9:A10"/>
    <mergeCell ref="G11:I11"/>
    <mergeCell ref="K11:M11"/>
    <mergeCell ref="O11:R11"/>
    <mergeCell ref="G12:I12"/>
    <mergeCell ref="K12:M12"/>
    <mergeCell ref="O12:R12"/>
    <mergeCell ref="A11:A12"/>
    <mergeCell ref="G9:I9"/>
    <mergeCell ref="K9:M9"/>
    <mergeCell ref="O9:R9"/>
    <mergeCell ref="G10:I10"/>
    <mergeCell ref="K10:M10"/>
    <mergeCell ref="O10:R10"/>
    <mergeCell ref="B120:C120"/>
    <mergeCell ref="D120:E120"/>
    <mergeCell ref="F120:G120"/>
    <mergeCell ref="H120:K120"/>
    <mergeCell ref="L120:N120"/>
    <mergeCell ref="Q120:R120"/>
    <mergeCell ref="Q118:R118"/>
    <mergeCell ref="B119:C119"/>
    <mergeCell ref="D119:E119"/>
    <mergeCell ref="F119:G119"/>
    <mergeCell ref="H119:K119"/>
    <mergeCell ref="L119:N119"/>
    <mergeCell ref="Q119:R119"/>
    <mergeCell ref="A114:D114"/>
    <mergeCell ref="G114:K114"/>
    <mergeCell ref="N114:P114"/>
    <mergeCell ref="B118:C118"/>
    <mergeCell ref="D118:E118"/>
    <mergeCell ref="F118:G118"/>
    <mergeCell ref="H118:K118"/>
    <mergeCell ref="L118:N118"/>
    <mergeCell ref="A112:D112"/>
    <mergeCell ref="G112:K112"/>
    <mergeCell ref="N112:P112"/>
    <mergeCell ref="A113:D113"/>
    <mergeCell ref="G113:K113"/>
    <mergeCell ref="N113:P113"/>
    <mergeCell ref="S101:S105"/>
    <mergeCell ref="C102:G102"/>
    <mergeCell ref="C103:G103"/>
    <mergeCell ref="C104:G104"/>
    <mergeCell ref="C105:G105"/>
    <mergeCell ref="C106:G106"/>
    <mergeCell ref="O106:R109"/>
    <mergeCell ref="S106:S109"/>
    <mergeCell ref="C107:G107"/>
    <mergeCell ref="C108:G108"/>
    <mergeCell ref="A101:A109"/>
    <mergeCell ref="C101:G101"/>
    <mergeCell ref="O101:R101"/>
    <mergeCell ref="C109:G109"/>
    <mergeCell ref="A92:A93"/>
    <mergeCell ref="C92:G92"/>
    <mergeCell ref="O92:R92"/>
    <mergeCell ref="C93:G93"/>
    <mergeCell ref="O93:R93"/>
    <mergeCell ref="C99:G99"/>
    <mergeCell ref="A97:A98"/>
    <mergeCell ref="C97:G97"/>
    <mergeCell ref="O97:R97"/>
    <mergeCell ref="C95:G95"/>
    <mergeCell ref="O95:R95"/>
    <mergeCell ref="C96:G96"/>
    <mergeCell ref="O96:R96"/>
    <mergeCell ref="C98:G98"/>
    <mergeCell ref="O98:R98"/>
    <mergeCell ref="C94:G94"/>
    <mergeCell ref="O94:R94"/>
    <mergeCell ref="A94:A96"/>
    <mergeCell ref="C89:G89"/>
    <mergeCell ref="O89:R89"/>
    <mergeCell ref="A82:A83"/>
    <mergeCell ref="C82:E82"/>
    <mergeCell ref="O82:R82"/>
    <mergeCell ref="A84:A85"/>
    <mergeCell ref="C84:E84"/>
    <mergeCell ref="O84:R84"/>
    <mergeCell ref="C100:G100"/>
    <mergeCell ref="O100:R100"/>
    <mergeCell ref="A88:A91"/>
    <mergeCell ref="C87:G87"/>
    <mergeCell ref="O87:R87"/>
    <mergeCell ref="C88:G88"/>
    <mergeCell ref="O88:R88"/>
    <mergeCell ref="C90:G90"/>
    <mergeCell ref="O90:R90"/>
    <mergeCell ref="C91:G91"/>
    <mergeCell ref="O91:R91"/>
    <mergeCell ref="C83:E83"/>
    <mergeCell ref="O83:R83"/>
    <mergeCell ref="O66:R66"/>
    <mergeCell ref="A64:A65"/>
    <mergeCell ref="C64:E64"/>
    <mergeCell ref="S79:S80"/>
    <mergeCell ref="A71:A72"/>
    <mergeCell ref="C71:E71"/>
    <mergeCell ref="O71:R71"/>
    <mergeCell ref="C72:E72"/>
    <mergeCell ref="O72:R72"/>
    <mergeCell ref="O76:R76"/>
    <mergeCell ref="C73:E73"/>
    <mergeCell ref="O64:R64"/>
    <mergeCell ref="C65:E65"/>
    <mergeCell ref="C67:E67"/>
    <mergeCell ref="O67:R67"/>
    <mergeCell ref="A73:A74"/>
    <mergeCell ref="C80:E80"/>
    <mergeCell ref="O80:R80"/>
    <mergeCell ref="O73:R73"/>
    <mergeCell ref="C74:E74"/>
    <mergeCell ref="O74:R74"/>
    <mergeCell ref="C76:E76"/>
    <mergeCell ref="C68:E68"/>
    <mergeCell ref="O68:R68"/>
    <mergeCell ref="O59:R59"/>
    <mergeCell ref="A60:A61"/>
    <mergeCell ref="C60:E60"/>
    <mergeCell ref="O60:R60"/>
    <mergeCell ref="C61:E61"/>
    <mergeCell ref="O61:R61"/>
    <mergeCell ref="O65:R65"/>
    <mergeCell ref="A56:A57"/>
    <mergeCell ref="C56:E56"/>
    <mergeCell ref="O56:R56"/>
    <mergeCell ref="C57:E57"/>
    <mergeCell ref="O57:R57"/>
    <mergeCell ref="A58:A59"/>
    <mergeCell ref="C58:E58"/>
    <mergeCell ref="O58:R58"/>
    <mergeCell ref="C59:E59"/>
    <mergeCell ref="A62:A63"/>
    <mergeCell ref="C62:E62"/>
    <mergeCell ref="O62:R62"/>
    <mergeCell ref="C63:E63"/>
    <mergeCell ref="O63:R63"/>
    <mergeCell ref="V50:X50"/>
    <mergeCell ref="C51:E51"/>
    <mergeCell ref="O51:R51"/>
    <mergeCell ref="V51:X51"/>
    <mergeCell ref="A54:A55"/>
    <mergeCell ref="C54:E54"/>
    <mergeCell ref="O54:R54"/>
    <mergeCell ref="C55:E55"/>
    <mergeCell ref="O55:R55"/>
    <mergeCell ref="A50:A51"/>
    <mergeCell ref="C50:E50"/>
    <mergeCell ref="O50:R50"/>
    <mergeCell ref="C53:E53"/>
    <mergeCell ref="O53:R53"/>
    <mergeCell ref="C43:E43"/>
    <mergeCell ref="S34:S37"/>
    <mergeCell ref="C35:E35"/>
    <mergeCell ref="C36:E36"/>
    <mergeCell ref="C37:E37"/>
    <mergeCell ref="A44:A49"/>
    <mergeCell ref="C44:E44"/>
    <mergeCell ref="M44:M46"/>
    <mergeCell ref="O44:R46"/>
    <mergeCell ref="S44:S46"/>
    <mergeCell ref="C45:E45"/>
    <mergeCell ref="C46:E46"/>
    <mergeCell ref="C47:E47"/>
    <mergeCell ref="M47:M49"/>
    <mergeCell ref="O47:R49"/>
    <mergeCell ref="S47:S49"/>
    <mergeCell ref="C48:E48"/>
    <mergeCell ref="C49:E49"/>
    <mergeCell ref="K23:M23"/>
    <mergeCell ref="O23:R23"/>
    <mergeCell ref="A38:A43"/>
    <mergeCell ref="C38:E38"/>
    <mergeCell ref="M38:M40"/>
    <mergeCell ref="O38:R40"/>
    <mergeCell ref="S38:S40"/>
    <mergeCell ref="C39:E39"/>
    <mergeCell ref="A31:A37"/>
    <mergeCell ref="C31:E31"/>
    <mergeCell ref="M31:M33"/>
    <mergeCell ref="O31:R33"/>
    <mergeCell ref="S31:S33"/>
    <mergeCell ref="C32:E32"/>
    <mergeCell ref="C33:E33"/>
    <mergeCell ref="C34:E34"/>
    <mergeCell ref="M34:M37"/>
    <mergeCell ref="O34:R37"/>
    <mergeCell ref="C40:E40"/>
    <mergeCell ref="C41:E41"/>
    <mergeCell ref="M41:M43"/>
    <mergeCell ref="O41:R43"/>
    <mergeCell ref="S41:S43"/>
    <mergeCell ref="C42:E42"/>
    <mergeCell ref="A24:A29"/>
    <mergeCell ref="G24:I24"/>
    <mergeCell ref="K24:M26"/>
    <mergeCell ref="O24:R26"/>
    <mergeCell ref="G25:I25"/>
    <mergeCell ref="K21:M22"/>
    <mergeCell ref="S21:S22"/>
    <mergeCell ref="C52:E52"/>
    <mergeCell ref="O52:R52"/>
    <mergeCell ref="S24:S26"/>
    <mergeCell ref="G26:I26"/>
    <mergeCell ref="G27:I27"/>
    <mergeCell ref="K27:M29"/>
    <mergeCell ref="O21:R21"/>
    <mergeCell ref="G22:I22"/>
    <mergeCell ref="O22:R22"/>
    <mergeCell ref="A52:A53"/>
    <mergeCell ref="O27:R29"/>
    <mergeCell ref="S27:S29"/>
    <mergeCell ref="G28:I28"/>
    <mergeCell ref="G29:I29"/>
    <mergeCell ref="C30:E30"/>
    <mergeCell ref="O30:R30"/>
    <mergeCell ref="G21:I21"/>
    <mergeCell ref="G15:I15"/>
    <mergeCell ref="K15:M15"/>
    <mergeCell ref="O15:R15"/>
    <mergeCell ref="G16:I16"/>
    <mergeCell ref="O16:R16"/>
    <mergeCell ref="O17:R17"/>
    <mergeCell ref="G20:I20"/>
    <mergeCell ref="A15:A17"/>
    <mergeCell ref="A13:A14"/>
    <mergeCell ref="G13:I13"/>
    <mergeCell ref="K13:M13"/>
    <mergeCell ref="O13:R13"/>
    <mergeCell ref="G14:I14"/>
    <mergeCell ref="K14:M14"/>
    <mergeCell ref="O14:R14"/>
    <mergeCell ref="G17:I17"/>
    <mergeCell ref="K20:M20"/>
    <mergeCell ref="O20:R20"/>
    <mergeCell ref="S16:S17"/>
    <mergeCell ref="G18:I18"/>
    <mergeCell ref="K18:M18"/>
    <mergeCell ref="O18:R18"/>
    <mergeCell ref="G19:I19"/>
    <mergeCell ref="K19:M19"/>
    <mergeCell ref="O19:R19"/>
    <mergeCell ref="A18:A19"/>
    <mergeCell ref="A20:A22"/>
    <mergeCell ref="K16:M17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3:M3"/>
    <mergeCell ref="N3:P3"/>
    <mergeCell ref="Q3:R3"/>
    <mergeCell ref="L1:M1"/>
    <mergeCell ref="N1:P1"/>
    <mergeCell ref="Q1:R1"/>
    <mergeCell ref="L2:M2"/>
    <mergeCell ref="N2:P2"/>
    <mergeCell ref="Q2:R2"/>
  </mergeCells>
  <phoneticPr fontId="26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A123"/>
  <sheetViews>
    <sheetView topLeftCell="L99" workbookViewId="0">
      <selection activeCell="S120" sqref="S120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998</v>
      </c>
    </row>
    <row r="3" spans="1:23" ht="87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1047</v>
      </c>
      <c r="O3" s="1319"/>
      <c r="P3" s="1320"/>
      <c r="Q3" s="1318" t="s">
        <v>1048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45246</v>
      </c>
      <c r="D5" s="419" t="s">
        <v>1046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1.85</v>
      </c>
      <c r="E9" s="815">
        <v>715</v>
      </c>
      <c r="F9" s="815">
        <f>'102'!O38</f>
        <v>750</v>
      </c>
      <c r="G9" s="1311">
        <f>'102'!K38</f>
        <v>501</v>
      </c>
      <c r="H9" s="1312"/>
      <c r="I9" s="1313"/>
      <c r="J9" s="814">
        <f>'102'!L38</f>
        <v>0</v>
      </c>
      <c r="K9" s="1524">
        <f>'102'!P38+'102'!P39</f>
        <v>0.91321568627450977</v>
      </c>
      <c r="L9" s="1525"/>
      <c r="M9" s="1526"/>
      <c r="N9" s="820">
        <f>J9/(G9+J9)</f>
        <v>0</v>
      </c>
      <c r="O9" s="1521" t="str">
        <f>'102'!U38</f>
        <v>08:30-08:32改規格1.38*805,無損耗</v>
      </c>
      <c r="P9" s="1522"/>
      <c r="Q9" s="1522"/>
      <c r="R9" s="1523"/>
      <c r="S9" s="1575" t="str">
        <f>'102'!V38</f>
        <v>阮明演</v>
      </c>
      <c r="U9" s="420" t="s">
        <v>633</v>
      </c>
      <c r="V9" s="880"/>
      <c r="W9" s="880"/>
    </row>
    <row r="10" spans="1:23" ht="17.25" customHeight="1">
      <c r="A10" s="1336"/>
      <c r="B10" s="84" t="s">
        <v>0</v>
      </c>
      <c r="C10" s="850" t="s">
        <v>42</v>
      </c>
      <c r="D10" s="851">
        <v>1.38</v>
      </c>
      <c r="E10" s="815">
        <v>805</v>
      </c>
      <c r="F10" s="815">
        <f>'102'!O39</f>
        <v>850</v>
      </c>
      <c r="G10" s="1311">
        <f>'102'!K39</f>
        <v>8747</v>
      </c>
      <c r="H10" s="1312"/>
      <c r="I10" s="1313"/>
      <c r="J10" s="814">
        <f>'102'!L39</f>
        <v>0</v>
      </c>
      <c r="K10" s="1527"/>
      <c r="L10" s="1528"/>
      <c r="M10" s="1529"/>
      <c r="N10" s="820">
        <f>J10/(G10+J10)</f>
        <v>0</v>
      </c>
      <c r="O10" s="1581" t="str">
        <f>'102'!U39</f>
        <v>19:25最後一支交接班</v>
      </c>
      <c r="P10" s="1582"/>
      <c r="Q10" s="1582"/>
      <c r="R10" s="1583"/>
      <c r="S10" s="1577"/>
      <c r="U10" s="420" t="s">
        <v>633</v>
      </c>
      <c r="V10" s="880"/>
      <c r="W10" s="880"/>
    </row>
    <row r="11" spans="1:23" ht="17.25" customHeight="1">
      <c r="A11" s="1326"/>
      <c r="B11" s="881" t="s">
        <v>43</v>
      </c>
      <c r="C11" s="422" t="s">
        <v>42</v>
      </c>
      <c r="D11" s="421">
        <v>1.38</v>
      </c>
      <c r="E11" s="880">
        <v>805</v>
      </c>
      <c r="F11" s="880">
        <f>'102'!O40</f>
        <v>850</v>
      </c>
      <c r="G11" s="1327">
        <f>'102'!K40</f>
        <v>9377</v>
      </c>
      <c r="H11" s="1328"/>
      <c r="I11" s="1329"/>
      <c r="J11" s="423">
        <f>'102'!L40</f>
        <v>0</v>
      </c>
      <c r="K11" s="1314">
        <f>'102'!P40</f>
        <v>0.91931372549019608</v>
      </c>
      <c r="L11" s="1315"/>
      <c r="M11" s="1316"/>
      <c r="N11" s="820">
        <f>J11/(G11+J11)</f>
        <v>0</v>
      </c>
      <c r="O11" s="1521" t="str">
        <f>'102'!U40</f>
        <v>07:25最後一支交接班</v>
      </c>
      <c r="P11" s="1522"/>
      <c r="Q11" s="1522"/>
      <c r="R11" s="1523"/>
      <c r="S11" s="892" t="str">
        <f>'102'!V40</f>
        <v>阮功體</v>
      </c>
      <c r="U11" s="420" t="s">
        <v>633</v>
      </c>
      <c r="V11" s="880"/>
      <c r="W11" s="880"/>
    </row>
    <row r="12" spans="1:23" ht="17.25" customHeight="1">
      <c r="A12" s="1325" t="s">
        <v>7</v>
      </c>
      <c r="B12" s="84" t="s">
        <v>205</v>
      </c>
      <c r="C12" s="850" t="s">
        <v>44</v>
      </c>
      <c r="D12" s="649" t="s">
        <v>633</v>
      </c>
      <c r="E12" s="815"/>
      <c r="F12" s="815"/>
      <c r="G12" s="1311"/>
      <c r="H12" s="1312"/>
      <c r="I12" s="1313"/>
      <c r="J12" s="814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26"/>
      <c r="B13" s="881" t="s">
        <v>207</v>
      </c>
      <c r="C13" s="422" t="s">
        <v>44</v>
      </c>
      <c r="D13" s="421" t="s">
        <v>633</v>
      </c>
      <c r="E13" s="880"/>
      <c r="F13" s="880"/>
      <c r="G13" s="1327"/>
      <c r="H13" s="1328"/>
      <c r="I13" s="1329"/>
      <c r="J13" s="423"/>
      <c r="K13" s="1314"/>
      <c r="L13" s="1315"/>
      <c r="M13" s="1316"/>
      <c r="N13" s="820"/>
      <c r="O13" s="1308"/>
      <c r="P13" s="1309"/>
      <c r="Q13" s="1309"/>
      <c r="R13" s="1310"/>
      <c r="S13" s="822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851">
        <v>1.57</v>
      </c>
      <c r="E16" s="815">
        <v>715</v>
      </c>
      <c r="F16" s="815">
        <f>'105'!O36</f>
        <v>450</v>
      </c>
      <c r="G16" s="1311">
        <f>'105'!K36</f>
        <v>4647</v>
      </c>
      <c r="H16" s="1312"/>
      <c r="I16" s="1313"/>
      <c r="J16" s="814">
        <f>'105'!L36</f>
        <v>0</v>
      </c>
      <c r="K16" s="1330">
        <f>'105'!P36</f>
        <v>0.86055555555555552</v>
      </c>
      <c r="L16" s="1331"/>
      <c r="M16" s="1332"/>
      <c r="N16" s="871">
        <f t="shared" ref="N16:N22" si="0">J16/(G16+J16)</f>
        <v>0</v>
      </c>
      <c r="O16" s="1333" t="str">
        <f>'105'!U36</f>
        <v>18:50最後一支交接班</v>
      </c>
      <c r="P16" s="1334"/>
      <c r="Q16" s="1334"/>
      <c r="R16" s="1335"/>
      <c r="S16" s="860" t="str">
        <f>'105'!V36</f>
        <v>史豐銘</v>
      </c>
    </row>
    <row r="17" spans="1:19" ht="34.5" customHeight="1">
      <c r="A17" s="1102"/>
      <c r="B17" s="881" t="s">
        <v>43</v>
      </c>
      <c r="C17" s="422" t="s">
        <v>44</v>
      </c>
      <c r="D17" s="421">
        <v>1.57</v>
      </c>
      <c r="E17" s="880">
        <v>715</v>
      </c>
      <c r="F17" s="880">
        <f>'105'!O37</f>
        <v>450</v>
      </c>
      <c r="G17" s="1327">
        <f>'105'!K37</f>
        <v>4645</v>
      </c>
      <c r="H17" s="1328"/>
      <c r="I17" s="1329"/>
      <c r="J17" s="423">
        <f>'105'!L37</f>
        <v>72</v>
      </c>
      <c r="K17" s="1330">
        <f>'105'!P37</f>
        <v>0.86018518518518516</v>
      </c>
      <c r="L17" s="1331"/>
      <c r="M17" s="1332"/>
      <c r="N17" s="871">
        <f t="shared" si="0"/>
        <v>1.5263938944244222E-2</v>
      </c>
      <c r="O17" s="1537" t="str">
        <f>'105'!U37</f>
        <v>06:40最後一支交接班
04:40-05:00清理模唇,NG  72KG</v>
      </c>
      <c r="P17" s="1538"/>
      <c r="Q17" s="1538"/>
      <c r="R17" s="1539"/>
      <c r="S17" s="860" t="str">
        <f>'105'!V37</f>
        <v>阮宏山</v>
      </c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1.5</v>
      </c>
      <c r="E18" s="815">
        <v>805</v>
      </c>
      <c r="F18" s="815">
        <f>'106'!O39</f>
        <v>1185</v>
      </c>
      <c r="G18" s="1311">
        <f>'106'!K39</f>
        <v>9837</v>
      </c>
      <c r="H18" s="1312"/>
      <c r="I18" s="1313"/>
      <c r="J18" s="814">
        <f>'106'!L39</f>
        <v>0</v>
      </c>
      <c r="K18" s="1541">
        <f>'106'!P39+'106'!P40</f>
        <v>0.92264416315049225</v>
      </c>
      <c r="L18" s="1542"/>
      <c r="M18" s="1543"/>
      <c r="N18" s="871">
        <f t="shared" si="0"/>
        <v>0</v>
      </c>
      <c r="O18" s="1348" t="str">
        <f>'106'!U39</f>
        <v>16:42-16:44改規格1.65*805,無損耗</v>
      </c>
      <c r="P18" s="1349"/>
      <c r="Q18" s="1349"/>
      <c r="R18" s="1350"/>
      <c r="S18" s="1517" t="str">
        <f>'106'!V39</f>
        <v>黎文中.林子維</v>
      </c>
    </row>
    <row r="19" spans="1:19" ht="17.25" customHeight="1">
      <c r="A19" s="1371"/>
      <c r="B19" s="84" t="s">
        <v>205</v>
      </c>
      <c r="C19" s="850" t="s">
        <v>42</v>
      </c>
      <c r="D19" s="851">
        <v>1.65</v>
      </c>
      <c r="E19" s="815">
        <v>805</v>
      </c>
      <c r="F19" s="815">
        <f>'106'!O40</f>
        <v>1185</v>
      </c>
      <c r="G19" s="1311">
        <f>'106'!K40</f>
        <v>3283</v>
      </c>
      <c r="H19" s="1312"/>
      <c r="I19" s="1313"/>
      <c r="J19" s="814">
        <f>'106'!L40</f>
        <v>0</v>
      </c>
      <c r="K19" s="1544"/>
      <c r="L19" s="1545"/>
      <c r="M19" s="1546"/>
      <c r="N19" s="871">
        <f t="shared" si="0"/>
        <v>0</v>
      </c>
      <c r="O19" s="1367" t="str">
        <f>'106'!U40</f>
        <v>19:36最後一支交接班</v>
      </c>
      <c r="P19" s="1368"/>
      <c r="Q19" s="1368"/>
      <c r="R19" s="1369"/>
      <c r="S19" s="1518"/>
    </row>
    <row r="20" spans="1:19" ht="17.25" customHeight="1">
      <c r="A20" s="1562"/>
      <c r="B20" s="881" t="s">
        <v>43</v>
      </c>
      <c r="C20" s="422" t="s">
        <v>42</v>
      </c>
      <c r="D20" s="421">
        <v>1.65</v>
      </c>
      <c r="E20" s="880">
        <v>805</v>
      </c>
      <c r="F20" s="880">
        <f>'106'!O41</f>
        <v>1185</v>
      </c>
      <c r="G20" s="1327">
        <f>'106'!K41</f>
        <v>14203</v>
      </c>
      <c r="H20" s="1328"/>
      <c r="I20" s="1329"/>
      <c r="J20" s="423">
        <f>'106'!L41</f>
        <v>0</v>
      </c>
      <c r="K20" s="1330">
        <f>'106'!P41</f>
        <v>0.9988045007032349</v>
      </c>
      <c r="L20" s="1331"/>
      <c r="M20" s="1332"/>
      <c r="N20" s="871">
        <f t="shared" si="0"/>
        <v>0</v>
      </c>
      <c r="O20" s="1364" t="str">
        <f>'106'!U41</f>
        <v>08:04最後一支交接班</v>
      </c>
      <c r="P20" s="1365"/>
      <c r="Q20" s="1365"/>
      <c r="R20" s="1366"/>
      <c r="S20" s="822" t="str">
        <f>'106'!V41</f>
        <v>黃隨貴</v>
      </c>
    </row>
    <row r="21" spans="1:19" ht="17.25" customHeight="1">
      <c r="A21" s="1362" t="s">
        <v>418</v>
      </c>
      <c r="B21" s="84" t="s">
        <v>205</v>
      </c>
      <c r="C21" s="850" t="s">
        <v>433</v>
      </c>
      <c r="D21" s="851">
        <v>0.55000000000000004</v>
      </c>
      <c r="E21" s="815">
        <v>880</v>
      </c>
      <c r="F21" s="815">
        <f>'107'!O41</f>
        <v>450</v>
      </c>
      <c r="G21" s="1311">
        <f>'107'!K41</f>
        <v>5031</v>
      </c>
      <c r="H21" s="1312"/>
      <c r="I21" s="1313"/>
      <c r="J21" s="814">
        <f>'107'!L41</f>
        <v>0</v>
      </c>
      <c r="K21" s="1314">
        <f>'107'!P41</f>
        <v>0.93166666666666664</v>
      </c>
      <c r="L21" s="1315"/>
      <c r="M21" s="1316"/>
      <c r="N21" s="871">
        <f t="shared" si="0"/>
        <v>0</v>
      </c>
      <c r="O21" s="1364" t="str">
        <f>'107'!U41</f>
        <v>19:46最後一支交接班</v>
      </c>
      <c r="P21" s="1365"/>
      <c r="Q21" s="1365"/>
      <c r="R21" s="1366"/>
      <c r="S21" s="822" t="str">
        <f>'107'!V41</f>
        <v>潘文銅</v>
      </c>
    </row>
    <row r="22" spans="1:19" ht="17.25" customHeight="1">
      <c r="A22" s="1363"/>
      <c r="B22" s="881" t="s">
        <v>43</v>
      </c>
      <c r="C22" s="422" t="s">
        <v>433</v>
      </c>
      <c r="D22" s="421">
        <v>0.55000000000000004</v>
      </c>
      <c r="E22" s="880">
        <v>880</v>
      </c>
      <c r="F22" s="880">
        <f>'107'!O42</f>
        <v>450</v>
      </c>
      <c r="G22" s="1327">
        <f>'107'!K42</f>
        <v>5041</v>
      </c>
      <c r="H22" s="1328"/>
      <c r="I22" s="1329"/>
      <c r="J22" s="423">
        <f>'107'!L42</f>
        <v>0</v>
      </c>
      <c r="K22" s="1314">
        <f>'107'!P42</f>
        <v>0.93351851851851853</v>
      </c>
      <c r="L22" s="1315"/>
      <c r="M22" s="1316"/>
      <c r="N22" s="871">
        <f t="shared" si="0"/>
        <v>0</v>
      </c>
      <c r="O22" s="1364" t="str">
        <f>'107'!U42</f>
        <v>07:48最後一支交接班</v>
      </c>
      <c r="P22" s="1365"/>
      <c r="Q22" s="1365"/>
      <c r="R22" s="1366"/>
      <c r="S22" s="822" t="str">
        <f>'107'!V42</f>
        <v>磨文林</v>
      </c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65312</v>
      </c>
      <c r="J23" s="833">
        <f>SUM(J7:J22)</f>
        <v>72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1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1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1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1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1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1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65312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s">
        <v>633</v>
      </c>
      <c r="D50" s="1427"/>
      <c r="E50" s="1427"/>
      <c r="F50" s="827"/>
      <c r="G50" s="828"/>
      <c r="H50" s="815"/>
      <c r="I50" s="827"/>
      <c r="J50" s="828"/>
      <c r="K50" s="828"/>
      <c r="L50" s="828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s">
        <v>633</v>
      </c>
      <c r="D51" s="1360"/>
      <c r="E51" s="1360"/>
      <c r="F51" s="418"/>
      <c r="G51" s="660"/>
      <c r="H51" s="880"/>
      <c r="I51" s="418"/>
      <c r="J51" s="660"/>
      <c r="K51" s="660"/>
      <c r="L51" s="660"/>
      <c r="M51" s="661"/>
      <c r="N51" s="662"/>
      <c r="O51" s="1361"/>
      <c r="P51" s="1361"/>
      <c r="Q51" s="1361"/>
      <c r="R51" s="1361"/>
      <c r="S51" s="822"/>
      <c r="V51" s="1382" t="s">
        <v>633</v>
      </c>
      <c r="W51" s="1383"/>
      <c r="X51" s="1384"/>
    </row>
    <row r="52" spans="1:24" ht="33" customHeight="1">
      <c r="A52" s="1126" t="s">
        <v>22</v>
      </c>
      <c r="B52" s="84" t="s">
        <v>0</v>
      </c>
      <c r="C52" s="1427" t="e">
        <f>#REF!</f>
        <v>#REF!</v>
      </c>
      <c r="D52" s="1427"/>
      <c r="E52" s="1427"/>
      <c r="F52" s="827" t="s">
        <v>1035</v>
      </c>
      <c r="G52" s="852" t="e">
        <f>#REF!</f>
        <v>#REF!</v>
      </c>
      <c r="H52" s="815"/>
      <c r="I52" s="827">
        <v>1</v>
      </c>
      <c r="J52" s="852" t="e">
        <f>#REF!</f>
        <v>#REF!</v>
      </c>
      <c r="K52" s="885" t="e">
        <f>#REF!</f>
        <v>#REF!</v>
      </c>
      <c r="L52" s="885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17.25" customHeight="1">
      <c r="A53" s="1127"/>
      <c r="B53" s="881" t="s">
        <v>43</v>
      </c>
      <c r="C53" s="1360" t="e">
        <f>#REF!</f>
        <v>#REF!</v>
      </c>
      <c r="D53" s="1360"/>
      <c r="E53" s="1360"/>
      <c r="F53" s="418" t="s">
        <v>1035</v>
      </c>
      <c r="G53" s="840" t="e">
        <f>#REF!</f>
        <v>#REF!</v>
      </c>
      <c r="H53" s="880"/>
      <c r="I53" s="418">
        <v>2</v>
      </c>
      <c r="J53" s="840" t="e">
        <f>#REF!</f>
        <v>#REF!</v>
      </c>
      <c r="K53" s="890" t="e">
        <f>#REF!</f>
        <v>#REF!</v>
      </c>
      <c r="L53" s="890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34.5" customHeight="1">
      <c r="A54" s="1428" t="s">
        <v>23</v>
      </c>
      <c r="B54" s="84" t="s">
        <v>0</v>
      </c>
      <c r="C54" s="1427" t="e">
        <f>#REF!</f>
        <v>#REF!</v>
      </c>
      <c r="D54" s="1427"/>
      <c r="E54" s="1427"/>
      <c r="F54" s="827" t="s">
        <v>990</v>
      </c>
      <c r="G54" s="828" t="e">
        <f>#REF!</f>
        <v>#REF!</v>
      </c>
      <c r="H54" s="815"/>
      <c r="I54" s="827">
        <v>4</v>
      </c>
      <c r="J54" s="828" t="e">
        <f>#REF!</f>
        <v>#REF!</v>
      </c>
      <c r="K54" s="828" t="e">
        <f>#REF!</f>
        <v>#REF!</v>
      </c>
      <c r="L54" s="828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17.25" customHeight="1">
      <c r="A55" s="1563"/>
      <c r="B55" s="381" t="s">
        <v>43</v>
      </c>
      <c r="C55" s="1360" t="e">
        <f>#REF!</f>
        <v>#REF!</v>
      </c>
      <c r="D55" s="1360"/>
      <c r="E55" s="1360"/>
      <c r="F55" s="418" t="s">
        <v>990</v>
      </c>
      <c r="G55" s="660" t="e">
        <f>#REF!</f>
        <v>#REF!</v>
      </c>
      <c r="H55" s="880"/>
      <c r="I55" s="418">
        <v>3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35.25" customHeight="1">
      <c r="A58" s="1260" t="s">
        <v>634</v>
      </c>
      <c r="B58" s="84" t="s">
        <v>0</v>
      </c>
      <c r="C58" s="1427" t="e">
        <f>#REF!</f>
        <v>#REF!</v>
      </c>
      <c r="D58" s="1427"/>
      <c r="E58" s="1427"/>
      <c r="F58" s="827" t="s">
        <v>775</v>
      </c>
      <c r="G58" s="828" t="e">
        <f>#REF!</f>
        <v>#REF!</v>
      </c>
      <c r="H58" s="815"/>
      <c r="I58" s="827">
        <v>4</v>
      </c>
      <c r="J58" s="828" t="e">
        <f>#REF!</f>
        <v>#REF!</v>
      </c>
      <c r="K58" s="828" t="e">
        <f>#REF!</f>
        <v>#REF!</v>
      </c>
      <c r="L58" s="828" t="e">
        <f>#REF!</f>
        <v>#REF!</v>
      </c>
      <c r="M58" s="816" t="e">
        <f>#REF!</f>
        <v>#REF!</v>
      </c>
      <c r="N58" s="817" t="e">
        <f>#REF!</f>
        <v>#REF!</v>
      </c>
      <c r="O58" s="1430" t="e">
        <f>#REF!</f>
        <v>#REF!</v>
      </c>
      <c r="P58" s="1431"/>
      <c r="Q58" s="1431"/>
      <c r="R58" s="1432"/>
      <c r="S58" s="822" t="e">
        <f>#REF!</f>
        <v>#REF!</v>
      </c>
    </row>
    <row r="59" spans="1:24" ht="17.25" customHeight="1">
      <c r="A59" s="1260"/>
      <c r="B59" s="381" t="s">
        <v>43</v>
      </c>
      <c r="C59" s="1360" t="e">
        <f>#REF!</f>
        <v>#REF!</v>
      </c>
      <c r="D59" s="1360"/>
      <c r="E59" s="1360"/>
      <c r="F59" s="418" t="s">
        <v>775</v>
      </c>
      <c r="G59" s="660" t="e">
        <f>#REF!</f>
        <v>#REF!</v>
      </c>
      <c r="H59" s="880"/>
      <c r="I59" s="418">
        <v>3</v>
      </c>
      <c r="J59" s="660" t="e">
        <f>#REF!</f>
        <v>#REF!</v>
      </c>
      <c r="K59" s="660" t="e">
        <f>#REF!</f>
        <v>#REF!</v>
      </c>
      <c r="L59" s="660" t="e">
        <f>#REF!</f>
        <v>#REF!</v>
      </c>
      <c r="M59" s="816" t="e">
        <f>#REF!</f>
        <v>#REF!</v>
      </c>
      <c r="N59" s="817" t="e">
        <f>#REF!</f>
        <v>#REF!</v>
      </c>
      <c r="O59" s="1590" t="e">
        <f>#REF!</f>
        <v>#REF!</v>
      </c>
      <c r="P59" s="1591"/>
      <c r="Q59" s="1591"/>
      <c r="R59" s="1592"/>
      <c r="S59" s="1517" t="e">
        <f>#REF!</f>
        <v>#REF!</v>
      </c>
    </row>
    <row r="60" spans="1:24" ht="17.25" customHeight="1">
      <c r="A60" s="1260"/>
      <c r="B60" s="381" t="s">
        <v>43</v>
      </c>
      <c r="C60" s="1360" t="e">
        <f>#REF!</f>
        <v>#REF!</v>
      </c>
      <c r="D60" s="1360"/>
      <c r="E60" s="1360"/>
      <c r="F60" s="418" t="s">
        <v>775</v>
      </c>
      <c r="G60" s="660" t="e">
        <f>#REF!</f>
        <v>#REF!</v>
      </c>
      <c r="H60" s="880"/>
      <c r="I60" s="418">
        <v>1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7" t="e">
        <f>#REF!</f>
        <v>#REF!</v>
      </c>
      <c r="O60" s="1593" t="e">
        <f>#REF!</f>
        <v>#REF!</v>
      </c>
      <c r="P60" s="1594"/>
      <c r="Q60" s="1594"/>
      <c r="R60" s="1595"/>
      <c r="S60" s="1518"/>
    </row>
    <row r="61" spans="1:24" ht="17.25" customHeight="1">
      <c r="A61" s="1126" t="s">
        <v>416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8"/>
      <c r="O61" s="1333"/>
      <c r="P61" s="1334"/>
      <c r="Q61" s="1334"/>
      <c r="R61" s="1335"/>
      <c r="S61" s="855"/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8"/>
      <c r="O62" s="1333"/>
      <c r="P62" s="1334"/>
      <c r="Q62" s="1334"/>
      <c r="R62" s="1335"/>
      <c r="S62" s="855"/>
    </row>
    <row r="63" spans="1:24" ht="17.25" customHeight="1">
      <c r="A63" s="1126" t="s">
        <v>635</v>
      </c>
      <c r="B63" s="84" t="s">
        <v>0</v>
      </c>
      <c r="C63" s="1427" t="s">
        <v>633</v>
      </c>
      <c r="D63" s="1427"/>
      <c r="E63" s="1427"/>
      <c r="F63" s="827"/>
      <c r="G63" s="828"/>
      <c r="H63" s="815"/>
      <c r="I63" s="827"/>
      <c r="J63" s="828"/>
      <c r="K63" s="828"/>
      <c r="L63" s="828"/>
      <c r="M63" s="816"/>
      <c r="N63" s="817"/>
      <c r="O63" s="1436"/>
      <c r="P63" s="1436"/>
      <c r="Q63" s="1436"/>
      <c r="R63" s="1436"/>
      <c r="S63" s="848"/>
    </row>
    <row r="64" spans="1:24" ht="35.25" customHeight="1">
      <c r="A64" s="1189"/>
      <c r="B64" s="381" t="s">
        <v>43</v>
      </c>
      <c r="C64" s="1360" t="e">
        <f>#REF!</f>
        <v>#REF!</v>
      </c>
      <c r="D64" s="1360"/>
      <c r="E64" s="1360"/>
      <c r="F64" s="418" t="s">
        <v>1063</v>
      </c>
      <c r="G64" s="660" t="e">
        <f>#REF!</f>
        <v>#REF!</v>
      </c>
      <c r="H64" s="880"/>
      <c r="I64" s="418">
        <v>4</v>
      </c>
      <c r="J64" s="660" t="e">
        <f>#REF!</f>
        <v>#REF!</v>
      </c>
      <c r="K64" s="660" t="e">
        <f>#REF!</f>
        <v>#REF!</v>
      </c>
      <c r="L64" s="660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48" t="e">
        <f>#REF!</f>
        <v>#REF!</v>
      </c>
    </row>
    <row r="65" spans="1:79" ht="38.25" customHeight="1">
      <c r="A65" s="1126" t="s">
        <v>636</v>
      </c>
      <c r="B65" s="84" t="s">
        <v>0</v>
      </c>
      <c r="C65" s="1427" t="e">
        <f>#REF!</f>
        <v>#REF!</v>
      </c>
      <c r="D65" s="1427"/>
      <c r="E65" s="1427"/>
      <c r="F65" s="827" t="s">
        <v>991</v>
      </c>
      <c r="G65" s="828" t="e">
        <f>#REF!</f>
        <v>#REF!</v>
      </c>
      <c r="H65" s="815"/>
      <c r="I65" s="827">
        <v>3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816" t="e">
        <f>#REF!</f>
        <v>#REF!</v>
      </c>
      <c r="N65" s="817" t="e">
        <f>#REF!</f>
        <v>#REF!</v>
      </c>
      <c r="O65" s="1436" t="e">
        <f>#REF!</f>
        <v>#REF!</v>
      </c>
      <c r="P65" s="1436"/>
      <c r="Q65" s="1436"/>
      <c r="R65" s="1436"/>
      <c r="S65" s="848" t="e">
        <f>#REF!</f>
        <v>#REF!</v>
      </c>
    </row>
    <row r="66" spans="1:79" ht="17.25" customHeight="1">
      <c r="A66" s="1127"/>
      <c r="B66" s="381" t="s">
        <v>43</v>
      </c>
      <c r="C66" s="1360" t="e">
        <f>#REF!</f>
        <v>#REF!</v>
      </c>
      <c r="D66" s="1360"/>
      <c r="E66" s="1360"/>
      <c r="F66" s="418" t="s">
        <v>991</v>
      </c>
      <c r="G66" s="660" t="e">
        <f>#REF!</f>
        <v>#REF!</v>
      </c>
      <c r="H66" s="880"/>
      <c r="I66" s="418">
        <v>4</v>
      </c>
      <c r="J66" s="660" t="e">
        <f>#REF!</f>
        <v>#REF!</v>
      </c>
      <c r="K66" s="660" t="e">
        <f>#REF!</f>
        <v>#REF!</v>
      </c>
      <c r="L66" s="660" t="e">
        <f>#REF!</f>
        <v>#REF!</v>
      </c>
      <c r="M66" s="816" t="e">
        <f>#REF!</f>
        <v>#REF!</v>
      </c>
      <c r="N66" s="817" t="e">
        <f>#REF!</f>
        <v>#REF!</v>
      </c>
      <c r="O66" s="1436" t="e">
        <f>#REF!</f>
        <v>#REF!</v>
      </c>
      <c r="P66" s="1436"/>
      <c r="Q66" s="1436"/>
      <c r="R66" s="1436"/>
      <c r="S66" s="821" t="e">
        <f>#REF!</f>
        <v>#REF!</v>
      </c>
    </row>
    <row r="67" spans="1:79" ht="17.25" customHeight="1">
      <c r="A67" s="831"/>
      <c r="B67" s="841"/>
      <c r="C67" s="882"/>
      <c r="D67" s="883"/>
      <c r="E67" s="884"/>
      <c r="F67" s="827"/>
      <c r="G67" s="828"/>
      <c r="H67" s="815"/>
      <c r="I67" s="827"/>
      <c r="J67" s="832" t="s">
        <v>666</v>
      </c>
      <c r="K67" s="836" t="e">
        <f>SUM(K50:K66)</f>
        <v>#REF!</v>
      </c>
      <c r="L67" s="839"/>
      <c r="M67" s="816"/>
      <c r="N67" s="817"/>
      <c r="O67" s="1433"/>
      <c r="P67" s="1434"/>
      <c r="Q67" s="1434"/>
      <c r="R67" s="1435"/>
      <c r="S67" s="811"/>
    </row>
    <row r="68" spans="1:79" ht="57.75" customHeight="1">
      <c r="A68" s="1568" t="s">
        <v>25</v>
      </c>
      <c r="B68" s="84" t="s">
        <v>0</v>
      </c>
      <c r="C68" s="1427" t="e">
        <f>#REF!</f>
        <v>#REF!</v>
      </c>
      <c r="D68" s="1427"/>
      <c r="E68" s="1427"/>
      <c r="F68" s="827" t="s">
        <v>1039</v>
      </c>
      <c r="G68" s="828" t="e">
        <f>#REF!</f>
        <v>#REF!</v>
      </c>
      <c r="H68" s="815"/>
      <c r="I68" s="827">
        <v>3</v>
      </c>
      <c r="J68" s="828" t="e">
        <f>#REF!</f>
        <v>#REF!</v>
      </c>
      <c r="K68" s="828" t="e">
        <f>#REF!</f>
        <v>#REF!</v>
      </c>
      <c r="L68" s="828" t="e">
        <f>#REF!</f>
        <v>#REF!</v>
      </c>
      <c r="M68" s="659" t="e">
        <f>#REF!</f>
        <v>#REF!</v>
      </c>
      <c r="N68" s="415" t="e">
        <f>#REF!</f>
        <v>#REF!</v>
      </c>
      <c r="O68" s="1437" t="e">
        <f>#REF!</f>
        <v>#REF!</v>
      </c>
      <c r="P68" s="1438"/>
      <c r="Q68" s="1438"/>
      <c r="R68" s="1439"/>
      <c r="S68" s="876" t="e">
        <f>#REF!</f>
        <v>#REF!</v>
      </c>
    </row>
    <row r="69" spans="1:79" ht="17.25" customHeight="1">
      <c r="A69" s="1570"/>
      <c r="B69" s="381" t="s">
        <v>43</v>
      </c>
      <c r="C69" s="1360" t="s">
        <v>633</v>
      </c>
      <c r="D69" s="1360"/>
      <c r="E69" s="1360"/>
      <c r="F69" s="418"/>
      <c r="G69" s="660"/>
      <c r="H69" s="880"/>
      <c r="I69" s="418"/>
      <c r="J69" s="660"/>
      <c r="K69" s="660"/>
      <c r="L69" s="660"/>
      <c r="M69" s="659"/>
      <c r="N69" s="415"/>
      <c r="O69" s="1437"/>
      <c r="P69" s="1438"/>
      <c r="Q69" s="1438"/>
      <c r="R69" s="1439"/>
      <c r="S69" s="876"/>
    </row>
    <row r="70" spans="1:79" ht="35.25" customHeight="1">
      <c r="A70" s="1126" t="s">
        <v>62</v>
      </c>
      <c r="B70" s="84" t="s">
        <v>0</v>
      </c>
      <c r="C70" s="1427" t="e">
        <f>#REF!</f>
        <v>#REF!</v>
      </c>
      <c r="D70" s="1427"/>
      <c r="E70" s="1427"/>
      <c r="F70" s="827" t="s">
        <v>1041</v>
      </c>
      <c r="G70" s="828" t="e">
        <f>#REF!</f>
        <v>#REF!</v>
      </c>
      <c r="H70" s="815"/>
      <c r="I70" s="827">
        <v>3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893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35.25" customHeight="1">
      <c r="A71" s="1127"/>
      <c r="B71" s="381" t="s">
        <v>43</v>
      </c>
      <c r="C71" s="1360" t="e">
        <f>#REF!</f>
        <v>#REF!</v>
      </c>
      <c r="D71" s="1360"/>
      <c r="E71" s="1360"/>
      <c r="F71" s="418" t="s">
        <v>1016</v>
      </c>
      <c r="G71" s="660" t="e">
        <f>#REF!</f>
        <v>#REF!</v>
      </c>
      <c r="H71" s="880"/>
      <c r="I71" s="418">
        <v>3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415" t="e">
        <f>#REF!</f>
        <v>#REF!</v>
      </c>
      <c r="O71" s="1549" t="e">
        <f>#REF!</f>
        <v>#REF!</v>
      </c>
      <c r="P71" s="1550"/>
      <c r="Q71" s="1550"/>
      <c r="R71" s="1551"/>
      <c r="S71" s="893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53.25" customHeight="1">
      <c r="A72" s="1126" t="s">
        <v>640</v>
      </c>
      <c r="B72" s="84" t="s">
        <v>0</v>
      </c>
      <c r="C72" s="1427" t="e">
        <f>#REF!</f>
        <v>#REF!</v>
      </c>
      <c r="D72" s="1427"/>
      <c r="E72" s="1427"/>
      <c r="F72" s="827" t="s">
        <v>1064</v>
      </c>
      <c r="G72" s="828" t="e">
        <f>#REF!</f>
        <v>#REF!</v>
      </c>
      <c r="H72" s="815"/>
      <c r="I72" s="827">
        <v>2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34.5" customHeight="1">
      <c r="A73" s="1189"/>
      <c r="B73" s="881" t="s">
        <v>43</v>
      </c>
      <c r="C73" s="1360" t="e">
        <f>#REF!</f>
        <v>#REF!</v>
      </c>
      <c r="D73" s="1360"/>
      <c r="E73" s="1360"/>
      <c r="F73" s="418" t="s">
        <v>1065</v>
      </c>
      <c r="G73" s="660" t="e">
        <f>#REF!</f>
        <v>#REF!</v>
      </c>
      <c r="H73" s="880"/>
      <c r="I73" s="418">
        <v>4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33.75" customHeight="1">
      <c r="A74" s="1440" t="s">
        <v>26</v>
      </c>
      <c r="B74" s="84" t="s">
        <v>0</v>
      </c>
      <c r="C74" s="1427" t="e">
        <f>#REF!</f>
        <v>#REF!</v>
      </c>
      <c r="D74" s="1427"/>
      <c r="E74" s="1427"/>
      <c r="F74" s="827" t="s">
        <v>1067</v>
      </c>
      <c r="G74" s="828" t="e">
        <f>#REF!</f>
        <v>#REF!</v>
      </c>
      <c r="H74" s="815"/>
      <c r="I74" s="827">
        <v>3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35.25" customHeight="1">
      <c r="A75" s="1441"/>
      <c r="B75" s="881" t="s">
        <v>43</v>
      </c>
      <c r="C75" s="1360" t="e">
        <f>#REF!</f>
        <v>#REF!</v>
      </c>
      <c r="D75" s="1360"/>
      <c r="E75" s="1360"/>
      <c r="F75" s="418" t="s">
        <v>1067</v>
      </c>
      <c r="G75" s="660" t="e">
        <f>#REF!</f>
        <v>#REF!</v>
      </c>
      <c r="H75" s="880"/>
      <c r="I75" s="418">
        <v>5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27</v>
      </c>
      <c r="B76" s="841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842"/>
      <c r="N77" s="415"/>
      <c r="O77" s="1442"/>
      <c r="P77" s="1443"/>
      <c r="Q77" s="1443"/>
      <c r="R77" s="1444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0" t="s">
        <v>641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54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642</v>
      </c>
      <c r="B80" s="84" t="s">
        <v>0</v>
      </c>
      <c r="C80" s="1427" t="e">
        <f>#REF!</f>
        <v>#REF!</v>
      </c>
      <c r="D80" s="1427"/>
      <c r="E80" s="1427"/>
      <c r="F80" s="827" t="s">
        <v>1043</v>
      </c>
      <c r="G80" s="828" t="e">
        <f>#REF!</f>
        <v>#REF!</v>
      </c>
      <c r="H80" s="815"/>
      <c r="I80" s="827">
        <v>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816" t="e">
        <f>#REF!</f>
        <v>#REF!</v>
      </c>
      <c r="N80" s="415" t="e">
        <f>#REF!</f>
        <v>#REF!</v>
      </c>
      <c r="O80" s="1437"/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7"/>
      <c r="B81" s="881" t="s">
        <v>43</v>
      </c>
      <c r="C81" s="1360" t="e">
        <f>#REF!</f>
        <v>#REF!</v>
      </c>
      <c r="D81" s="1360"/>
      <c r="E81" s="1360"/>
      <c r="F81" s="418" t="s">
        <v>1043</v>
      </c>
      <c r="G81" s="660" t="e">
        <f>#REF!</f>
        <v>#REF!</v>
      </c>
      <c r="H81" s="880"/>
      <c r="I81" s="418">
        <v>0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816" t="e">
        <f>#REF!</f>
        <v>#REF!</v>
      </c>
      <c r="N81" s="415" t="e">
        <f>#REF!</f>
        <v>#REF!</v>
      </c>
      <c r="O81" s="1437"/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35.25" customHeight="1">
      <c r="A82" s="1126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735</v>
      </c>
      <c r="G82" s="828" t="e">
        <f>#REF!</f>
        <v>#REF!</v>
      </c>
      <c r="H82" s="815"/>
      <c r="I82" s="827">
        <v>8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437" t="e">
        <f>#REF!</f>
        <v>#REF!</v>
      </c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7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10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48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260" t="s">
        <v>651</v>
      </c>
      <c r="B84" s="84" t="s">
        <v>0</v>
      </c>
      <c r="C84" s="1427" t="s">
        <v>633</v>
      </c>
      <c r="D84" s="1427"/>
      <c r="E84" s="1427"/>
      <c r="F84" s="827"/>
      <c r="G84" s="828"/>
      <c r="H84" s="815"/>
      <c r="I84" s="827"/>
      <c r="J84" s="828"/>
      <c r="K84" s="828"/>
      <c r="L84" s="828"/>
      <c r="M84" s="659"/>
      <c r="N84" s="415"/>
      <c r="O84" s="1437"/>
      <c r="P84" s="1438"/>
      <c r="Q84" s="1438"/>
      <c r="R84" s="1439"/>
      <c r="S84" s="82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260"/>
      <c r="B85" s="881" t="s">
        <v>43</v>
      </c>
      <c r="C85" s="1360" t="e">
        <f>#REF!</f>
        <v>#REF!</v>
      </c>
      <c r="D85" s="1360"/>
      <c r="E85" s="1360"/>
      <c r="F85" s="418" t="s">
        <v>828</v>
      </c>
      <c r="G85" s="660" t="e">
        <f>#REF!</f>
        <v>#REF!</v>
      </c>
      <c r="H85" s="880"/>
      <c r="I85" s="418">
        <v>6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659" t="e">
        <f>#REF!</f>
        <v>#REF!</v>
      </c>
      <c r="N85" s="415" t="e">
        <f>#REF!</f>
        <v>#REF!</v>
      </c>
      <c r="O85" s="1437" t="e">
        <f>#REF!</f>
        <v>#REF!</v>
      </c>
      <c r="P85" s="1438"/>
      <c r="Q85" s="1438"/>
      <c r="R85" s="1439"/>
      <c r="S85" s="823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SUM(K68:K85)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印401!I38</f>
        <v>0</v>
      </c>
      <c r="D88" s="1290"/>
      <c r="E88" s="1290"/>
      <c r="F88" s="1290"/>
      <c r="G88" s="1290"/>
      <c r="H88" s="849"/>
      <c r="I88" s="849">
        <f>印401!R38</f>
        <v>0</v>
      </c>
      <c r="J88" s="852">
        <f>印401!S38</f>
        <v>0</v>
      </c>
      <c r="K88" s="872">
        <f>印401!L38</f>
        <v>0</v>
      </c>
      <c r="L88" s="873">
        <f>印401!N38</f>
        <v>0</v>
      </c>
      <c r="M88" s="852">
        <f>印401!P38</f>
        <v>0</v>
      </c>
      <c r="N88" s="853">
        <f>印401!Q38</f>
        <v>0</v>
      </c>
      <c r="O88" s="1451"/>
      <c r="P88" s="1452"/>
      <c r="Q88" s="1452"/>
      <c r="R88" s="1453"/>
      <c r="S88" s="874">
        <f>印401!AB38</f>
        <v>0</v>
      </c>
    </row>
    <row r="89" spans="1:79" ht="18" customHeight="1">
      <c r="A89" s="1216"/>
      <c r="B89" s="84" t="s">
        <v>0</v>
      </c>
      <c r="C89" s="1290">
        <f>印401!I39</f>
        <v>0</v>
      </c>
      <c r="D89" s="1290"/>
      <c r="E89" s="1290"/>
      <c r="F89" s="1290"/>
      <c r="G89" s="1290"/>
      <c r="H89" s="849"/>
      <c r="I89" s="849">
        <f>印401!R39</f>
        <v>0</v>
      </c>
      <c r="J89" s="852">
        <f>印401!S39</f>
        <v>0</v>
      </c>
      <c r="K89" s="872">
        <f>印401!L39</f>
        <v>0</v>
      </c>
      <c r="L89" s="873">
        <f>印401!N39</f>
        <v>0</v>
      </c>
      <c r="M89" s="852">
        <f>印401!P39</f>
        <v>0</v>
      </c>
      <c r="N89" s="853">
        <f>印401!Q39</f>
        <v>0</v>
      </c>
      <c r="O89" s="1451"/>
      <c r="P89" s="1452"/>
      <c r="Q89" s="1452"/>
      <c r="R89" s="1453"/>
      <c r="S89" s="874">
        <f>印401!AB39</f>
        <v>0</v>
      </c>
    </row>
    <row r="90" spans="1:79" ht="18" customHeight="1">
      <c r="A90" s="1216"/>
      <c r="B90" s="84" t="s">
        <v>0</v>
      </c>
      <c r="C90" s="1290">
        <f>印401!I40</f>
        <v>0</v>
      </c>
      <c r="D90" s="1290"/>
      <c r="E90" s="1290"/>
      <c r="F90" s="1290"/>
      <c r="G90" s="1290"/>
      <c r="H90" s="849"/>
      <c r="I90" s="849">
        <f>印401!R40</f>
        <v>0</v>
      </c>
      <c r="J90" s="852">
        <f>印401!S40</f>
        <v>0</v>
      </c>
      <c r="K90" s="872">
        <f>印401!L40</f>
        <v>0</v>
      </c>
      <c r="L90" s="873">
        <f>印401!N40</f>
        <v>0</v>
      </c>
      <c r="M90" s="852">
        <f>印401!P40</f>
        <v>0</v>
      </c>
      <c r="N90" s="853">
        <f>印401!Q40</f>
        <v>0</v>
      </c>
      <c r="O90" s="1451"/>
      <c r="P90" s="1452"/>
      <c r="Q90" s="1452"/>
      <c r="R90" s="1453"/>
      <c r="S90" s="874">
        <f>印401!AB40</f>
        <v>0</v>
      </c>
    </row>
    <row r="91" spans="1:79" ht="18" customHeight="1">
      <c r="A91" s="1165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8" customHeight="1">
      <c r="A92" s="1461">
        <v>402</v>
      </c>
      <c r="B92" s="84" t="s">
        <v>205</v>
      </c>
      <c r="C92" s="1290" t="s">
        <v>633</v>
      </c>
      <c r="D92" s="1290"/>
      <c r="E92" s="1290"/>
      <c r="F92" s="1290"/>
      <c r="G92" s="1290"/>
      <c r="H92" s="849"/>
      <c r="I92" s="849"/>
      <c r="J92" s="852"/>
      <c r="K92" s="872"/>
      <c r="L92" s="873"/>
      <c r="M92" s="852"/>
      <c r="N92" s="853"/>
      <c r="O92" s="1451"/>
      <c r="P92" s="1452"/>
      <c r="Q92" s="1452"/>
      <c r="R92" s="1453"/>
      <c r="S92" s="874"/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467"/>
      <c r="B95" s="881" t="s">
        <v>43</v>
      </c>
      <c r="C95" s="1454" t="s">
        <v>633</v>
      </c>
      <c r="D95" s="1454"/>
      <c r="E95" s="1454"/>
      <c r="F95" s="1454"/>
      <c r="G95" s="1454"/>
      <c r="H95" s="664"/>
      <c r="I95" s="664"/>
      <c r="J95" s="840"/>
      <c r="K95" s="424"/>
      <c r="L95" s="840"/>
      <c r="M95" s="840"/>
      <c r="N95" s="672"/>
      <c r="O95" s="1455"/>
      <c r="P95" s="1456"/>
      <c r="Q95" s="1456"/>
      <c r="R95" s="1457"/>
      <c r="S95" s="810"/>
    </row>
    <row r="96" spans="1:79" ht="18" customHeight="1">
      <c r="A96" s="1199">
        <v>405</v>
      </c>
      <c r="B96" s="84" t="s">
        <v>0</v>
      </c>
      <c r="C96" s="1282" t="e">
        <f>#REF!</f>
        <v>#REF!</v>
      </c>
      <c r="D96" s="1283"/>
      <c r="E96" s="1283"/>
      <c r="F96" s="1283"/>
      <c r="G96" s="1468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216"/>
      <c r="B97" s="84" t="s">
        <v>0</v>
      </c>
      <c r="C97" s="1282" t="e">
        <f>#REF!</f>
        <v>#REF!</v>
      </c>
      <c r="D97" s="1283"/>
      <c r="E97" s="1283"/>
      <c r="F97" s="1283"/>
      <c r="G97" s="1468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165"/>
      <c r="B98" s="881" t="s">
        <v>43</v>
      </c>
      <c r="C98" s="1572" t="e">
        <f>#REF!</f>
        <v>#REF!</v>
      </c>
      <c r="D98" s="1573"/>
      <c r="E98" s="1573"/>
      <c r="F98" s="1573"/>
      <c r="G98" s="1574"/>
      <c r="H98" s="664"/>
      <c r="I98" s="664" t="e">
        <f>#REF!</f>
        <v>#REF!</v>
      </c>
      <c r="J98" s="840" t="e">
        <f>#REF!</f>
        <v>#REF!</v>
      </c>
      <c r="K98" s="424" t="e">
        <f>#REF!</f>
        <v>#REF!</v>
      </c>
      <c r="L98" s="840" t="e">
        <f>#REF!</f>
        <v>#REF!</v>
      </c>
      <c r="M98" s="840" t="e">
        <f>#REF!</f>
        <v>#REF!</v>
      </c>
      <c r="N98" s="672" t="e">
        <f>#REF!</f>
        <v>#REF!</v>
      </c>
      <c r="O98" s="1455"/>
      <c r="P98" s="1456"/>
      <c r="Q98" s="1456"/>
      <c r="R98" s="1457"/>
      <c r="S98" s="810" t="e">
        <f>#REF!</f>
        <v>#REF!</v>
      </c>
    </row>
    <row r="99" spans="1:19" ht="18" customHeight="1">
      <c r="A99" s="314"/>
      <c r="B99" s="841"/>
      <c r="C99" s="1458"/>
      <c r="D99" s="1459"/>
      <c r="E99" s="1459"/>
      <c r="F99" s="1459"/>
      <c r="G99" s="1460"/>
      <c r="H99" s="849"/>
      <c r="I99" s="849"/>
      <c r="J99" s="834" t="s">
        <v>666</v>
      </c>
      <c r="K99" s="835" t="e">
        <f>SUM(K88:K98)</f>
        <v>#REF!</v>
      </c>
      <c r="L99" s="852"/>
      <c r="M99" s="852"/>
      <c r="N99" s="853"/>
      <c r="O99" s="886"/>
      <c r="P99" s="887"/>
      <c r="Q99" s="887"/>
      <c r="R99" s="888"/>
      <c r="S99" s="854"/>
    </row>
    <row r="100" spans="1:19" s="76" customFormat="1" ht="31.7" hidden="1" customHeight="1">
      <c r="A100" s="400" t="s">
        <v>425</v>
      </c>
      <c r="B100" s="400" t="s">
        <v>193</v>
      </c>
      <c r="C100" s="1282" t="e">
        <f>[1]印403!J91</f>
        <v>#REF!</v>
      </c>
      <c r="D100" s="1283"/>
      <c r="E100" s="1283"/>
      <c r="F100" s="1283"/>
      <c r="G100" s="1468"/>
      <c r="H100" s="242" t="s">
        <v>216</v>
      </c>
      <c r="I100" s="242" t="s">
        <v>12</v>
      </c>
      <c r="J100" s="242" t="s">
        <v>13</v>
      </c>
      <c r="K100" s="405" t="s">
        <v>218</v>
      </c>
      <c r="L100" s="427" t="s">
        <v>60</v>
      </c>
      <c r="M100" s="399" t="e">
        <f>[1]印403!O90</f>
        <v>#REF!</v>
      </c>
      <c r="N100" s="257" t="s">
        <v>45</v>
      </c>
      <c r="O100" s="1448" t="s">
        <v>29</v>
      </c>
      <c r="P100" s="1449"/>
      <c r="Q100" s="1449"/>
      <c r="R100" s="1450"/>
      <c r="S100" s="417" t="s">
        <v>57</v>
      </c>
    </row>
    <row r="101" spans="1:19" ht="15" hidden="1" customHeight="1">
      <c r="A101" s="1199" t="s">
        <v>426</v>
      </c>
      <c r="B101" s="84" t="s">
        <v>205</v>
      </c>
      <c r="C101" s="1282" t="e">
        <f>[1]印403!J92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[1]印403!O91</f>
        <v>#REF!</v>
      </c>
      <c r="N101" s="399"/>
      <c r="O101" s="1469"/>
      <c r="P101" s="1245"/>
      <c r="Q101" s="1245"/>
      <c r="R101" s="1246"/>
      <c r="S101" s="1470"/>
    </row>
    <row r="102" spans="1:19" ht="13.7" hidden="1" customHeight="1">
      <c r="A102" s="1216"/>
      <c r="B102" s="84" t="s">
        <v>205</v>
      </c>
      <c r="C102" s="1282" t="e">
        <f>[1]印403!J93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[1]印403!O92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[1]印403!J94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[1]印403!O93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[1]印403!J95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[1]印403!O94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[1]印403!J96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[1]印403!O95</f>
        <v>#REF!</v>
      </c>
      <c r="N105" s="425"/>
      <c r="O105" s="669"/>
      <c r="P105" s="670"/>
      <c r="Q105" s="670"/>
      <c r="R105" s="671"/>
      <c r="S105" s="1471"/>
    </row>
    <row r="106" spans="1:19" ht="16.5" hidden="1" customHeight="1">
      <c r="A106" s="1216"/>
      <c r="B106" s="881" t="s">
        <v>43</v>
      </c>
      <c r="C106" s="1282" t="e">
        <f>[1]印403!J97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[1]印403!O96</f>
        <v>#REF!</v>
      </c>
      <c r="N106" s="672"/>
      <c r="O106" s="1476"/>
      <c r="P106" s="1477"/>
      <c r="Q106" s="1477"/>
      <c r="R106" s="1478"/>
      <c r="S106" s="1485"/>
    </row>
    <row r="107" spans="1:19" ht="15" hidden="1" customHeight="1">
      <c r="A107" s="1216"/>
      <c r="B107" s="881" t="s">
        <v>43</v>
      </c>
      <c r="C107" s="1282" t="e">
        <f>[1]印403!J98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[1]印403!O97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216"/>
      <c r="B108" s="881" t="s">
        <v>43</v>
      </c>
      <c r="C108" s="1282" t="e">
        <f>[1]印403!J99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[1]印403!O98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165"/>
      <c r="B109" s="881" t="s">
        <v>43</v>
      </c>
      <c r="C109" s="1282" t="e">
        <f>[1]印403!J100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[1]印403!O99</f>
        <v>#REF!</v>
      </c>
      <c r="N109" s="672"/>
      <c r="O109" s="1482"/>
      <c r="P109" s="1483"/>
      <c r="Q109" s="1483"/>
      <c r="R109" s="1484"/>
      <c r="S109" s="1486"/>
    </row>
    <row r="110" spans="1:19" ht="6" customHeight="1">
      <c r="A110" s="248"/>
      <c r="C110" s="249"/>
    </row>
    <row r="111" spans="1:19" ht="6" customHeight="1" thickBot="1">
      <c r="A111" s="248"/>
      <c r="C111" s="249"/>
    </row>
    <row r="112" spans="1:19" ht="15" customHeight="1" thickTop="1">
      <c r="A112" s="1472" t="s">
        <v>30</v>
      </c>
      <c r="B112" s="1473"/>
      <c r="C112" s="1473"/>
      <c r="D112" s="1473"/>
      <c r="E112" s="376">
        <v>842400</v>
      </c>
      <c r="F112" s="75" t="s">
        <v>64</v>
      </c>
      <c r="G112" s="1472" t="s">
        <v>31</v>
      </c>
      <c r="H112" s="1473"/>
      <c r="I112" s="1473"/>
      <c r="J112" s="1473"/>
      <c r="K112" s="1473"/>
      <c r="L112" s="377">
        <v>570000</v>
      </c>
      <c r="M112" s="75" t="s">
        <v>64</v>
      </c>
      <c r="N112" s="1472" t="s">
        <v>32</v>
      </c>
      <c r="O112" s="1473"/>
      <c r="P112" s="1473"/>
      <c r="Q112" s="377">
        <v>1485000</v>
      </c>
      <c r="R112" s="75" t="s">
        <v>64</v>
      </c>
      <c r="S112" s="75"/>
    </row>
    <row r="113" spans="1:20" ht="15" customHeight="1" thickBot="1">
      <c r="A113" s="1474" t="s">
        <v>66</v>
      </c>
      <c r="B113" s="1475"/>
      <c r="C113" s="1475"/>
      <c r="D113" s="1475"/>
      <c r="E113" s="674">
        <f>(30+50+18)*1000</f>
        <v>98000</v>
      </c>
      <c r="G113" s="1474" t="s">
        <v>66</v>
      </c>
      <c r="H113" s="1475"/>
      <c r="I113" s="1475"/>
      <c r="J113" s="1475"/>
      <c r="K113" s="1475"/>
      <c r="L113" s="674">
        <v>0</v>
      </c>
      <c r="N113" s="1474" t="s">
        <v>33</v>
      </c>
      <c r="O113" s="1475"/>
      <c r="P113" s="1475"/>
      <c r="Q113" s="674">
        <f>(116+42)*1000</f>
        <v>158000</v>
      </c>
      <c r="R113" s="75"/>
      <c r="S113" s="75"/>
    </row>
    <row r="114" spans="1:20" ht="15" customHeight="1" thickTop="1" thickBot="1">
      <c r="A114" s="1487" t="s">
        <v>34</v>
      </c>
      <c r="B114" s="1488"/>
      <c r="C114" s="1488"/>
      <c r="D114" s="1488"/>
      <c r="E114" s="378">
        <f>E112+E113</f>
        <v>940400</v>
      </c>
      <c r="F114" s="75" t="s">
        <v>64</v>
      </c>
      <c r="G114" s="1487" t="s">
        <v>35</v>
      </c>
      <c r="H114" s="1488"/>
      <c r="I114" s="1488"/>
      <c r="J114" s="1488"/>
      <c r="K114" s="1488"/>
      <c r="L114" s="379">
        <f>L112+L113</f>
        <v>570000</v>
      </c>
      <c r="M114" s="75" t="s">
        <v>64</v>
      </c>
      <c r="N114" s="1487" t="s">
        <v>36</v>
      </c>
      <c r="O114" s="1488"/>
      <c r="P114" s="1488"/>
      <c r="Q114" s="379">
        <f>Q112+Q113</f>
        <v>1643000</v>
      </c>
      <c r="R114" s="75" t="s">
        <v>64</v>
      </c>
      <c r="S114" s="75"/>
    </row>
    <row r="115" spans="1:20" ht="15" customHeight="1" thickTop="1" thickBot="1">
      <c r="E115" s="252">
        <f>印401!M64</f>
        <v>0</v>
      </c>
      <c r="L115" s="675" t="e">
        <f>#REF!</f>
        <v>#REF!</v>
      </c>
      <c r="O115" s="75"/>
      <c r="P115" s="75"/>
      <c r="Q115" s="675" t="e">
        <f>#REF!</f>
        <v>#REF!</v>
      </c>
      <c r="R115" s="75"/>
      <c r="S115" s="75"/>
    </row>
    <row r="116" spans="1:20" ht="15" customHeight="1" thickBot="1">
      <c r="A116" s="676" t="s">
        <v>37</v>
      </c>
      <c r="B116" s="677"/>
      <c r="C116" s="677"/>
      <c r="D116" s="678"/>
      <c r="E116" s="253">
        <f>印401!P64</f>
        <v>0</v>
      </c>
      <c r="F116" s="75" t="s">
        <v>64</v>
      </c>
      <c r="G116" s="676" t="s">
        <v>38</v>
      </c>
      <c r="H116" s="677"/>
      <c r="I116" s="677"/>
      <c r="J116" s="677"/>
      <c r="K116" s="677"/>
      <c r="L116" s="384" t="e">
        <f>#REF!</f>
        <v>#REF!</v>
      </c>
      <c r="M116" s="75" t="s">
        <v>64</v>
      </c>
      <c r="N116" s="676" t="s">
        <v>39</v>
      </c>
      <c r="O116" s="677"/>
      <c r="P116" s="677"/>
      <c r="Q116" s="384" t="e">
        <f>#REF!</f>
        <v>#REF!</v>
      </c>
      <c r="R116" s="75" t="s">
        <v>64</v>
      </c>
      <c r="S116" s="75"/>
    </row>
    <row r="117" spans="1:20" ht="3" customHeight="1" thickBot="1">
      <c r="J117" s="255"/>
      <c r="K117" s="256"/>
    </row>
    <row r="118" spans="1:20" ht="15" customHeight="1" thickTop="1">
      <c r="B118" s="1509" t="s">
        <v>69</v>
      </c>
      <c r="C118" s="1510"/>
      <c r="D118" s="1511" t="s">
        <v>305</v>
      </c>
      <c r="E118" s="1512"/>
      <c r="F118" s="1489" t="s">
        <v>306</v>
      </c>
      <c r="G118" s="1490"/>
      <c r="H118" s="1491" t="s">
        <v>307</v>
      </c>
      <c r="I118" s="1492"/>
      <c r="J118" s="1492"/>
      <c r="K118" s="1493"/>
      <c r="L118" s="1472" t="s">
        <v>657</v>
      </c>
      <c r="M118" s="1473"/>
      <c r="N118" s="1473"/>
      <c r="O118" s="377">
        <v>2869000</v>
      </c>
      <c r="P118" s="75" t="s">
        <v>64</v>
      </c>
      <c r="Q118" s="1496" t="s">
        <v>65</v>
      </c>
      <c r="R118" s="1497"/>
      <c r="S118" s="385">
        <v>29376367</v>
      </c>
    </row>
    <row r="119" spans="1:20" ht="15" customHeight="1" thickBot="1">
      <c r="B119" s="1498" t="s">
        <v>308</v>
      </c>
      <c r="C119" s="1499"/>
      <c r="D119" s="1500" t="e">
        <f>總表!D20</f>
        <v>#REF!</v>
      </c>
      <c r="E119" s="1501"/>
      <c r="F119" s="1502">
        <f>總表!E20</f>
        <v>1316871</v>
      </c>
      <c r="G119" s="1503"/>
      <c r="H119" s="1504" t="e">
        <f>(D119-F119)/D119</f>
        <v>#REF!</v>
      </c>
      <c r="I119" s="1505"/>
      <c r="J119" s="1505"/>
      <c r="K119" s="1506"/>
      <c r="L119" s="1474" t="s">
        <v>33</v>
      </c>
      <c r="M119" s="1475"/>
      <c r="N119" s="1475"/>
      <c r="O119" s="674">
        <f>(43+65+80)*1000</f>
        <v>188000</v>
      </c>
      <c r="P119" s="75"/>
      <c r="Q119" s="1507" t="s">
        <v>67</v>
      </c>
      <c r="R119" s="1508"/>
      <c r="S119" s="386" t="e">
        <f>SUM(L50:L85,L88:L98)</f>
        <v>#REF!</v>
      </c>
    </row>
    <row r="120" spans="1:20" ht="15" customHeight="1" thickTop="1" thickBot="1">
      <c r="B120" s="1513" t="s">
        <v>309</v>
      </c>
      <c r="C120" s="1514"/>
      <c r="D120" s="1515" t="e">
        <f>總表!C43</f>
        <v>#REF!</v>
      </c>
      <c r="E120" s="1516"/>
      <c r="F120" s="1502" t="e">
        <f>總表!F43</f>
        <v>#REF!</v>
      </c>
      <c r="G120" s="1503"/>
      <c r="H120" s="1504" t="e">
        <f>(D120-F120)/D120</f>
        <v>#REF!</v>
      </c>
      <c r="I120" s="1505"/>
      <c r="J120" s="1505"/>
      <c r="K120" s="1506"/>
      <c r="L120" s="1487" t="s">
        <v>658</v>
      </c>
      <c r="M120" s="1488"/>
      <c r="N120" s="1488"/>
      <c r="O120" s="379">
        <f>O118+O119</f>
        <v>3057000</v>
      </c>
      <c r="P120" s="75" t="s">
        <v>64</v>
      </c>
      <c r="Q120" s="1494" t="s">
        <v>68</v>
      </c>
      <c r="R120" s="1495"/>
      <c r="S120" s="387" t="e">
        <f>S118+S119</f>
        <v>#REF!</v>
      </c>
    </row>
    <row r="121" spans="1:20" ht="14.1" customHeight="1" thickTop="1" thickBot="1">
      <c r="B121" s="250" t="s">
        <v>310</v>
      </c>
      <c r="C121" s="250"/>
      <c r="D121" s="250"/>
      <c r="E121" s="233"/>
      <c r="O121" s="675" t="e">
        <f>#REF!</f>
        <v>#REF!</v>
      </c>
      <c r="P121" s="75"/>
      <c r="Q121" s="75"/>
      <c r="R121" s="254" t="e">
        <f>總表!E43+總表!E52</f>
        <v>#REF!</v>
      </c>
      <c r="S121" s="254" t="e">
        <f>R121-S120</f>
        <v>#REF!</v>
      </c>
    </row>
    <row r="122" spans="1:20" ht="17.25" customHeight="1" thickBot="1">
      <c r="B122" s="250" t="s">
        <v>40</v>
      </c>
      <c r="C122" s="233"/>
      <c r="D122" s="233"/>
      <c r="E122" s="233"/>
      <c r="F122" s="233"/>
      <c r="L122" s="676" t="s">
        <v>659</v>
      </c>
      <c r="M122" s="677"/>
      <c r="N122" s="677"/>
      <c r="O122" s="384" t="e">
        <f>#REF!</f>
        <v>#REF!</v>
      </c>
      <c r="P122" s="75" t="s">
        <v>64</v>
      </c>
      <c r="T122" s="233"/>
    </row>
    <row r="123" spans="1:20" ht="15.75" customHeight="1">
      <c r="B123" s="75" t="s">
        <v>41</v>
      </c>
      <c r="N123" s="233"/>
      <c r="S123" s="75"/>
    </row>
  </sheetData>
  <mergeCells count="295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S18:S19"/>
    <mergeCell ref="G21:I21"/>
    <mergeCell ref="K21:M21"/>
    <mergeCell ref="O21:R21"/>
    <mergeCell ref="K18:M19"/>
    <mergeCell ref="G17:I17"/>
    <mergeCell ref="K17:M17"/>
    <mergeCell ref="O17:R17"/>
    <mergeCell ref="A21:A22"/>
    <mergeCell ref="A18:A20"/>
    <mergeCell ref="O18:R18"/>
    <mergeCell ref="G19:I19"/>
    <mergeCell ref="O19:R19"/>
    <mergeCell ref="G20:I20"/>
    <mergeCell ref="K20:M20"/>
    <mergeCell ref="O20:R20"/>
    <mergeCell ref="G18:I18"/>
    <mergeCell ref="K23:M23"/>
    <mergeCell ref="O23:R23"/>
    <mergeCell ref="C36:E36"/>
    <mergeCell ref="C37:E37"/>
    <mergeCell ref="O66:R66"/>
    <mergeCell ref="S59:S60"/>
    <mergeCell ref="S27:S29"/>
    <mergeCell ref="G28:I28"/>
    <mergeCell ref="G29:I29"/>
    <mergeCell ref="S24:S26"/>
    <mergeCell ref="S38:S40"/>
    <mergeCell ref="S41:S43"/>
    <mergeCell ref="C31:E31"/>
    <mergeCell ref="M31:M33"/>
    <mergeCell ref="O31:R33"/>
    <mergeCell ref="S31:S33"/>
    <mergeCell ref="C32:E32"/>
    <mergeCell ref="C33:E33"/>
    <mergeCell ref="C34:E34"/>
    <mergeCell ref="M34:M37"/>
    <mergeCell ref="O34:R37"/>
    <mergeCell ref="S34:S37"/>
    <mergeCell ref="A38:A43"/>
    <mergeCell ref="C38:E38"/>
    <mergeCell ref="M38:M40"/>
    <mergeCell ref="G24:I24"/>
    <mergeCell ref="K24:M26"/>
    <mergeCell ref="O24:R26"/>
    <mergeCell ref="G25:I25"/>
    <mergeCell ref="G26:I26"/>
    <mergeCell ref="G27:I27"/>
    <mergeCell ref="K27:M29"/>
    <mergeCell ref="O27:R29"/>
    <mergeCell ref="C35:E35"/>
    <mergeCell ref="A24:A29"/>
    <mergeCell ref="C39:E39"/>
    <mergeCell ref="C40:E40"/>
    <mergeCell ref="C41:E41"/>
    <mergeCell ref="M41:M43"/>
    <mergeCell ref="O41:R43"/>
    <mergeCell ref="C42:E42"/>
    <mergeCell ref="C43:E43"/>
    <mergeCell ref="O38:R40"/>
    <mergeCell ref="C30:E30"/>
    <mergeCell ref="O30:R30"/>
    <mergeCell ref="A31:A37"/>
    <mergeCell ref="A70:A71"/>
    <mergeCell ref="C70:E70"/>
    <mergeCell ref="O70:R70"/>
    <mergeCell ref="C71:E71"/>
    <mergeCell ref="O71:R71"/>
    <mergeCell ref="C59:E59"/>
    <mergeCell ref="O59:R59"/>
    <mergeCell ref="C60:E60"/>
    <mergeCell ref="O60:R60"/>
    <mergeCell ref="A63:A64"/>
    <mergeCell ref="C63:E63"/>
    <mergeCell ref="O63:R63"/>
    <mergeCell ref="C64:E64"/>
    <mergeCell ref="O64:R64"/>
    <mergeCell ref="O67:R67"/>
    <mergeCell ref="A65:A66"/>
    <mergeCell ref="C65:E65"/>
    <mergeCell ref="O65:R65"/>
    <mergeCell ref="C66:E66"/>
    <mergeCell ref="A68:A69"/>
    <mergeCell ref="C68:E68"/>
    <mergeCell ref="O68:R68"/>
    <mergeCell ref="A44:A49"/>
    <mergeCell ref="C44:E44"/>
    <mergeCell ref="M44:M46"/>
    <mergeCell ref="O44:R46"/>
    <mergeCell ref="S44:S46"/>
    <mergeCell ref="C45:E45"/>
    <mergeCell ref="C46:E46"/>
    <mergeCell ref="C47:E47"/>
    <mergeCell ref="M47:M49"/>
    <mergeCell ref="O47:R49"/>
    <mergeCell ref="S47:S49"/>
    <mergeCell ref="C48:E48"/>
    <mergeCell ref="C49:E49"/>
    <mergeCell ref="V50:X50"/>
    <mergeCell ref="C51:E51"/>
    <mergeCell ref="O51:R51"/>
    <mergeCell ref="V51:X51"/>
    <mergeCell ref="C54:E54"/>
    <mergeCell ref="O54:R54"/>
    <mergeCell ref="A54:A55"/>
    <mergeCell ref="O55:R55"/>
    <mergeCell ref="A52:A53"/>
    <mergeCell ref="A50:A51"/>
    <mergeCell ref="C55:E55"/>
    <mergeCell ref="C50:E50"/>
    <mergeCell ref="O50:R50"/>
    <mergeCell ref="A56:A57"/>
    <mergeCell ref="C56:E56"/>
    <mergeCell ref="O56:R56"/>
    <mergeCell ref="C57:E57"/>
    <mergeCell ref="O57:R57"/>
    <mergeCell ref="A58:A60"/>
    <mergeCell ref="C58:E58"/>
    <mergeCell ref="O58:R58"/>
    <mergeCell ref="A61:A62"/>
    <mergeCell ref="C61:E61"/>
    <mergeCell ref="O61:R61"/>
    <mergeCell ref="C62:E62"/>
    <mergeCell ref="O62:R62"/>
    <mergeCell ref="C80:E80"/>
    <mergeCell ref="O80:R80"/>
    <mergeCell ref="C81:E81"/>
    <mergeCell ref="O81:R81"/>
    <mergeCell ref="C79:E79"/>
    <mergeCell ref="O79:R79"/>
    <mergeCell ref="A72:A73"/>
    <mergeCell ref="C72:E72"/>
    <mergeCell ref="O72:R72"/>
    <mergeCell ref="A74:A75"/>
    <mergeCell ref="C74:E74"/>
    <mergeCell ref="O74:R74"/>
    <mergeCell ref="C75:E75"/>
    <mergeCell ref="O75:R75"/>
    <mergeCell ref="C73:E73"/>
    <mergeCell ref="O73:R73"/>
    <mergeCell ref="A80:A81"/>
    <mergeCell ref="A76:A77"/>
    <mergeCell ref="C76:E76"/>
    <mergeCell ref="O76:R76"/>
    <mergeCell ref="C77:E77"/>
    <mergeCell ref="O77:R77"/>
    <mergeCell ref="A78:A79"/>
    <mergeCell ref="C78:E78"/>
    <mergeCell ref="O78:R78"/>
    <mergeCell ref="O69:R69"/>
    <mergeCell ref="C69:E69"/>
    <mergeCell ref="C91:G91"/>
    <mergeCell ref="O91:R91"/>
    <mergeCell ref="A82:A83"/>
    <mergeCell ref="C82:E82"/>
    <mergeCell ref="C83:E83"/>
    <mergeCell ref="O83:R83"/>
    <mergeCell ref="A84:A85"/>
    <mergeCell ref="C84:E84"/>
    <mergeCell ref="O84:R84"/>
    <mergeCell ref="C85:E85"/>
    <mergeCell ref="A88:A91"/>
    <mergeCell ref="C88:G88"/>
    <mergeCell ref="O88:R88"/>
    <mergeCell ref="O86:R86"/>
    <mergeCell ref="C87:G87"/>
    <mergeCell ref="O87:R87"/>
    <mergeCell ref="C89:G89"/>
    <mergeCell ref="O89:R89"/>
    <mergeCell ref="C90:G90"/>
    <mergeCell ref="O90:R90"/>
    <mergeCell ref="O85:R85"/>
    <mergeCell ref="O82:R82"/>
    <mergeCell ref="A96:A98"/>
    <mergeCell ref="A92:A93"/>
    <mergeCell ref="C92:G92"/>
    <mergeCell ref="O92:R92"/>
    <mergeCell ref="C93:G93"/>
    <mergeCell ref="O93:R93"/>
    <mergeCell ref="C94:G94"/>
    <mergeCell ref="O94:R94"/>
    <mergeCell ref="C95:G95"/>
    <mergeCell ref="O95:R95"/>
    <mergeCell ref="A94:A95"/>
    <mergeCell ref="C99:G99"/>
    <mergeCell ref="C96:G96"/>
    <mergeCell ref="O96:R96"/>
    <mergeCell ref="C97:G97"/>
    <mergeCell ref="O97:R97"/>
    <mergeCell ref="C98:G98"/>
    <mergeCell ref="O98:R98"/>
    <mergeCell ref="C100:G100"/>
    <mergeCell ref="O100:R100"/>
    <mergeCell ref="A101:A109"/>
    <mergeCell ref="C101:G101"/>
    <mergeCell ref="O101:R101"/>
    <mergeCell ref="S101:S105"/>
    <mergeCell ref="C102:G102"/>
    <mergeCell ref="C103:G103"/>
    <mergeCell ref="C104:G104"/>
    <mergeCell ref="C105:G105"/>
    <mergeCell ref="C106:G106"/>
    <mergeCell ref="O106:R109"/>
    <mergeCell ref="S106:S109"/>
    <mergeCell ref="C107:G107"/>
    <mergeCell ref="C108:G108"/>
    <mergeCell ref="C109:G109"/>
    <mergeCell ref="L118:N118"/>
    <mergeCell ref="Q118:R118"/>
    <mergeCell ref="B119:C119"/>
    <mergeCell ref="D119:E119"/>
    <mergeCell ref="F119:G119"/>
    <mergeCell ref="H119:K119"/>
    <mergeCell ref="L119:N119"/>
    <mergeCell ref="Q119:R119"/>
    <mergeCell ref="A112:D112"/>
    <mergeCell ref="G112:K112"/>
    <mergeCell ref="N112:P112"/>
    <mergeCell ref="A113:D113"/>
    <mergeCell ref="G113:K113"/>
    <mergeCell ref="N113:P113"/>
    <mergeCell ref="A114:D114"/>
    <mergeCell ref="G114:K114"/>
    <mergeCell ref="N114:P114"/>
    <mergeCell ref="B120:C120"/>
    <mergeCell ref="D120:E120"/>
    <mergeCell ref="F120:G120"/>
    <mergeCell ref="H120:K120"/>
    <mergeCell ref="L120:N120"/>
    <mergeCell ref="Q120:R120"/>
    <mergeCell ref="G9:I9"/>
    <mergeCell ref="O9:R9"/>
    <mergeCell ref="G10:I10"/>
    <mergeCell ref="O10:R10"/>
    <mergeCell ref="G11:I11"/>
    <mergeCell ref="K11:M11"/>
    <mergeCell ref="O11:R11"/>
    <mergeCell ref="G22:I22"/>
    <mergeCell ref="K22:M22"/>
    <mergeCell ref="O22:R22"/>
    <mergeCell ref="C52:E52"/>
    <mergeCell ref="O52:R52"/>
    <mergeCell ref="C53:E53"/>
    <mergeCell ref="O53:R53"/>
    <mergeCell ref="B118:C118"/>
    <mergeCell ref="D118:E118"/>
    <mergeCell ref="F118:G118"/>
    <mergeCell ref="H118:K118"/>
    <mergeCell ref="S9:S10"/>
    <mergeCell ref="G16:I16"/>
    <mergeCell ref="K16:M16"/>
    <mergeCell ref="O16:R16"/>
    <mergeCell ref="A14:A15"/>
    <mergeCell ref="G14:I14"/>
    <mergeCell ref="K14:M14"/>
    <mergeCell ref="O14:R14"/>
    <mergeCell ref="A12:A13"/>
    <mergeCell ref="G12:I12"/>
    <mergeCell ref="K12:M12"/>
    <mergeCell ref="O12:R12"/>
    <mergeCell ref="G13:I13"/>
    <mergeCell ref="K13:M13"/>
    <mergeCell ref="O13:R13"/>
    <mergeCell ref="G15:I15"/>
    <mergeCell ref="K15:M15"/>
    <mergeCell ref="O15:R15"/>
    <mergeCell ref="A16:A17"/>
    <mergeCell ref="A9:A11"/>
    <mergeCell ref="K9:M10"/>
  </mergeCells>
  <phoneticPr fontId="26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A122"/>
  <sheetViews>
    <sheetView topLeftCell="A82" workbookViewId="0">
      <selection activeCell="A88" sqref="A88:A89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1070</v>
      </c>
      <c r="O2" s="1319"/>
      <c r="P2" s="1320"/>
      <c r="Q2" s="1318" t="s">
        <v>905</v>
      </c>
      <c r="R2" s="1320"/>
      <c r="S2" s="642" t="s">
        <v>1069</v>
      </c>
    </row>
    <row r="3" spans="1:23" ht="87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1071</v>
      </c>
      <c r="O3" s="1319"/>
      <c r="P3" s="1320"/>
      <c r="Q3" s="1318" t="s">
        <v>1072</v>
      </c>
      <c r="R3" s="1320"/>
      <c r="S3" s="85"/>
    </row>
    <row r="4" spans="1:23" ht="36.7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45247</v>
      </c>
      <c r="D5" s="419" t="s">
        <v>1068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1.38</v>
      </c>
      <c r="E9" s="815">
        <v>805</v>
      </c>
      <c r="F9" s="815">
        <f>'102'!O41</f>
        <v>850</v>
      </c>
      <c r="G9" s="1311">
        <f>'102'!K41</f>
        <v>10385</v>
      </c>
      <c r="H9" s="1312"/>
      <c r="I9" s="1313"/>
      <c r="J9" s="814">
        <f>'102'!L41</f>
        <v>0</v>
      </c>
      <c r="K9" s="1314">
        <f>'102'!P41</f>
        <v>1.0181372549019607</v>
      </c>
      <c r="L9" s="1315"/>
      <c r="M9" s="1316"/>
      <c r="N9" s="820">
        <f>J9/(G9+J9)</f>
        <v>0</v>
      </c>
      <c r="O9" s="1521" t="str">
        <f>'102'!U41</f>
        <v>19:35最後一支交接班</v>
      </c>
      <c r="P9" s="1522"/>
      <c r="Q9" s="1522"/>
      <c r="R9" s="1523"/>
      <c r="S9" s="892" t="str">
        <f>'102'!V41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1.38</v>
      </c>
      <c r="E10" s="880">
        <v>805</v>
      </c>
      <c r="F10" s="880">
        <f>'102'!O42</f>
        <v>850</v>
      </c>
      <c r="G10" s="1327">
        <f>'102'!K42</f>
        <v>9830</v>
      </c>
      <c r="H10" s="1328"/>
      <c r="I10" s="1329"/>
      <c r="J10" s="423">
        <f>'102'!L42</f>
        <v>0</v>
      </c>
      <c r="K10" s="1314">
        <f>'102'!P42</f>
        <v>0.96372549019607845</v>
      </c>
      <c r="L10" s="1315"/>
      <c r="M10" s="1316"/>
      <c r="N10" s="820">
        <f>J10/(G10+J10)</f>
        <v>0</v>
      </c>
      <c r="O10" s="1521" t="str">
        <f>'102'!U42</f>
        <v>07:13最後一支交接班</v>
      </c>
      <c r="P10" s="1522"/>
      <c r="Q10" s="1522"/>
      <c r="R10" s="1523"/>
      <c r="S10" s="892" t="str">
        <f>'102'!V42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 t="s">
        <v>633</v>
      </c>
      <c r="E11" s="815"/>
      <c r="F11" s="815"/>
      <c r="G11" s="1311"/>
      <c r="H11" s="1312"/>
      <c r="I11" s="1313"/>
      <c r="J11" s="814"/>
      <c r="K11" s="1314"/>
      <c r="L11" s="1315"/>
      <c r="M11" s="1316"/>
      <c r="N11" s="820"/>
      <c r="O11" s="1308"/>
      <c r="P11" s="1309"/>
      <c r="Q11" s="1309"/>
      <c r="R11" s="1310"/>
      <c r="S11" s="822"/>
    </row>
    <row r="12" spans="1:23" ht="17.25" customHeight="1">
      <c r="A12" s="1326"/>
      <c r="B12" s="881" t="s">
        <v>207</v>
      </c>
      <c r="C12" s="422" t="s">
        <v>44</v>
      </c>
      <c r="D12" s="421" t="s">
        <v>633</v>
      </c>
      <c r="E12" s="880"/>
      <c r="F12" s="880"/>
      <c r="G12" s="1327"/>
      <c r="H12" s="1328"/>
      <c r="I12" s="1329"/>
      <c r="J12" s="423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851">
        <v>1.57</v>
      </c>
      <c r="E15" s="815">
        <v>715</v>
      </c>
      <c r="F15" s="815">
        <f>'105'!O38</f>
        <v>450</v>
      </c>
      <c r="G15" s="1311">
        <f>'105'!K38</f>
        <v>5315</v>
      </c>
      <c r="H15" s="1312"/>
      <c r="I15" s="1313"/>
      <c r="J15" s="814">
        <f>'105'!L38</f>
        <v>0</v>
      </c>
      <c r="K15" s="1330">
        <f>'105'!P38</f>
        <v>0.98425925925925928</v>
      </c>
      <c r="L15" s="1331"/>
      <c r="M15" s="1332"/>
      <c r="N15" s="871">
        <f t="shared" ref="N15:N21" si="0">J15/(G15+J15)</f>
        <v>0</v>
      </c>
      <c r="O15" s="1333" t="str">
        <f>'105'!U38</f>
        <v>19:34最後一支交接班</v>
      </c>
      <c r="P15" s="1334"/>
      <c r="Q15" s="1334"/>
      <c r="R15" s="1335"/>
      <c r="S15" s="860" t="str">
        <f>'105'!V38</f>
        <v>史豐銘</v>
      </c>
    </row>
    <row r="16" spans="1:23" ht="17.25" customHeight="1">
      <c r="A16" s="1359"/>
      <c r="B16" s="881" t="s">
        <v>43</v>
      </c>
      <c r="C16" s="422" t="s">
        <v>44</v>
      </c>
      <c r="D16" s="421">
        <v>1.57</v>
      </c>
      <c r="E16" s="880">
        <v>715</v>
      </c>
      <c r="F16" s="880">
        <f>'105'!O39</f>
        <v>450</v>
      </c>
      <c r="G16" s="1327">
        <f>'105'!K39</f>
        <v>3981</v>
      </c>
      <c r="H16" s="1328"/>
      <c r="I16" s="1329"/>
      <c r="J16" s="423">
        <f>'105'!L39</f>
        <v>0</v>
      </c>
      <c r="K16" s="1541">
        <f>'105'!P39+'105'!P40</f>
        <v>0.86314814814814811</v>
      </c>
      <c r="L16" s="1542"/>
      <c r="M16" s="1543"/>
      <c r="N16" s="871">
        <f t="shared" si="0"/>
        <v>0</v>
      </c>
      <c r="O16" s="1534" t="str">
        <f>'105'!U39</f>
        <v>05:38-05:40改規格1.6*715,無損耗</v>
      </c>
      <c r="P16" s="1535"/>
      <c r="Q16" s="1535"/>
      <c r="R16" s="1536"/>
      <c r="S16" s="1519" t="str">
        <f>'105'!V39</f>
        <v>阮宏山</v>
      </c>
    </row>
    <row r="17" spans="1:19" ht="17.25" customHeight="1">
      <c r="A17" s="1102"/>
      <c r="B17" s="881" t="s">
        <v>43</v>
      </c>
      <c r="C17" s="422" t="s">
        <v>44</v>
      </c>
      <c r="D17" s="421">
        <v>1.6</v>
      </c>
      <c r="E17" s="880">
        <v>715</v>
      </c>
      <c r="F17" s="880">
        <f>'105'!O40</f>
        <v>450</v>
      </c>
      <c r="G17" s="1327">
        <f>'105'!K40</f>
        <v>680</v>
      </c>
      <c r="H17" s="1328"/>
      <c r="I17" s="1329"/>
      <c r="J17" s="423">
        <f>'105'!L40</f>
        <v>0</v>
      </c>
      <c r="K17" s="1544"/>
      <c r="L17" s="1545"/>
      <c r="M17" s="1546"/>
      <c r="N17" s="871">
        <f t="shared" si="0"/>
        <v>0</v>
      </c>
      <c r="O17" s="1537" t="str">
        <f>'105'!U40</f>
        <v>07:15最後一支交接班</v>
      </c>
      <c r="P17" s="1538"/>
      <c r="Q17" s="1538"/>
      <c r="R17" s="1539"/>
      <c r="S17" s="1520"/>
    </row>
    <row r="18" spans="1:19" ht="36" customHeight="1">
      <c r="A18" s="1370" t="s">
        <v>644</v>
      </c>
      <c r="B18" s="84" t="s">
        <v>205</v>
      </c>
      <c r="C18" s="850" t="s">
        <v>42</v>
      </c>
      <c r="D18" s="851">
        <v>1.65</v>
      </c>
      <c r="E18" s="815">
        <v>805</v>
      </c>
      <c r="F18" s="815">
        <f>'106'!O42</f>
        <v>1185</v>
      </c>
      <c r="G18" s="1311">
        <f>'106'!K42</f>
        <v>12019</v>
      </c>
      <c r="H18" s="1312"/>
      <c r="I18" s="1313"/>
      <c r="J18" s="814">
        <f>'106'!L42</f>
        <v>70</v>
      </c>
      <c r="K18" s="1330">
        <f>'106'!P42</f>
        <v>0.84521800281293957</v>
      </c>
      <c r="L18" s="1331"/>
      <c r="M18" s="1332"/>
      <c r="N18" s="871">
        <f t="shared" si="0"/>
        <v>5.7903879559930514E-3</v>
      </c>
      <c r="O18" s="1364" t="str">
        <f>'106'!U42</f>
        <v>20:03最後一支交接班
09:00-10:10停機擦輪、換網及清理真空,NG  70KG</v>
      </c>
      <c r="P18" s="1365"/>
      <c r="Q18" s="1365"/>
      <c r="R18" s="1366"/>
      <c r="S18" s="822" t="str">
        <f>'106'!V42</f>
        <v>黎文中.史豐銘</v>
      </c>
    </row>
    <row r="19" spans="1:19" ht="17.25" customHeight="1">
      <c r="A19" s="1562"/>
      <c r="B19" s="881" t="s">
        <v>43</v>
      </c>
      <c r="C19" s="422" t="s">
        <v>42</v>
      </c>
      <c r="D19" s="421">
        <v>1.65</v>
      </c>
      <c r="E19" s="880">
        <v>805</v>
      </c>
      <c r="F19" s="880">
        <f>'106'!O43</f>
        <v>1185</v>
      </c>
      <c r="G19" s="1327">
        <f>'106'!K43</f>
        <v>12589</v>
      </c>
      <c r="H19" s="1328"/>
      <c r="I19" s="1329"/>
      <c r="J19" s="423">
        <f>'106'!L43</f>
        <v>0</v>
      </c>
      <c r="K19" s="1330">
        <f>'106'!P43</f>
        <v>0.88530239099859354</v>
      </c>
      <c r="L19" s="1331"/>
      <c r="M19" s="1332"/>
      <c r="N19" s="871">
        <f t="shared" si="0"/>
        <v>0</v>
      </c>
      <c r="O19" s="1364" t="str">
        <f>'106'!U43</f>
        <v>07:13最後一支交接班</v>
      </c>
      <c r="P19" s="1365"/>
      <c r="Q19" s="1365"/>
      <c r="R19" s="1366"/>
      <c r="S19" s="822" t="str">
        <f>'106'!V43</f>
        <v>黃隨貴</v>
      </c>
    </row>
    <row r="20" spans="1:19" ht="17.25" customHeight="1">
      <c r="A20" s="1362" t="s">
        <v>418</v>
      </c>
      <c r="B20" s="84" t="s">
        <v>205</v>
      </c>
      <c r="C20" s="850" t="s">
        <v>433</v>
      </c>
      <c r="D20" s="851">
        <v>0.6</v>
      </c>
      <c r="E20" s="815">
        <v>830</v>
      </c>
      <c r="F20" s="815">
        <f>'107'!O43</f>
        <v>450</v>
      </c>
      <c r="G20" s="1311">
        <f>'107'!K43</f>
        <v>5029</v>
      </c>
      <c r="H20" s="1312"/>
      <c r="I20" s="1313"/>
      <c r="J20" s="814">
        <f>'107'!L43</f>
        <v>0</v>
      </c>
      <c r="K20" s="1314">
        <f>'107'!P43</f>
        <v>0.93129629629629629</v>
      </c>
      <c r="L20" s="1315"/>
      <c r="M20" s="1316"/>
      <c r="N20" s="871">
        <f t="shared" si="0"/>
        <v>0</v>
      </c>
      <c r="O20" s="1364" t="str">
        <f>'107'!U43</f>
        <v>19:25最後一支交接班</v>
      </c>
      <c r="P20" s="1365"/>
      <c r="Q20" s="1365"/>
      <c r="R20" s="1366"/>
      <c r="S20" s="822" t="str">
        <f>'107'!V43</f>
        <v>潘文銅</v>
      </c>
    </row>
    <row r="21" spans="1:19" ht="17.25" customHeight="1">
      <c r="A21" s="1363"/>
      <c r="B21" s="881" t="s">
        <v>43</v>
      </c>
      <c r="C21" s="422" t="s">
        <v>433</v>
      </c>
      <c r="D21" s="421">
        <v>0.6</v>
      </c>
      <c r="E21" s="880">
        <v>830</v>
      </c>
      <c r="F21" s="880">
        <f>'107'!O44</f>
        <v>450</v>
      </c>
      <c r="G21" s="1327">
        <f>'107'!K44</f>
        <v>5036</v>
      </c>
      <c r="H21" s="1328"/>
      <c r="I21" s="1329"/>
      <c r="J21" s="423">
        <f>'107'!L44</f>
        <v>0</v>
      </c>
      <c r="K21" s="1314">
        <f>'107'!P44</f>
        <v>0.93259259259259264</v>
      </c>
      <c r="L21" s="1315"/>
      <c r="M21" s="1316"/>
      <c r="N21" s="871">
        <f t="shared" si="0"/>
        <v>0</v>
      </c>
      <c r="O21" s="1364" t="str">
        <f>'107'!U44</f>
        <v>07:15最後一支交接班</v>
      </c>
      <c r="P21" s="1365"/>
      <c r="Q21" s="1365"/>
      <c r="R21" s="1366"/>
      <c r="S21" s="822" t="str">
        <f>'107'!V44</f>
        <v>磨文林</v>
      </c>
    </row>
    <row r="22" spans="1:19" ht="17.25" customHeight="1">
      <c r="A22" s="843"/>
      <c r="B22" s="841"/>
      <c r="C22" s="850"/>
      <c r="D22" s="851"/>
      <c r="E22" s="815"/>
      <c r="F22" s="815"/>
      <c r="G22" s="832" t="s">
        <v>666</v>
      </c>
      <c r="H22" s="838"/>
      <c r="I22" s="833">
        <f>SUM(G7:I21)</f>
        <v>64864</v>
      </c>
      <c r="J22" s="833">
        <f>SUM(J7:J21)</f>
        <v>70</v>
      </c>
      <c r="K22" s="1314"/>
      <c r="L22" s="1315"/>
      <c r="M22" s="1316"/>
      <c r="N22" s="647"/>
      <c r="O22" s="1372"/>
      <c r="P22" s="1373"/>
      <c r="Q22" s="1373"/>
      <c r="R22" s="1374"/>
      <c r="S22" s="812"/>
    </row>
    <row r="23" spans="1:19" ht="20.100000000000001" hidden="1" customHeight="1">
      <c r="A23" s="1400" t="s">
        <v>10</v>
      </c>
      <c r="B23" s="84" t="s">
        <v>205</v>
      </c>
      <c r="C23" s="648" t="s">
        <v>44</v>
      </c>
      <c r="D23" s="649">
        <v>2.35</v>
      </c>
      <c r="E23" s="85">
        <v>800</v>
      </c>
      <c r="F23" s="85"/>
      <c r="G23" s="1401"/>
      <c r="H23" s="1401"/>
      <c r="I23" s="1401"/>
      <c r="J23" s="650"/>
      <c r="K23" s="1402"/>
      <c r="L23" s="1403"/>
      <c r="M23" s="1404"/>
      <c r="N23" s="647" t="e">
        <f t="shared" ref="N23:N28" si="1">J23/(G23+J23)</f>
        <v>#DIV/0!</v>
      </c>
      <c r="O23" s="1348"/>
      <c r="P23" s="1349"/>
      <c r="Q23" s="1349"/>
      <c r="R23" s="1350"/>
      <c r="S23" s="1414"/>
    </row>
    <row r="24" spans="1:19" ht="20.100000000000001" hidden="1" customHeight="1">
      <c r="A24" s="1400"/>
      <c r="B24" s="84" t="s">
        <v>0</v>
      </c>
      <c r="C24" s="648" t="s">
        <v>44</v>
      </c>
      <c r="D24" s="649">
        <v>1.85</v>
      </c>
      <c r="E24" s="85">
        <v>800</v>
      </c>
      <c r="F24" s="85"/>
      <c r="G24" s="1401"/>
      <c r="H24" s="1401"/>
      <c r="I24" s="1401"/>
      <c r="J24" s="650"/>
      <c r="K24" s="1405"/>
      <c r="L24" s="1406"/>
      <c r="M24" s="1407"/>
      <c r="N24" s="647" t="e">
        <f t="shared" si="1"/>
        <v>#DIV/0!</v>
      </c>
      <c r="O24" s="1411"/>
      <c r="P24" s="1412"/>
      <c r="Q24" s="1412"/>
      <c r="R24" s="1413"/>
      <c r="S24" s="1415"/>
    </row>
    <row r="25" spans="1:19" ht="20.100000000000001" hidden="1" customHeight="1">
      <c r="A25" s="1400"/>
      <c r="B25" s="84" t="s">
        <v>205</v>
      </c>
      <c r="C25" s="648" t="s">
        <v>44</v>
      </c>
      <c r="D25" s="649"/>
      <c r="E25" s="85"/>
      <c r="F25" s="85"/>
      <c r="G25" s="1401"/>
      <c r="H25" s="1401"/>
      <c r="I25" s="1401"/>
      <c r="J25" s="650"/>
      <c r="K25" s="1408"/>
      <c r="L25" s="1409"/>
      <c r="M25" s="1410"/>
      <c r="N25" s="647" t="e">
        <f t="shared" si="1"/>
        <v>#DIV/0!</v>
      </c>
      <c r="O25" s="1367"/>
      <c r="P25" s="1368"/>
      <c r="Q25" s="1368"/>
      <c r="R25" s="1369"/>
      <c r="S25" s="1416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2.35</v>
      </c>
      <c r="E26" s="880">
        <v>800</v>
      </c>
      <c r="F26" s="880"/>
      <c r="G26" s="1358"/>
      <c r="H26" s="1358"/>
      <c r="I26" s="1358"/>
      <c r="J26" s="423"/>
      <c r="K26" s="1402"/>
      <c r="L26" s="1403"/>
      <c r="M26" s="1404"/>
      <c r="N26" s="647" t="e">
        <f t="shared" si="1"/>
        <v>#DIV/0!</v>
      </c>
      <c r="O26" s="1348"/>
      <c r="P26" s="1349"/>
      <c r="Q26" s="1349"/>
      <c r="R26" s="1350"/>
      <c r="S26" s="1375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1.75</v>
      </c>
      <c r="E27" s="880">
        <v>715</v>
      </c>
      <c r="F27" s="880"/>
      <c r="G27" s="1358"/>
      <c r="H27" s="1358"/>
      <c r="I27" s="1358"/>
      <c r="J27" s="423"/>
      <c r="K27" s="1405"/>
      <c r="L27" s="1406"/>
      <c r="M27" s="1407"/>
      <c r="N27" s="647" t="e">
        <f t="shared" si="1"/>
        <v>#DIV/0!</v>
      </c>
      <c r="O27" s="1411"/>
      <c r="P27" s="1412"/>
      <c r="Q27" s="1412"/>
      <c r="R27" s="1413"/>
      <c r="S27" s="137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1.6</v>
      </c>
      <c r="E28" s="880">
        <v>715</v>
      </c>
      <c r="F28" s="880"/>
      <c r="G28" s="1358"/>
      <c r="H28" s="1358"/>
      <c r="I28" s="1358"/>
      <c r="J28" s="423"/>
      <c r="K28" s="1408"/>
      <c r="L28" s="1409"/>
      <c r="M28" s="1410"/>
      <c r="N28" s="647" t="e">
        <f t="shared" si="1"/>
        <v>#DIV/0!</v>
      </c>
      <c r="O28" s="1367"/>
      <c r="P28" s="1368"/>
      <c r="Q28" s="1368"/>
      <c r="R28" s="1369"/>
      <c r="S28" s="1377"/>
    </row>
    <row r="29" spans="1:19" s="76" customFormat="1" ht="31.7" customHeight="1">
      <c r="A29" s="56" t="s">
        <v>212</v>
      </c>
      <c r="B29" s="388" t="s">
        <v>193</v>
      </c>
      <c r="C29" s="1378" t="s">
        <v>11</v>
      </c>
      <c r="D29" s="1379"/>
      <c r="E29" s="1380"/>
      <c r="F29" s="409" t="s">
        <v>12</v>
      </c>
      <c r="G29" s="409" t="s">
        <v>13</v>
      </c>
      <c r="H29" s="410" t="s">
        <v>215</v>
      </c>
      <c r="I29" s="411" t="s">
        <v>14</v>
      </c>
      <c r="J29" s="412" t="s">
        <v>15</v>
      </c>
      <c r="K29" s="651" t="s">
        <v>16</v>
      </c>
      <c r="L29" s="652" t="s">
        <v>60</v>
      </c>
      <c r="M29" s="653" t="s">
        <v>17</v>
      </c>
      <c r="N29" s="652" t="s">
        <v>18</v>
      </c>
      <c r="O29" s="1381" t="s">
        <v>29</v>
      </c>
      <c r="P29" s="1381"/>
      <c r="Q29" s="1381"/>
      <c r="R29" s="1381"/>
      <c r="S29" s="383" t="s">
        <v>4</v>
      </c>
    </row>
    <row r="30" spans="1:19" s="132" customFormat="1" ht="16.5" hidden="1" customHeight="1">
      <c r="A30" s="1126" t="s">
        <v>19</v>
      </c>
      <c r="B30" s="134" t="s">
        <v>0</v>
      </c>
      <c r="C30" s="1382"/>
      <c r="D30" s="1383"/>
      <c r="E30" s="1384"/>
      <c r="F30" s="380"/>
      <c r="G30" s="246">
        <f>SUM(G9:G28)</f>
        <v>64864</v>
      </c>
      <c r="H30" s="95"/>
      <c r="I30" s="844" t="e">
        <f>SUM(#REF!)</f>
        <v>#REF!</v>
      </c>
      <c r="J30" s="390"/>
      <c r="K30" s="390"/>
      <c r="L30" s="389"/>
      <c r="M30" s="1385"/>
      <c r="N30" s="654"/>
      <c r="O30" s="1388"/>
      <c r="P30" s="1389"/>
      <c r="Q30" s="1389"/>
      <c r="R30" s="1390"/>
      <c r="S30" s="1397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6"/>
      <c r="N31" s="654"/>
      <c r="O31" s="1391"/>
      <c r="P31" s="1392"/>
      <c r="Q31" s="1392"/>
      <c r="R31" s="1393"/>
      <c r="S31" s="1398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7"/>
      <c r="N32" s="654"/>
      <c r="O32" s="1394"/>
      <c r="P32" s="1395"/>
      <c r="Q32" s="1395"/>
      <c r="R32" s="1396"/>
      <c r="S32" s="1399"/>
    </row>
    <row r="33" spans="1:19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5"/>
      <c r="N33" s="654"/>
      <c r="O33" s="1388"/>
      <c r="P33" s="1389"/>
      <c r="Q33" s="1389"/>
      <c r="R33" s="1390"/>
      <c r="S33" s="1420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7"/>
      <c r="N36" s="654"/>
      <c r="O36" s="1394"/>
      <c r="P36" s="1395"/>
      <c r="Q36" s="1395"/>
      <c r="R36" s="1396"/>
      <c r="S36" s="1422"/>
    </row>
    <row r="37" spans="1:19" ht="18" hidden="1" customHeight="1">
      <c r="A37" s="1426" t="s">
        <v>61</v>
      </c>
      <c r="B37" s="84" t="s">
        <v>205</v>
      </c>
      <c r="C37" s="1382"/>
      <c r="D37" s="1383"/>
      <c r="E37" s="1384"/>
      <c r="F37" s="380"/>
      <c r="G37" s="245"/>
      <c r="H37" s="85"/>
      <c r="I37" s="85"/>
      <c r="J37" s="656"/>
      <c r="K37" s="392"/>
      <c r="L37" s="251"/>
      <c r="M37" s="1385"/>
      <c r="N37" s="428"/>
      <c r="O37" s="1388"/>
      <c r="P37" s="1389"/>
      <c r="Q37" s="1389"/>
      <c r="R37" s="1390"/>
      <c r="S37" s="1423"/>
    </row>
    <row r="38" spans="1:19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6"/>
      <c r="N38" s="654"/>
      <c r="O38" s="1391"/>
      <c r="P38" s="1392"/>
      <c r="Q38" s="1392"/>
      <c r="R38" s="1393"/>
      <c r="S38" s="1424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7"/>
      <c r="N39" s="654"/>
      <c r="O39" s="1394"/>
      <c r="P39" s="1395"/>
      <c r="Q39" s="1395"/>
      <c r="R39" s="1396"/>
      <c r="S39" s="1425"/>
    </row>
    <row r="40" spans="1:19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5"/>
      <c r="N40" s="654"/>
      <c r="O40" s="1388"/>
      <c r="P40" s="1389"/>
      <c r="Q40" s="1389"/>
      <c r="R40" s="1390"/>
      <c r="S40" s="1420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6"/>
      <c r="N41" s="654"/>
      <c r="O41" s="1391"/>
      <c r="P41" s="1392"/>
      <c r="Q41" s="1392"/>
      <c r="R41" s="1393"/>
      <c r="S41" s="1421"/>
    </row>
    <row r="42" spans="1:19" ht="18" hidden="1" customHeight="1">
      <c r="A42" s="1426"/>
      <c r="B42" s="381" t="s">
        <v>207</v>
      </c>
      <c r="C42" s="1417"/>
      <c r="D42" s="1418"/>
      <c r="E42" s="1419"/>
      <c r="F42" s="657"/>
      <c r="G42" s="243"/>
      <c r="H42" s="114"/>
      <c r="I42" s="114"/>
      <c r="J42" s="655"/>
      <c r="K42" s="391"/>
      <c r="L42" s="240"/>
      <c r="M42" s="1387"/>
      <c r="N42" s="428"/>
      <c r="O42" s="1394"/>
      <c r="P42" s="1395"/>
      <c r="Q42" s="1395"/>
      <c r="R42" s="1396"/>
      <c r="S42" s="1422"/>
    </row>
    <row r="43" spans="1:19" ht="18" hidden="1" customHeight="1">
      <c r="A43" s="1260" t="s">
        <v>20</v>
      </c>
      <c r="B43" s="84" t="s">
        <v>205</v>
      </c>
      <c r="C43" s="1382"/>
      <c r="D43" s="1383"/>
      <c r="E43" s="1384"/>
      <c r="F43" s="380"/>
      <c r="G43" s="245"/>
      <c r="H43" s="85"/>
      <c r="I43" s="85"/>
      <c r="J43" s="656"/>
      <c r="K43" s="393"/>
      <c r="L43" s="251"/>
      <c r="M43" s="1385"/>
      <c r="N43" s="428"/>
      <c r="O43" s="1388"/>
      <c r="P43" s="1389"/>
      <c r="Q43" s="1389"/>
      <c r="R43" s="1390"/>
      <c r="S43" s="1423"/>
    </row>
    <row r="44" spans="1:19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6"/>
      <c r="N44" s="654"/>
      <c r="O44" s="1391"/>
      <c r="P44" s="1392"/>
      <c r="Q44" s="1392"/>
      <c r="R44" s="1393"/>
      <c r="S44" s="1424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7"/>
      <c r="N45" s="654"/>
      <c r="O45" s="1394"/>
      <c r="P45" s="1395"/>
      <c r="Q45" s="1395"/>
      <c r="R45" s="1396"/>
      <c r="S45" s="1425"/>
    </row>
    <row r="46" spans="1:19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5"/>
      <c r="N46" s="654"/>
      <c r="O46" s="1388"/>
      <c r="P46" s="1389"/>
      <c r="Q46" s="1389"/>
      <c r="R46" s="1390"/>
      <c r="S46" s="1420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6"/>
      <c r="N47" s="654"/>
      <c r="O47" s="1391"/>
      <c r="P47" s="1392"/>
      <c r="Q47" s="1392"/>
      <c r="R47" s="1393"/>
      <c r="S47" s="1421"/>
    </row>
    <row r="48" spans="1:19" ht="15.75" hidden="1" customHeight="1">
      <c r="A48" s="1260"/>
      <c r="B48" s="381" t="s">
        <v>207</v>
      </c>
      <c r="C48" s="1417"/>
      <c r="D48" s="1418"/>
      <c r="E48" s="1419"/>
      <c r="F48" s="657"/>
      <c r="G48" s="243"/>
      <c r="H48" s="114"/>
      <c r="I48" s="114"/>
      <c r="J48" s="655"/>
      <c r="K48" s="391"/>
      <c r="L48" s="240"/>
      <c r="M48" s="1387"/>
      <c r="N48" s="428"/>
      <c r="O48" s="1394"/>
      <c r="P48" s="1395"/>
      <c r="Q48" s="1395"/>
      <c r="R48" s="1396"/>
      <c r="S48" s="1422"/>
    </row>
    <row r="49" spans="1:24" ht="17.25" customHeight="1">
      <c r="A49" s="1126" t="s">
        <v>21</v>
      </c>
      <c r="B49" s="84" t="s">
        <v>0</v>
      </c>
      <c r="C49" s="1427" t="s">
        <v>633</v>
      </c>
      <c r="D49" s="1427"/>
      <c r="E49" s="1427"/>
      <c r="F49" s="827"/>
      <c r="G49" s="828"/>
      <c r="H49" s="815"/>
      <c r="I49" s="827"/>
      <c r="J49" s="828"/>
      <c r="K49" s="828"/>
      <c r="L49" s="828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27"/>
      <c r="B50" s="881" t="s">
        <v>43</v>
      </c>
      <c r="C50" s="1360" t="s">
        <v>633</v>
      </c>
      <c r="D50" s="1360"/>
      <c r="E50" s="1360"/>
      <c r="F50" s="418"/>
      <c r="G50" s="660"/>
      <c r="H50" s="880"/>
      <c r="I50" s="418"/>
      <c r="J50" s="660"/>
      <c r="K50" s="660"/>
      <c r="L50" s="660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6" t="s">
        <v>22</v>
      </c>
      <c r="B51" s="84" t="s">
        <v>0</v>
      </c>
      <c r="C51" s="1427" t="e">
        <f>#REF!</f>
        <v>#REF!</v>
      </c>
      <c r="D51" s="1427"/>
      <c r="E51" s="1427"/>
      <c r="F51" s="827" t="s">
        <v>1035</v>
      </c>
      <c r="G51" s="852" t="e">
        <f>#REF!</f>
        <v>#REF!</v>
      </c>
      <c r="H51" s="815"/>
      <c r="I51" s="827">
        <v>3</v>
      </c>
      <c r="J51" s="852" t="e">
        <f>#REF!</f>
        <v>#REF!</v>
      </c>
      <c r="K51" s="885" t="e">
        <f>#REF!</f>
        <v>#REF!</v>
      </c>
      <c r="L51" s="885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54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1035</v>
      </c>
      <c r="G52" s="840" t="e">
        <f>#REF!</f>
        <v>#REF!</v>
      </c>
      <c r="H52" s="880"/>
      <c r="I52" s="418">
        <v>0</v>
      </c>
      <c r="J52" s="840" t="e">
        <f>#REF!</f>
        <v>#REF!</v>
      </c>
      <c r="K52" s="890" t="e">
        <f>#REF!</f>
        <v>#REF!</v>
      </c>
      <c r="L52" s="890" t="e">
        <f>#REF!</f>
        <v>#REF!</v>
      </c>
      <c r="M52" s="863" t="e">
        <f>#REF!</f>
        <v>#REF!</v>
      </c>
      <c r="N52" s="415" t="e">
        <f>#REF!</f>
        <v>#REF!</v>
      </c>
      <c r="O52" s="1364" t="e">
        <f>#REF!</f>
        <v>#REF!</v>
      </c>
      <c r="P52" s="1365"/>
      <c r="Q52" s="1365"/>
      <c r="R52" s="1366"/>
      <c r="S52" s="821" t="e">
        <f>#REF!</f>
        <v>#REF!</v>
      </c>
    </row>
    <row r="53" spans="1:24" ht="17.25" customHeight="1">
      <c r="A53" s="1428" t="s">
        <v>23</v>
      </c>
      <c r="B53" s="84" t="s">
        <v>0</v>
      </c>
      <c r="C53" s="1427" t="e">
        <f>#REF!</f>
        <v>#REF!</v>
      </c>
      <c r="D53" s="1427"/>
      <c r="E53" s="1427"/>
      <c r="F53" s="827" t="s">
        <v>990</v>
      </c>
      <c r="G53" s="828" t="e">
        <f>#REF!</f>
        <v>#REF!</v>
      </c>
      <c r="H53" s="815"/>
      <c r="I53" s="827">
        <v>3</v>
      </c>
      <c r="J53" s="828" t="e">
        <f>#REF!</f>
        <v>#REF!</v>
      </c>
      <c r="K53" s="828" t="e">
        <f>#REF!</f>
        <v>#REF!</v>
      </c>
      <c r="L53" s="828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563"/>
      <c r="B54" s="381" t="s">
        <v>43</v>
      </c>
      <c r="C54" s="1360" t="e">
        <f>#REF!</f>
        <v>#REF!</v>
      </c>
      <c r="D54" s="1360"/>
      <c r="E54" s="1360"/>
      <c r="F54" s="418" t="s">
        <v>990</v>
      </c>
      <c r="G54" s="660" t="e">
        <f>#REF!</f>
        <v>#REF!</v>
      </c>
      <c r="H54" s="880"/>
      <c r="I54" s="418">
        <v>4</v>
      </c>
      <c r="J54" s="660" t="e">
        <f>#REF!</f>
        <v>#REF!</v>
      </c>
      <c r="K54" s="660" t="e">
        <f>#REF!</f>
        <v>#REF!</v>
      </c>
      <c r="L54" s="660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17.25" customHeight="1">
      <c r="A55" s="1126" t="s">
        <v>24</v>
      </c>
      <c r="B55" s="84" t="s">
        <v>0</v>
      </c>
      <c r="C55" s="1427" t="s">
        <v>633</v>
      </c>
      <c r="D55" s="1427"/>
      <c r="E55" s="1427"/>
      <c r="F55" s="827"/>
      <c r="G55" s="828"/>
      <c r="H55" s="815"/>
      <c r="I55" s="827"/>
      <c r="J55" s="828"/>
      <c r="K55" s="828"/>
      <c r="L55" s="828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7"/>
      <c r="B56" s="381" t="s">
        <v>43</v>
      </c>
      <c r="C56" s="1360" t="s">
        <v>633</v>
      </c>
      <c r="D56" s="1360"/>
      <c r="E56" s="1360"/>
      <c r="F56" s="418"/>
      <c r="G56" s="660"/>
      <c r="H56" s="880"/>
      <c r="I56" s="418"/>
      <c r="J56" s="660"/>
      <c r="K56" s="660"/>
      <c r="L56" s="660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6" t="s">
        <v>634</v>
      </c>
      <c r="B57" s="84" t="s">
        <v>0</v>
      </c>
      <c r="C57" s="1427" t="e">
        <f>#REF!</f>
        <v>#REF!</v>
      </c>
      <c r="D57" s="1427"/>
      <c r="E57" s="1427"/>
      <c r="F57" s="827" t="s">
        <v>775</v>
      </c>
      <c r="G57" s="828" t="e">
        <f>#REF!</f>
        <v>#REF!</v>
      </c>
      <c r="H57" s="815"/>
      <c r="I57" s="827">
        <v>5</v>
      </c>
      <c r="J57" s="828" t="e">
        <f>#REF!</f>
        <v>#REF!</v>
      </c>
      <c r="K57" s="828" t="e">
        <f>#REF!</f>
        <v>#REF!</v>
      </c>
      <c r="L57" s="828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127"/>
      <c r="B58" s="381" t="s">
        <v>43</v>
      </c>
      <c r="C58" s="1360" t="e">
        <f>#REF!</f>
        <v>#REF!</v>
      </c>
      <c r="D58" s="1360"/>
      <c r="E58" s="1360"/>
      <c r="F58" s="418" t="s">
        <v>775</v>
      </c>
      <c r="G58" s="660" t="e">
        <f>#REF!</f>
        <v>#REF!</v>
      </c>
      <c r="H58" s="880"/>
      <c r="I58" s="418">
        <v>4</v>
      </c>
      <c r="J58" s="660" t="e">
        <f>#REF!</f>
        <v>#REF!</v>
      </c>
      <c r="K58" s="660" t="e">
        <f>#REF!</f>
        <v>#REF!</v>
      </c>
      <c r="L58" s="660" t="e">
        <f>#REF!</f>
        <v>#REF!</v>
      </c>
      <c r="M58" s="816" t="e">
        <f>#REF!</f>
        <v>#REF!</v>
      </c>
      <c r="N58" s="817" t="e">
        <f>#REF!</f>
        <v>#REF!</v>
      </c>
      <c r="O58" s="1430" t="e">
        <f>#REF!</f>
        <v>#REF!</v>
      </c>
      <c r="P58" s="1431"/>
      <c r="Q58" s="1431"/>
      <c r="R58" s="1432"/>
      <c r="S58" s="822" t="e">
        <f>#REF!</f>
        <v>#REF!</v>
      </c>
    </row>
    <row r="59" spans="1:24" ht="69" customHeight="1">
      <c r="A59" s="1126" t="s">
        <v>416</v>
      </c>
      <c r="B59" s="84" t="s">
        <v>0</v>
      </c>
      <c r="C59" s="1427" t="e">
        <f>#REF!</f>
        <v>#REF!</v>
      </c>
      <c r="D59" s="1427"/>
      <c r="E59" s="1427"/>
      <c r="F59" s="827" t="s">
        <v>1083</v>
      </c>
      <c r="G59" s="828" t="e">
        <f>#REF!</f>
        <v>#REF!</v>
      </c>
      <c r="H59" s="815"/>
      <c r="I59" s="827">
        <v>3</v>
      </c>
      <c r="J59" s="828" t="e">
        <f>#REF!</f>
        <v>#REF!</v>
      </c>
      <c r="K59" s="828" t="e">
        <f>#REF!</f>
        <v>#REF!</v>
      </c>
      <c r="L59" s="828" t="e">
        <f>#REF!</f>
        <v>#REF!</v>
      </c>
      <c r="M59" s="816" t="e">
        <f>#REF!</f>
        <v>#REF!</v>
      </c>
      <c r="N59" s="818" t="e">
        <f>#REF!</f>
        <v>#REF!</v>
      </c>
      <c r="O59" s="1333" t="e">
        <f>#REF!</f>
        <v>#REF!</v>
      </c>
      <c r="P59" s="1334"/>
      <c r="Q59" s="1334"/>
      <c r="R59" s="1335"/>
      <c r="S59" s="855" t="e">
        <f>#REF!</f>
        <v>#REF!</v>
      </c>
    </row>
    <row r="60" spans="1:24" ht="51.75" customHeight="1">
      <c r="A60" s="1189"/>
      <c r="B60" s="381" t="s">
        <v>43</v>
      </c>
      <c r="C60" s="1360" t="e">
        <f>#REF!</f>
        <v>#REF!</v>
      </c>
      <c r="D60" s="1360"/>
      <c r="E60" s="1360"/>
      <c r="F60" s="418" t="s">
        <v>1083</v>
      </c>
      <c r="G60" s="660" t="e">
        <f>#REF!</f>
        <v>#REF!</v>
      </c>
      <c r="H60" s="880"/>
      <c r="I60" s="418">
        <v>1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8" t="e">
        <f>#REF!</f>
        <v>#REF!</v>
      </c>
      <c r="O60" s="1333" t="e">
        <f>#REF!</f>
        <v>#REF!</v>
      </c>
      <c r="P60" s="1334"/>
      <c r="Q60" s="1334"/>
      <c r="R60" s="1335"/>
      <c r="S60" s="855" t="e">
        <f>#REF!</f>
        <v>#REF!</v>
      </c>
    </row>
    <row r="61" spans="1:24" ht="17.25" customHeight="1">
      <c r="A61" s="1126" t="s">
        <v>635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6" t="s">
        <v>636</v>
      </c>
      <c r="B63" s="84" t="s">
        <v>0</v>
      </c>
      <c r="C63" s="1427" t="e">
        <f>#REF!</f>
        <v>#REF!</v>
      </c>
      <c r="D63" s="1427"/>
      <c r="E63" s="1427"/>
      <c r="F63" s="827" t="s">
        <v>991</v>
      </c>
      <c r="G63" s="828" t="e">
        <f>#REF!</f>
        <v>#REF!</v>
      </c>
      <c r="H63" s="815"/>
      <c r="I63" s="827">
        <v>0</v>
      </c>
      <c r="J63" s="828" t="e">
        <f>#REF!</f>
        <v>#REF!</v>
      </c>
      <c r="K63" s="828" t="e">
        <f>#REF!</f>
        <v>#REF!</v>
      </c>
      <c r="L63" s="828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48" t="e">
        <f>#REF!</f>
        <v>#REF!</v>
      </c>
    </row>
    <row r="64" spans="1:24" ht="17.25" customHeight="1">
      <c r="A64" s="1127"/>
      <c r="B64" s="381" t="s">
        <v>43</v>
      </c>
      <c r="C64" s="1360" t="s">
        <v>633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21"/>
    </row>
    <row r="65" spans="1:79" ht="17.25" customHeight="1">
      <c r="A65" s="831"/>
      <c r="B65" s="841"/>
      <c r="C65" s="882"/>
      <c r="D65" s="883"/>
      <c r="E65" s="884"/>
      <c r="F65" s="827"/>
      <c r="G65" s="828"/>
      <c r="H65" s="815"/>
      <c r="I65" s="827"/>
      <c r="J65" s="832" t="s">
        <v>666</v>
      </c>
      <c r="K65" s="836" t="e">
        <f>SUM(K49:K64)</f>
        <v>#REF!</v>
      </c>
      <c r="L65" s="839"/>
      <c r="M65" s="816"/>
      <c r="N65" s="817"/>
      <c r="O65" s="1433"/>
      <c r="P65" s="1434"/>
      <c r="Q65" s="1434"/>
      <c r="R65" s="1435"/>
      <c r="S65" s="811"/>
    </row>
    <row r="66" spans="1:79" ht="17.25" customHeight="1">
      <c r="A66" s="1568" t="s">
        <v>25</v>
      </c>
      <c r="B66" s="84" t="s">
        <v>0</v>
      </c>
      <c r="C66" s="1427" t="s">
        <v>633</v>
      </c>
      <c r="D66" s="1427"/>
      <c r="E66" s="1427"/>
      <c r="F66" s="827"/>
      <c r="G66" s="828"/>
      <c r="H66" s="815"/>
      <c r="I66" s="827"/>
      <c r="J66" s="828"/>
      <c r="K66" s="828"/>
      <c r="L66" s="828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570"/>
      <c r="B67" s="381" t="s">
        <v>43</v>
      </c>
      <c r="C67" s="1360" t="s">
        <v>633</v>
      </c>
      <c r="D67" s="1360"/>
      <c r="E67" s="1360"/>
      <c r="F67" s="418"/>
      <c r="G67" s="660"/>
      <c r="H67" s="880"/>
      <c r="I67" s="418"/>
      <c r="J67" s="660"/>
      <c r="K67" s="660"/>
      <c r="L67" s="660"/>
      <c r="M67" s="659"/>
      <c r="N67" s="415"/>
      <c r="O67" s="1437"/>
      <c r="P67" s="1438"/>
      <c r="Q67" s="1438"/>
      <c r="R67" s="1439"/>
      <c r="S67" s="876"/>
    </row>
    <row r="68" spans="1:79" ht="35.25" customHeight="1">
      <c r="A68" s="1126" t="s">
        <v>62</v>
      </c>
      <c r="B68" s="84" t="s">
        <v>0</v>
      </c>
      <c r="C68" s="1427" t="e">
        <f>#REF!</f>
        <v>#REF!</v>
      </c>
      <c r="D68" s="1427"/>
      <c r="E68" s="1427"/>
      <c r="F68" s="827" t="s">
        <v>1041</v>
      </c>
      <c r="G68" s="828" t="e">
        <f>#REF!</f>
        <v>#REF!</v>
      </c>
      <c r="H68" s="815"/>
      <c r="I68" s="827">
        <v>3</v>
      </c>
      <c r="J68" s="828" t="e">
        <f>#REF!</f>
        <v>#REF!</v>
      </c>
      <c r="K68" s="828" t="e">
        <f>#REF!</f>
        <v>#REF!</v>
      </c>
      <c r="L68" s="828" t="e">
        <f>#REF!</f>
        <v>#REF!</v>
      </c>
      <c r="M68" s="659" t="e">
        <f>#REF!</f>
        <v>#REF!</v>
      </c>
      <c r="N68" s="415" t="e">
        <f>#REF!</f>
        <v>#REF!</v>
      </c>
      <c r="O68" s="1549" t="e">
        <f>#REF!</f>
        <v>#REF!</v>
      </c>
      <c r="P68" s="1550"/>
      <c r="Q68" s="1550"/>
      <c r="R68" s="1551"/>
      <c r="S68" s="893" t="e">
        <f>#REF!</f>
        <v>#REF!</v>
      </c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27"/>
      <c r="B69" s="381" t="s">
        <v>43</v>
      </c>
      <c r="C69" s="1360" t="e">
        <f>#REF!</f>
        <v>#REF!</v>
      </c>
      <c r="D69" s="1360"/>
      <c r="E69" s="1360"/>
      <c r="F69" s="418" t="s">
        <v>1084</v>
      </c>
      <c r="G69" s="660" t="e">
        <f>#REF!</f>
        <v>#REF!</v>
      </c>
      <c r="H69" s="880"/>
      <c r="I69" s="418">
        <v>4</v>
      </c>
      <c r="J69" s="660" t="e">
        <f>#REF!</f>
        <v>#REF!</v>
      </c>
      <c r="K69" s="660" t="e">
        <f>#REF!</f>
        <v>#REF!</v>
      </c>
      <c r="L69" s="660" t="e">
        <f>#REF!</f>
        <v>#REF!</v>
      </c>
      <c r="M69" s="659" t="e">
        <f>#REF!</f>
        <v>#REF!</v>
      </c>
      <c r="N69" s="415" t="e">
        <f>#REF!</f>
        <v>#REF!</v>
      </c>
      <c r="O69" s="1549" t="e">
        <f>#REF!</f>
        <v>#REF!</v>
      </c>
      <c r="P69" s="1550"/>
      <c r="Q69" s="1550"/>
      <c r="R69" s="1551"/>
      <c r="S69" s="893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126" t="s">
        <v>640</v>
      </c>
      <c r="B70" s="84" t="s">
        <v>0</v>
      </c>
      <c r="C70" s="1427" t="e">
        <f>#REF!</f>
        <v>#REF!</v>
      </c>
      <c r="D70" s="1427"/>
      <c r="E70" s="1427"/>
      <c r="F70" s="827" t="s">
        <v>1085</v>
      </c>
      <c r="G70" s="828" t="e">
        <f>#REF!</f>
        <v>#REF!</v>
      </c>
      <c r="H70" s="815"/>
      <c r="I70" s="827">
        <v>3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17.25" customHeight="1">
      <c r="A71" s="1189"/>
      <c r="B71" s="881" t="s">
        <v>43</v>
      </c>
      <c r="C71" s="1360" t="s">
        <v>633</v>
      </c>
      <c r="D71" s="1360"/>
      <c r="E71" s="1360"/>
      <c r="F71" s="418"/>
      <c r="G71" s="660"/>
      <c r="H71" s="880"/>
      <c r="I71" s="418"/>
      <c r="J71" s="660"/>
      <c r="K71" s="660"/>
      <c r="L71" s="660"/>
      <c r="M71" s="659"/>
      <c r="N71" s="658"/>
      <c r="O71" s="1437"/>
      <c r="P71" s="1438"/>
      <c r="Q71" s="1438"/>
      <c r="R71" s="1439"/>
      <c r="S71" s="823"/>
    </row>
    <row r="72" spans="1:79" ht="53.25" customHeight="1">
      <c r="A72" s="1440" t="s">
        <v>26</v>
      </c>
      <c r="B72" s="84" t="s">
        <v>0</v>
      </c>
      <c r="C72" s="1427" t="e">
        <f>#REF!</f>
        <v>#REF!</v>
      </c>
      <c r="D72" s="1427"/>
      <c r="E72" s="1427"/>
      <c r="F72" s="827" t="s">
        <v>948</v>
      </c>
      <c r="G72" s="828" t="e">
        <f>#REF!</f>
        <v>#REF!</v>
      </c>
      <c r="H72" s="815"/>
      <c r="I72" s="827">
        <v>5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1"/>
      <c r="B73" s="881" t="s">
        <v>43</v>
      </c>
      <c r="C73" s="1360" t="e">
        <f>#REF!</f>
        <v>#REF!</v>
      </c>
      <c r="D73" s="1360"/>
      <c r="E73" s="1360"/>
      <c r="F73" s="418" t="s">
        <v>948</v>
      </c>
      <c r="G73" s="660" t="e">
        <f>#REF!</f>
        <v>#REF!</v>
      </c>
      <c r="H73" s="880"/>
      <c r="I73" s="418">
        <v>4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s">
        <v>633</v>
      </c>
      <c r="D74" s="1427"/>
      <c r="E74" s="1427"/>
      <c r="F74" s="827"/>
      <c r="G74" s="828"/>
      <c r="H74" s="815"/>
      <c r="I74" s="827"/>
      <c r="J74" s="828"/>
      <c r="K74" s="828"/>
      <c r="L74" s="828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547"/>
      <c r="B75" s="881" t="s">
        <v>43</v>
      </c>
      <c r="C75" s="1360" t="s">
        <v>633</v>
      </c>
      <c r="D75" s="1360"/>
      <c r="E75" s="1360"/>
      <c r="F75" s="418"/>
      <c r="G75" s="660"/>
      <c r="H75" s="880"/>
      <c r="I75" s="418"/>
      <c r="J75" s="660"/>
      <c r="K75" s="660"/>
      <c r="L75" s="660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816"/>
      <c r="N78" s="415"/>
      <c r="O78" s="1437"/>
      <c r="P78" s="1438"/>
      <c r="Q78" s="1438"/>
      <c r="R78" s="1439"/>
      <c r="S78" s="82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643</v>
      </c>
      <c r="B80" s="84" t="s">
        <v>0</v>
      </c>
      <c r="C80" s="1427" t="e">
        <f>#REF!</f>
        <v>#REF!</v>
      </c>
      <c r="D80" s="1427"/>
      <c r="E80" s="1427"/>
      <c r="F80" s="827" t="s">
        <v>735</v>
      </c>
      <c r="G80" s="828" t="e">
        <f>#REF!</f>
        <v>#REF!</v>
      </c>
      <c r="H80" s="815"/>
      <c r="I80" s="827">
        <v>7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659" t="e">
        <f>#REF!</f>
        <v>#REF!</v>
      </c>
      <c r="N80" s="415" t="e">
        <f>#REF!</f>
        <v>#REF!</v>
      </c>
      <c r="O80" s="1554" t="e">
        <f>#REF!</f>
        <v>#REF!</v>
      </c>
      <c r="P80" s="1555"/>
      <c r="Q80" s="1555"/>
      <c r="R80" s="1556"/>
      <c r="S80" s="1517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89"/>
      <c r="B81" s="84" t="s">
        <v>0</v>
      </c>
      <c r="C81" s="1427" t="e">
        <f>#REF!</f>
        <v>#REF!</v>
      </c>
      <c r="D81" s="1427"/>
      <c r="E81" s="1427"/>
      <c r="F81" s="827" t="s">
        <v>735</v>
      </c>
      <c r="G81" s="828" t="e">
        <f>#REF!</f>
        <v>#REF!</v>
      </c>
      <c r="H81" s="815"/>
      <c r="I81" s="827">
        <v>2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659" t="e">
        <f>#REF!</f>
        <v>#REF!</v>
      </c>
      <c r="N81" s="415" t="e">
        <f>#REF!</f>
        <v>#REF!</v>
      </c>
      <c r="O81" s="1549" t="e">
        <f>#REF!</f>
        <v>#REF!</v>
      </c>
      <c r="P81" s="1550"/>
      <c r="Q81" s="1550"/>
      <c r="R81" s="1551"/>
      <c r="S81" s="1518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7"/>
      <c r="B82" s="881" t="s">
        <v>43</v>
      </c>
      <c r="C82" s="1360" t="e">
        <f>#REF!</f>
        <v>#REF!</v>
      </c>
      <c r="D82" s="1360"/>
      <c r="E82" s="1360"/>
      <c r="F82" s="418" t="s">
        <v>735</v>
      </c>
      <c r="G82" s="660" t="e">
        <f>#REF!</f>
        <v>#REF!</v>
      </c>
      <c r="H82" s="880"/>
      <c r="I82" s="418">
        <v>10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659" t="e">
        <f>#REF!</f>
        <v>#REF!</v>
      </c>
      <c r="N82" s="415" t="e">
        <f>#REF!</f>
        <v>#REF!</v>
      </c>
      <c r="O82" s="1437" t="e">
        <f>#REF!</f>
        <v>#REF!</v>
      </c>
      <c r="P82" s="1438"/>
      <c r="Q82" s="1438"/>
      <c r="R82" s="1439"/>
      <c r="S82" s="848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651</v>
      </c>
      <c r="B83" s="84" t="s">
        <v>0</v>
      </c>
      <c r="C83" s="1427" t="e">
        <f>#REF!</f>
        <v>#REF!</v>
      </c>
      <c r="D83" s="1427"/>
      <c r="E83" s="1427"/>
      <c r="F83" s="827" t="s">
        <v>828</v>
      </c>
      <c r="G83" s="828" t="e">
        <f>#REF!</f>
        <v>#REF!</v>
      </c>
      <c r="H83" s="815"/>
      <c r="I83" s="827">
        <v>10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/>
      <c r="P83" s="1438"/>
      <c r="Q83" s="1438"/>
      <c r="R83" s="1439"/>
      <c r="S83" s="823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89"/>
      <c r="B84" s="881" t="s">
        <v>43</v>
      </c>
      <c r="C84" s="1360" t="e">
        <f>#REF!</f>
        <v>#REF!</v>
      </c>
      <c r="D84" s="1360"/>
      <c r="E84" s="1360"/>
      <c r="F84" s="418" t="s">
        <v>828</v>
      </c>
      <c r="G84" s="660" t="e">
        <f>#REF!</f>
        <v>#REF!</v>
      </c>
      <c r="H84" s="880"/>
      <c r="I84" s="418">
        <v>1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554" t="e">
        <f>#REF!</f>
        <v>#REF!</v>
      </c>
      <c r="P84" s="1555"/>
      <c r="Q84" s="1555"/>
      <c r="R84" s="1556"/>
      <c r="S84" s="1552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27"/>
      <c r="B85" s="881" t="s">
        <v>43</v>
      </c>
      <c r="C85" s="1360" t="e">
        <f>#REF!</f>
        <v>#REF!</v>
      </c>
      <c r="D85" s="1360"/>
      <c r="E85" s="1360"/>
      <c r="F85" s="418" t="s">
        <v>828</v>
      </c>
      <c r="G85" s="660" t="e">
        <f>#REF!</f>
        <v>#REF!</v>
      </c>
      <c r="H85" s="880"/>
      <c r="I85" s="418">
        <v>9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659" t="e">
        <f>#REF!</f>
        <v>#REF!</v>
      </c>
      <c r="N85" s="415" t="e">
        <f>#REF!</f>
        <v>#REF!</v>
      </c>
      <c r="O85" s="1549" t="e">
        <f>#REF!</f>
        <v>#REF!</v>
      </c>
      <c r="P85" s="1550"/>
      <c r="Q85" s="1550"/>
      <c r="R85" s="1551"/>
      <c r="S85" s="155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SUM(K66:K85)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印401!I41</f>
        <v>0</v>
      </c>
      <c r="D88" s="1290"/>
      <c r="E88" s="1290"/>
      <c r="F88" s="1290"/>
      <c r="G88" s="1290"/>
      <c r="H88" s="849"/>
      <c r="I88" s="849">
        <f>印401!R41</f>
        <v>0</v>
      </c>
      <c r="J88" s="852">
        <f>印401!S41</f>
        <v>0</v>
      </c>
      <c r="K88" s="872">
        <f>印401!L41</f>
        <v>0</v>
      </c>
      <c r="L88" s="873">
        <f>印401!N41</f>
        <v>0</v>
      </c>
      <c r="M88" s="852">
        <f>印401!P41</f>
        <v>0</v>
      </c>
      <c r="N88" s="853">
        <f>印401!Q41</f>
        <v>0</v>
      </c>
      <c r="O88" s="1451"/>
      <c r="P88" s="1452"/>
      <c r="Q88" s="1452"/>
      <c r="R88" s="1453"/>
      <c r="S88" s="874">
        <f>印401!AB41</f>
        <v>0</v>
      </c>
    </row>
    <row r="89" spans="1:79" ht="18" customHeight="1">
      <c r="A89" s="1165"/>
      <c r="B89" s="881" t="s">
        <v>43</v>
      </c>
      <c r="C89" s="1454" t="e">
        <f>印401!#REF!</f>
        <v>#REF!</v>
      </c>
      <c r="D89" s="1454"/>
      <c r="E89" s="1454"/>
      <c r="F89" s="1454"/>
      <c r="G89" s="1454"/>
      <c r="H89" s="664"/>
      <c r="I89" s="664" t="e">
        <f>印401!#REF!</f>
        <v>#REF!</v>
      </c>
      <c r="J89" s="840" t="e">
        <f>印401!#REF!</f>
        <v>#REF!</v>
      </c>
      <c r="K89" s="424" t="e">
        <f>印401!#REF!</f>
        <v>#REF!</v>
      </c>
      <c r="L89" s="830" t="e">
        <f>印401!#REF!</f>
        <v>#REF!</v>
      </c>
      <c r="M89" s="840" t="e">
        <f>印401!#REF!</f>
        <v>#REF!</v>
      </c>
      <c r="N89" s="672" t="e">
        <f>印401!#REF!</f>
        <v>#REF!</v>
      </c>
      <c r="O89" s="1455"/>
      <c r="P89" s="1456"/>
      <c r="Q89" s="1456"/>
      <c r="R89" s="1457"/>
      <c r="S89" s="810" t="e">
        <f>印401!#REF!</f>
        <v>#REF!</v>
      </c>
    </row>
    <row r="90" spans="1:79" ht="18" customHeight="1">
      <c r="A90" s="1461">
        <v>402</v>
      </c>
      <c r="B90" s="84" t="s">
        <v>205</v>
      </c>
      <c r="C90" s="1290" t="s">
        <v>633</v>
      </c>
      <c r="D90" s="1290"/>
      <c r="E90" s="1290"/>
      <c r="F90" s="1290"/>
      <c r="G90" s="1290"/>
      <c r="H90" s="849"/>
      <c r="I90" s="849"/>
      <c r="J90" s="852"/>
      <c r="K90" s="872"/>
      <c r="L90" s="873"/>
      <c r="M90" s="852"/>
      <c r="N90" s="853"/>
      <c r="O90" s="1451"/>
      <c r="P90" s="1452"/>
      <c r="Q90" s="1452"/>
      <c r="R90" s="1453"/>
      <c r="S90" s="874"/>
    </row>
    <row r="91" spans="1:79" ht="18" customHeight="1">
      <c r="A91" s="1462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7.25" customHeight="1">
      <c r="A92" s="1466">
        <v>403</v>
      </c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533"/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533"/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467"/>
      <c r="B95" s="881" t="s">
        <v>43</v>
      </c>
      <c r="C95" s="1454" t="e">
        <f>#REF!</f>
        <v>#REF!</v>
      </c>
      <c r="D95" s="1454"/>
      <c r="E95" s="1454"/>
      <c r="F95" s="1454"/>
      <c r="G95" s="1454"/>
      <c r="H95" s="664"/>
      <c r="I95" s="664" t="e">
        <f>#REF!</f>
        <v>#REF!</v>
      </c>
      <c r="J95" s="840" t="e">
        <f>#REF!</f>
        <v>#REF!</v>
      </c>
      <c r="K95" s="424" t="e">
        <f>#REF!</f>
        <v>#REF!</v>
      </c>
      <c r="L95" s="840" t="e">
        <f>#REF!</f>
        <v>#REF!</v>
      </c>
      <c r="M95" s="840" t="e">
        <f>#REF!</f>
        <v>#REF!</v>
      </c>
      <c r="N95" s="672" t="e">
        <f>#REF!</f>
        <v>#REF!</v>
      </c>
      <c r="O95" s="1455"/>
      <c r="P95" s="1456"/>
      <c r="Q95" s="1456"/>
      <c r="R95" s="1457"/>
      <c r="S95" s="810" t="e">
        <f>#REF!</f>
        <v>#REF!</v>
      </c>
    </row>
    <row r="96" spans="1:79" ht="18" customHeight="1">
      <c r="A96" s="1199">
        <v>405</v>
      </c>
      <c r="B96" s="84" t="s">
        <v>0</v>
      </c>
      <c r="C96" s="1282" t="e">
        <f>#REF!</f>
        <v>#REF!</v>
      </c>
      <c r="D96" s="1283"/>
      <c r="E96" s="1283"/>
      <c r="F96" s="1283"/>
      <c r="G96" s="1468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165"/>
      <c r="B97" s="881" t="s">
        <v>43</v>
      </c>
      <c r="C97" s="1572" t="e">
        <f>#REF!</f>
        <v>#REF!</v>
      </c>
      <c r="D97" s="1573"/>
      <c r="E97" s="1573"/>
      <c r="F97" s="1573"/>
      <c r="G97" s="1574"/>
      <c r="H97" s="664"/>
      <c r="I97" s="664" t="e">
        <f>#REF!</f>
        <v>#REF!</v>
      </c>
      <c r="J97" s="840" t="e">
        <f>#REF!</f>
        <v>#REF!</v>
      </c>
      <c r="K97" s="424" t="e">
        <f>#REF!</f>
        <v>#REF!</v>
      </c>
      <c r="L97" s="840" t="e">
        <f>#REF!</f>
        <v>#REF!</v>
      </c>
      <c r="M97" s="840" t="e">
        <f>#REF!</f>
        <v>#REF!</v>
      </c>
      <c r="N97" s="672" t="e">
        <f>#REF!</f>
        <v>#REF!</v>
      </c>
      <c r="O97" s="1455"/>
      <c r="P97" s="1456"/>
      <c r="Q97" s="1456"/>
      <c r="R97" s="1457"/>
      <c r="S97" s="810" t="e">
        <f>#REF!</f>
        <v>#REF!</v>
      </c>
    </row>
    <row r="98" spans="1:19" ht="18" customHeight="1">
      <c r="A98" s="314"/>
      <c r="B98" s="841"/>
      <c r="C98" s="1458"/>
      <c r="D98" s="1459"/>
      <c r="E98" s="1459"/>
      <c r="F98" s="1459"/>
      <c r="G98" s="1460"/>
      <c r="H98" s="849"/>
      <c r="I98" s="849"/>
      <c r="J98" s="834" t="s">
        <v>666</v>
      </c>
      <c r="K98" s="835" t="e">
        <f>SUM(K88:K97)</f>
        <v>#REF!</v>
      </c>
      <c r="L98" s="852"/>
      <c r="M98" s="852"/>
      <c r="N98" s="853"/>
      <c r="O98" s="886"/>
      <c r="P98" s="887"/>
      <c r="Q98" s="887"/>
      <c r="R98" s="888"/>
      <c r="S98" s="854"/>
    </row>
    <row r="99" spans="1:19" s="76" customFormat="1" ht="31.7" hidden="1" customHeight="1">
      <c r="A99" s="400" t="s">
        <v>425</v>
      </c>
      <c r="B99" s="400" t="s">
        <v>193</v>
      </c>
      <c r="C99" s="1282" t="e">
        <f>[1]印403!J91</f>
        <v>#REF!</v>
      </c>
      <c r="D99" s="1283"/>
      <c r="E99" s="1283"/>
      <c r="F99" s="1283"/>
      <c r="G99" s="1468"/>
      <c r="H99" s="242" t="s">
        <v>216</v>
      </c>
      <c r="I99" s="242" t="s">
        <v>12</v>
      </c>
      <c r="J99" s="242" t="s">
        <v>13</v>
      </c>
      <c r="K99" s="405" t="s">
        <v>218</v>
      </c>
      <c r="L99" s="427" t="s">
        <v>60</v>
      </c>
      <c r="M99" s="399" t="e">
        <f>[1]印403!O90</f>
        <v>#REF!</v>
      </c>
      <c r="N99" s="257" t="s">
        <v>45</v>
      </c>
      <c r="O99" s="1448" t="s">
        <v>29</v>
      </c>
      <c r="P99" s="1449"/>
      <c r="Q99" s="1449"/>
      <c r="R99" s="1450"/>
      <c r="S99" s="417" t="s">
        <v>57</v>
      </c>
    </row>
    <row r="100" spans="1:19" ht="15" hidden="1" customHeight="1">
      <c r="A100" s="1199" t="s">
        <v>426</v>
      </c>
      <c r="B100" s="84" t="s">
        <v>205</v>
      </c>
      <c r="C100" s="1282" t="e">
        <f>[1]印403!J92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[1]印403!O91</f>
        <v>#REF!</v>
      </c>
      <c r="N100" s="399"/>
      <c r="O100" s="1469"/>
      <c r="P100" s="1245"/>
      <c r="Q100" s="1245"/>
      <c r="R100" s="1246"/>
      <c r="S100" s="1470"/>
    </row>
    <row r="101" spans="1:19" ht="13.7" hidden="1" customHeight="1">
      <c r="A101" s="1216"/>
      <c r="B101" s="84" t="s">
        <v>205</v>
      </c>
      <c r="C101" s="1282" t="e">
        <f>[1]印403!J93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[1]印403!O92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[1]印403!J94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[1]印403!O93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[1]印403!J95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[1]印403!O94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[1]印403!J96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[1]印403!O95</f>
        <v>#REF!</v>
      </c>
      <c r="N104" s="425"/>
      <c r="O104" s="669"/>
      <c r="P104" s="670"/>
      <c r="Q104" s="670"/>
      <c r="R104" s="671"/>
      <c r="S104" s="1471"/>
    </row>
    <row r="105" spans="1:19" ht="16.5" hidden="1" customHeight="1">
      <c r="A105" s="1216"/>
      <c r="B105" s="881" t="s">
        <v>43</v>
      </c>
      <c r="C105" s="1282" t="e">
        <f>[1]印403!J97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[1]印403!O96</f>
        <v>#REF!</v>
      </c>
      <c r="N105" s="672"/>
      <c r="O105" s="1476"/>
      <c r="P105" s="1477"/>
      <c r="Q105" s="1477"/>
      <c r="R105" s="1478"/>
      <c r="S105" s="1485"/>
    </row>
    <row r="106" spans="1:19" ht="15" hidden="1" customHeight="1">
      <c r="A106" s="1216"/>
      <c r="B106" s="881" t="s">
        <v>43</v>
      </c>
      <c r="C106" s="1282" t="e">
        <f>[1]印403!J98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[1]印403!O97</f>
        <v>#REF!</v>
      </c>
      <c r="N106" s="672"/>
      <c r="O106" s="1479"/>
      <c r="P106" s="1480"/>
      <c r="Q106" s="1480"/>
      <c r="R106" s="1481"/>
      <c r="S106" s="1485"/>
    </row>
    <row r="107" spans="1:19" ht="15" hidden="1" customHeight="1">
      <c r="A107" s="1216"/>
      <c r="B107" s="881" t="s">
        <v>43</v>
      </c>
      <c r="C107" s="1282" t="e">
        <f>[1]印403!J99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[1]印403!O98</f>
        <v>#REF!</v>
      </c>
      <c r="N107" s="672"/>
      <c r="O107" s="1479"/>
      <c r="P107" s="1480"/>
      <c r="Q107" s="1480"/>
      <c r="R107" s="1481"/>
      <c r="S107" s="1485"/>
    </row>
    <row r="108" spans="1:19" ht="15" hidden="1" customHeight="1">
      <c r="A108" s="1165"/>
      <c r="B108" s="881" t="s">
        <v>43</v>
      </c>
      <c r="C108" s="1282" t="e">
        <f>[1]印403!J100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[1]印403!O99</f>
        <v>#REF!</v>
      </c>
      <c r="N108" s="672"/>
      <c r="O108" s="1482"/>
      <c r="P108" s="1483"/>
      <c r="Q108" s="1483"/>
      <c r="R108" s="1484"/>
      <c r="S108" s="1486"/>
    </row>
    <row r="109" spans="1:19" ht="6" customHeight="1">
      <c r="A109" s="248"/>
      <c r="C109" s="249"/>
    </row>
    <row r="110" spans="1:19" ht="6" customHeight="1" thickBot="1">
      <c r="A110" s="248"/>
      <c r="C110" s="249"/>
    </row>
    <row r="111" spans="1:19" ht="15" customHeight="1" thickTop="1">
      <c r="A111" s="1472" t="s">
        <v>30</v>
      </c>
      <c r="B111" s="1473"/>
      <c r="C111" s="1473"/>
      <c r="D111" s="1473"/>
      <c r="E111" s="376">
        <v>940400</v>
      </c>
      <c r="F111" s="75" t="s">
        <v>64</v>
      </c>
      <c r="G111" s="1472" t="s">
        <v>31</v>
      </c>
      <c r="H111" s="1473"/>
      <c r="I111" s="1473"/>
      <c r="J111" s="1473"/>
      <c r="K111" s="1473"/>
      <c r="L111" s="377">
        <v>570000</v>
      </c>
      <c r="M111" s="75" t="s">
        <v>64</v>
      </c>
      <c r="N111" s="1472" t="s">
        <v>32</v>
      </c>
      <c r="O111" s="1473"/>
      <c r="P111" s="1473"/>
      <c r="Q111" s="377">
        <v>1643000</v>
      </c>
      <c r="R111" s="75" t="s">
        <v>64</v>
      </c>
      <c r="S111" s="75"/>
    </row>
    <row r="112" spans="1:19" ht="15" customHeight="1" thickBot="1">
      <c r="A112" s="1474" t="s">
        <v>66</v>
      </c>
      <c r="B112" s="1475"/>
      <c r="C112" s="1475"/>
      <c r="D112" s="1475"/>
      <c r="E112" s="674">
        <f>(130+27)*1000</f>
        <v>157000</v>
      </c>
      <c r="G112" s="1474" t="s">
        <v>66</v>
      </c>
      <c r="H112" s="1475"/>
      <c r="I112" s="1475"/>
      <c r="J112" s="1475"/>
      <c r="K112" s="1475"/>
      <c r="L112" s="674">
        <v>0</v>
      </c>
      <c r="N112" s="1474" t="s">
        <v>33</v>
      </c>
      <c r="O112" s="1475"/>
      <c r="P112" s="1475"/>
      <c r="Q112" s="674">
        <f>(26*1000)+((60+60+32)*500)</f>
        <v>102000</v>
      </c>
      <c r="R112" s="75"/>
      <c r="S112" s="75"/>
    </row>
    <row r="113" spans="1:20" ht="15" customHeight="1" thickTop="1" thickBot="1">
      <c r="A113" s="1487" t="s">
        <v>34</v>
      </c>
      <c r="B113" s="1488"/>
      <c r="C113" s="1488"/>
      <c r="D113" s="1488"/>
      <c r="E113" s="378">
        <f>E111+E112</f>
        <v>1097400</v>
      </c>
      <c r="F113" s="75" t="s">
        <v>64</v>
      </c>
      <c r="G113" s="1487" t="s">
        <v>35</v>
      </c>
      <c r="H113" s="1488"/>
      <c r="I113" s="1488"/>
      <c r="J113" s="1488"/>
      <c r="K113" s="1488"/>
      <c r="L113" s="379">
        <f>L111+L112</f>
        <v>570000</v>
      </c>
      <c r="M113" s="75" t="s">
        <v>64</v>
      </c>
      <c r="N113" s="1487" t="s">
        <v>36</v>
      </c>
      <c r="O113" s="1488"/>
      <c r="P113" s="1488"/>
      <c r="Q113" s="379">
        <f>Q111+Q112</f>
        <v>1745000</v>
      </c>
      <c r="R113" s="75" t="s">
        <v>64</v>
      </c>
      <c r="S113" s="75"/>
    </row>
    <row r="114" spans="1:20" ht="15" customHeight="1" thickTop="1" thickBot="1">
      <c r="E114" s="252">
        <f>印401!M64</f>
        <v>0</v>
      </c>
      <c r="L114" s="675" t="e">
        <f>#REF!</f>
        <v>#REF!</v>
      </c>
      <c r="O114" s="75"/>
      <c r="P114" s="75"/>
      <c r="Q114" s="675" t="e">
        <f>#REF!</f>
        <v>#REF!</v>
      </c>
      <c r="R114" s="75"/>
      <c r="S114" s="75"/>
    </row>
    <row r="115" spans="1:20" ht="15" customHeight="1" thickBot="1">
      <c r="A115" s="676" t="s">
        <v>37</v>
      </c>
      <c r="B115" s="677"/>
      <c r="C115" s="677"/>
      <c r="D115" s="678"/>
      <c r="E115" s="253">
        <f>印401!P64</f>
        <v>0</v>
      </c>
      <c r="F115" s="75" t="s">
        <v>64</v>
      </c>
      <c r="G115" s="676" t="s">
        <v>38</v>
      </c>
      <c r="H115" s="677"/>
      <c r="I115" s="677"/>
      <c r="J115" s="677"/>
      <c r="K115" s="677"/>
      <c r="L115" s="384" t="e">
        <f>#REF!</f>
        <v>#REF!</v>
      </c>
      <c r="M115" s="75" t="s">
        <v>64</v>
      </c>
      <c r="N115" s="676" t="s">
        <v>39</v>
      </c>
      <c r="O115" s="677"/>
      <c r="P115" s="677"/>
      <c r="Q115" s="384" t="e">
        <f>#REF!</f>
        <v>#REF!</v>
      </c>
      <c r="R115" s="75" t="s">
        <v>64</v>
      </c>
      <c r="S115" s="75"/>
    </row>
    <row r="116" spans="1:20" ht="3" customHeight="1" thickBot="1">
      <c r="J116" s="255"/>
      <c r="K116" s="256"/>
    </row>
    <row r="117" spans="1:20" ht="15" customHeight="1" thickTop="1">
      <c r="B117" s="1509" t="s">
        <v>69</v>
      </c>
      <c r="C117" s="1510"/>
      <c r="D117" s="1511" t="s">
        <v>305</v>
      </c>
      <c r="E117" s="1512"/>
      <c r="F117" s="1489" t="s">
        <v>306</v>
      </c>
      <c r="G117" s="1490"/>
      <c r="H117" s="1491" t="s">
        <v>307</v>
      </c>
      <c r="I117" s="1492"/>
      <c r="J117" s="1492"/>
      <c r="K117" s="1493"/>
      <c r="L117" s="1472" t="s">
        <v>657</v>
      </c>
      <c r="M117" s="1473"/>
      <c r="N117" s="1473"/>
      <c r="O117" s="377">
        <v>3057000</v>
      </c>
      <c r="P117" s="75" t="s">
        <v>64</v>
      </c>
      <c r="Q117" s="1496" t="s">
        <v>65</v>
      </c>
      <c r="R117" s="1497"/>
      <c r="S117" s="385">
        <v>31902445</v>
      </c>
    </row>
    <row r="118" spans="1:20" ht="15" customHeight="1" thickBot="1">
      <c r="B118" s="1498" t="s">
        <v>308</v>
      </c>
      <c r="C118" s="1499"/>
      <c r="D118" s="1500" t="e">
        <f>總表!D20</f>
        <v>#REF!</v>
      </c>
      <c r="E118" s="1501"/>
      <c r="F118" s="1502">
        <f>總表!E20</f>
        <v>1316871</v>
      </c>
      <c r="G118" s="1503"/>
      <c r="H118" s="1504" t="e">
        <f>(D118-F118)/D118</f>
        <v>#REF!</v>
      </c>
      <c r="I118" s="1505"/>
      <c r="J118" s="1505"/>
      <c r="K118" s="1506"/>
      <c r="L118" s="1474" t="s">
        <v>33</v>
      </c>
      <c r="M118" s="1475"/>
      <c r="N118" s="1475"/>
      <c r="O118" s="674">
        <f>(217+27)*1000</f>
        <v>244000</v>
      </c>
      <c r="P118" s="75"/>
      <c r="Q118" s="1507" t="s">
        <v>67</v>
      </c>
      <c r="R118" s="1508"/>
      <c r="S118" s="386" t="e">
        <f>SUM(L49:L85,L88:L97)</f>
        <v>#REF!</v>
      </c>
    </row>
    <row r="119" spans="1:20" ht="15" customHeight="1" thickTop="1" thickBot="1">
      <c r="B119" s="1513" t="s">
        <v>309</v>
      </c>
      <c r="C119" s="1514"/>
      <c r="D119" s="1515" t="e">
        <f>總表!C43</f>
        <v>#REF!</v>
      </c>
      <c r="E119" s="1516"/>
      <c r="F119" s="1502" t="e">
        <f>總表!F43</f>
        <v>#REF!</v>
      </c>
      <c r="G119" s="1503"/>
      <c r="H119" s="1504" t="e">
        <f>(D119-F119)/D119</f>
        <v>#REF!</v>
      </c>
      <c r="I119" s="1505"/>
      <c r="J119" s="1505"/>
      <c r="K119" s="1506"/>
      <c r="L119" s="1487" t="s">
        <v>658</v>
      </c>
      <c r="M119" s="1488"/>
      <c r="N119" s="1488"/>
      <c r="O119" s="379">
        <f>O117+O118</f>
        <v>3301000</v>
      </c>
      <c r="P119" s="75" t="s">
        <v>64</v>
      </c>
      <c r="Q119" s="1494" t="s">
        <v>68</v>
      </c>
      <c r="R119" s="1495"/>
      <c r="S119" s="387" t="e">
        <f>S117+S118</f>
        <v>#REF!</v>
      </c>
    </row>
    <row r="120" spans="1:20" ht="14.1" customHeight="1" thickTop="1" thickBot="1">
      <c r="B120" s="250" t="s">
        <v>310</v>
      </c>
      <c r="C120" s="250"/>
      <c r="D120" s="250"/>
      <c r="E120" s="233"/>
      <c r="O120" s="675" t="e">
        <f>#REF!</f>
        <v>#REF!</v>
      </c>
      <c r="P120" s="75"/>
      <c r="Q120" s="75"/>
      <c r="R120" s="254" t="e">
        <f>總表!E43+總表!E52</f>
        <v>#REF!</v>
      </c>
      <c r="S120" s="254" t="e">
        <f>R120-S119</f>
        <v>#REF!</v>
      </c>
    </row>
    <row r="121" spans="1:20" ht="17.25" customHeight="1" thickBot="1">
      <c r="B121" s="250" t="s">
        <v>40</v>
      </c>
      <c r="C121" s="233"/>
      <c r="D121" s="233"/>
      <c r="E121" s="233"/>
      <c r="F121" s="233"/>
      <c r="L121" s="676" t="s">
        <v>659</v>
      </c>
      <c r="M121" s="677"/>
      <c r="N121" s="677"/>
      <c r="O121" s="384" t="e">
        <f>#REF!</f>
        <v>#REF!</v>
      </c>
      <c r="P121" s="75" t="s">
        <v>64</v>
      </c>
      <c r="T121" s="233"/>
    </row>
    <row r="122" spans="1:20" ht="15.75" customHeight="1">
      <c r="B122" s="75" t="s">
        <v>41</v>
      </c>
      <c r="N122" s="233"/>
      <c r="S122" s="75"/>
    </row>
  </sheetData>
  <mergeCells count="293">
    <mergeCell ref="C29:E29"/>
    <mergeCell ref="O29:R29"/>
    <mergeCell ref="A30:A36"/>
    <mergeCell ref="K22:M22"/>
    <mergeCell ref="O22:R22"/>
    <mergeCell ref="A23:A28"/>
    <mergeCell ref="A43:A48"/>
    <mergeCell ref="C43:E43"/>
    <mergeCell ref="M43:M45"/>
    <mergeCell ref="O43:R45"/>
    <mergeCell ref="A51:A52"/>
    <mergeCell ref="C51:E51"/>
    <mergeCell ref="O51:R51"/>
    <mergeCell ref="C52:E52"/>
    <mergeCell ref="O52:R52"/>
    <mergeCell ref="A49:A50"/>
    <mergeCell ref="C49:E49"/>
    <mergeCell ref="O49:R49"/>
    <mergeCell ref="A37:A42"/>
    <mergeCell ref="C37:E37"/>
    <mergeCell ref="M37:M39"/>
    <mergeCell ref="O37:R39"/>
    <mergeCell ref="A9:A10"/>
    <mergeCell ref="G15:I15"/>
    <mergeCell ref="K15:M15"/>
    <mergeCell ref="O15:R15"/>
    <mergeCell ref="G16:I16"/>
    <mergeCell ref="O16:R16"/>
    <mergeCell ref="A15:A17"/>
    <mergeCell ref="K16:M17"/>
    <mergeCell ref="G9:I9"/>
    <mergeCell ref="K9:M9"/>
    <mergeCell ref="O9:R9"/>
    <mergeCell ref="G10:I10"/>
    <mergeCell ref="K10:M10"/>
    <mergeCell ref="O10:R10"/>
    <mergeCell ref="A11:A12"/>
    <mergeCell ref="G11:I11"/>
    <mergeCell ref="K11:M11"/>
    <mergeCell ref="O11:R11"/>
    <mergeCell ref="G12:I12"/>
    <mergeCell ref="K12:M12"/>
    <mergeCell ref="O12:R12"/>
    <mergeCell ref="A13:A14"/>
    <mergeCell ref="G13:I13"/>
    <mergeCell ref="K13:M13"/>
    <mergeCell ref="B119:C119"/>
    <mergeCell ref="D119:E119"/>
    <mergeCell ref="F119:G119"/>
    <mergeCell ref="H119:K119"/>
    <mergeCell ref="L119:N119"/>
    <mergeCell ref="Q119:R119"/>
    <mergeCell ref="B118:C118"/>
    <mergeCell ref="D118:E118"/>
    <mergeCell ref="F118:G118"/>
    <mergeCell ref="H118:K118"/>
    <mergeCell ref="L118:N118"/>
    <mergeCell ref="Q118:R118"/>
    <mergeCell ref="B117:C117"/>
    <mergeCell ref="D117:E117"/>
    <mergeCell ref="F117:G117"/>
    <mergeCell ref="H117:K117"/>
    <mergeCell ref="L117:N117"/>
    <mergeCell ref="Q117:R117"/>
    <mergeCell ref="A112:D112"/>
    <mergeCell ref="G112:K112"/>
    <mergeCell ref="N112:P112"/>
    <mergeCell ref="A113:D113"/>
    <mergeCell ref="G113:K113"/>
    <mergeCell ref="N113:P113"/>
    <mergeCell ref="S105:S108"/>
    <mergeCell ref="C106:G106"/>
    <mergeCell ref="C107:G107"/>
    <mergeCell ref="A111:D111"/>
    <mergeCell ref="G111:K111"/>
    <mergeCell ref="N111:P111"/>
    <mergeCell ref="A100:A108"/>
    <mergeCell ref="C100:G100"/>
    <mergeCell ref="O100:R100"/>
    <mergeCell ref="C108:G108"/>
    <mergeCell ref="C105:G105"/>
    <mergeCell ref="O105:R108"/>
    <mergeCell ref="C93:G93"/>
    <mergeCell ref="O93:R93"/>
    <mergeCell ref="S100:S104"/>
    <mergeCell ref="C101:G101"/>
    <mergeCell ref="C102:G102"/>
    <mergeCell ref="C103:G103"/>
    <mergeCell ref="C104:G104"/>
    <mergeCell ref="C98:G98"/>
    <mergeCell ref="C99:G99"/>
    <mergeCell ref="O99:R99"/>
    <mergeCell ref="O97:R97"/>
    <mergeCell ref="O86:R86"/>
    <mergeCell ref="C87:G87"/>
    <mergeCell ref="O87:R87"/>
    <mergeCell ref="C96:G96"/>
    <mergeCell ref="O96:R96"/>
    <mergeCell ref="O88:R88"/>
    <mergeCell ref="C89:G89"/>
    <mergeCell ref="O91:R91"/>
    <mergeCell ref="A96:A97"/>
    <mergeCell ref="A90:A91"/>
    <mergeCell ref="C90:G90"/>
    <mergeCell ref="O90:R90"/>
    <mergeCell ref="C91:G91"/>
    <mergeCell ref="O89:R89"/>
    <mergeCell ref="A88:A89"/>
    <mergeCell ref="C94:G94"/>
    <mergeCell ref="O94:R94"/>
    <mergeCell ref="C88:G88"/>
    <mergeCell ref="C92:G92"/>
    <mergeCell ref="O92:R92"/>
    <mergeCell ref="C95:G95"/>
    <mergeCell ref="O95:R95"/>
    <mergeCell ref="A92:A95"/>
    <mergeCell ref="C97:G97"/>
    <mergeCell ref="A74:A75"/>
    <mergeCell ref="C74:E74"/>
    <mergeCell ref="O74:R74"/>
    <mergeCell ref="C75:E75"/>
    <mergeCell ref="O75:R75"/>
    <mergeCell ref="C80:E80"/>
    <mergeCell ref="O80:R80"/>
    <mergeCell ref="C81:E81"/>
    <mergeCell ref="O81:R81"/>
    <mergeCell ref="A76:A77"/>
    <mergeCell ref="C76:E76"/>
    <mergeCell ref="O76:R76"/>
    <mergeCell ref="C77:E77"/>
    <mergeCell ref="O77:R77"/>
    <mergeCell ref="A78:A79"/>
    <mergeCell ref="C78:E78"/>
    <mergeCell ref="O78:R78"/>
    <mergeCell ref="C79:E79"/>
    <mergeCell ref="O79:R79"/>
    <mergeCell ref="C71:E71"/>
    <mergeCell ref="A70:A71"/>
    <mergeCell ref="C70:E70"/>
    <mergeCell ref="O70:R70"/>
    <mergeCell ref="O71:R71"/>
    <mergeCell ref="A72:A73"/>
    <mergeCell ref="C73:E73"/>
    <mergeCell ref="O73:R73"/>
    <mergeCell ref="O65:R65"/>
    <mergeCell ref="A66:A67"/>
    <mergeCell ref="C66:E66"/>
    <mergeCell ref="O66:R66"/>
    <mergeCell ref="C67:E67"/>
    <mergeCell ref="O67:R67"/>
    <mergeCell ref="A68:A69"/>
    <mergeCell ref="C68:E68"/>
    <mergeCell ref="O68:R68"/>
    <mergeCell ref="C69:E69"/>
    <mergeCell ref="O69:R69"/>
    <mergeCell ref="C72:E72"/>
    <mergeCell ref="O72:R72"/>
    <mergeCell ref="A63:A64"/>
    <mergeCell ref="C63:E63"/>
    <mergeCell ref="O63:R63"/>
    <mergeCell ref="C64:E64"/>
    <mergeCell ref="O64:R64"/>
    <mergeCell ref="A59:A60"/>
    <mergeCell ref="C59:E59"/>
    <mergeCell ref="O59:R59"/>
    <mergeCell ref="C57:E57"/>
    <mergeCell ref="O57:R57"/>
    <mergeCell ref="C60:E60"/>
    <mergeCell ref="O60:R60"/>
    <mergeCell ref="A61:A62"/>
    <mergeCell ref="C61:E61"/>
    <mergeCell ref="O61:R61"/>
    <mergeCell ref="C62:E62"/>
    <mergeCell ref="O62:R62"/>
    <mergeCell ref="A53:A54"/>
    <mergeCell ref="C53:E53"/>
    <mergeCell ref="O53:R53"/>
    <mergeCell ref="C54:E54"/>
    <mergeCell ref="O54:R54"/>
    <mergeCell ref="C58:E58"/>
    <mergeCell ref="O58:R58"/>
    <mergeCell ref="A57:A58"/>
    <mergeCell ref="A55:A56"/>
    <mergeCell ref="C55:E55"/>
    <mergeCell ref="O55:R55"/>
    <mergeCell ref="C56:E56"/>
    <mergeCell ref="O56:R56"/>
    <mergeCell ref="S43:S45"/>
    <mergeCell ref="C44:E44"/>
    <mergeCell ref="C45:E45"/>
    <mergeCell ref="V49:X49"/>
    <mergeCell ref="C50:E50"/>
    <mergeCell ref="O50:R50"/>
    <mergeCell ref="V50:X50"/>
    <mergeCell ref="C46:E46"/>
    <mergeCell ref="M46:M48"/>
    <mergeCell ref="O46:R48"/>
    <mergeCell ref="S46:S48"/>
    <mergeCell ref="C47:E47"/>
    <mergeCell ref="C48:E48"/>
    <mergeCell ref="S37:S39"/>
    <mergeCell ref="C38:E38"/>
    <mergeCell ref="C39:E39"/>
    <mergeCell ref="C40:E40"/>
    <mergeCell ref="M40:M42"/>
    <mergeCell ref="O40:R42"/>
    <mergeCell ref="S30:S32"/>
    <mergeCell ref="C31:E31"/>
    <mergeCell ref="C32:E32"/>
    <mergeCell ref="C33:E33"/>
    <mergeCell ref="M33:M36"/>
    <mergeCell ref="O33:R36"/>
    <mergeCell ref="S33:S36"/>
    <mergeCell ref="C34:E34"/>
    <mergeCell ref="C35:E35"/>
    <mergeCell ref="C36:E36"/>
    <mergeCell ref="C30:E30"/>
    <mergeCell ref="M30:M32"/>
    <mergeCell ref="O30:R32"/>
    <mergeCell ref="S40:S42"/>
    <mergeCell ref="C41:E41"/>
    <mergeCell ref="C42:E42"/>
    <mergeCell ref="S23:S25"/>
    <mergeCell ref="G24:I24"/>
    <mergeCell ref="G25:I25"/>
    <mergeCell ref="G26:I26"/>
    <mergeCell ref="K26:M28"/>
    <mergeCell ref="O26:R28"/>
    <mergeCell ref="S26:S28"/>
    <mergeCell ref="G27:I27"/>
    <mergeCell ref="G28:I28"/>
    <mergeCell ref="G23:I23"/>
    <mergeCell ref="K23:M25"/>
    <mergeCell ref="O23:R25"/>
    <mergeCell ref="C82:E82"/>
    <mergeCell ref="O82:R82"/>
    <mergeCell ref="A80:A82"/>
    <mergeCell ref="S80:S81"/>
    <mergeCell ref="C83:E83"/>
    <mergeCell ref="O83:R83"/>
    <mergeCell ref="A83:A85"/>
    <mergeCell ref="S84:S85"/>
    <mergeCell ref="C84:E84"/>
    <mergeCell ref="O84:R84"/>
    <mergeCell ref="C85:E85"/>
    <mergeCell ref="O85:R85"/>
    <mergeCell ref="O13:R13"/>
    <mergeCell ref="G14:I14"/>
    <mergeCell ref="K14:M14"/>
    <mergeCell ref="O14:R14"/>
    <mergeCell ref="G17:I17"/>
    <mergeCell ref="O17:R17"/>
    <mergeCell ref="S16:S17"/>
    <mergeCell ref="A18:A19"/>
    <mergeCell ref="A20:A21"/>
    <mergeCell ref="G20:I20"/>
    <mergeCell ref="K20:M20"/>
    <mergeCell ref="O20:R20"/>
    <mergeCell ref="G21:I21"/>
    <mergeCell ref="K21:M21"/>
    <mergeCell ref="G18:I18"/>
    <mergeCell ref="K18:M18"/>
    <mergeCell ref="O18:R18"/>
    <mergeCell ref="G19:I19"/>
    <mergeCell ref="K19:M19"/>
    <mergeCell ref="O19:R19"/>
    <mergeCell ref="O21:R21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A119"/>
  <sheetViews>
    <sheetView topLeftCell="J89" workbookViewId="0">
      <selection activeCell="S116" sqref="S116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905</v>
      </c>
      <c r="R2" s="1320"/>
      <c r="S2" s="642" t="s">
        <v>801</v>
      </c>
    </row>
    <row r="3" spans="1:23" ht="1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1087</v>
      </c>
      <c r="O3" s="1319"/>
      <c r="P3" s="1320"/>
      <c r="Q3" s="1318" t="s">
        <v>830</v>
      </c>
      <c r="R3" s="1320"/>
      <c r="S3" s="85"/>
    </row>
    <row r="4" spans="1:23" ht="17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1087</v>
      </c>
      <c r="O4" s="1319"/>
      <c r="P4" s="1320"/>
      <c r="Q4" s="1318" t="s">
        <v>830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45248</v>
      </c>
      <c r="D5" s="419" t="s">
        <v>1086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36" customHeight="1">
      <c r="A9" s="1325" t="s">
        <v>6</v>
      </c>
      <c r="B9" s="84" t="s">
        <v>0</v>
      </c>
      <c r="C9" s="850" t="s">
        <v>42</v>
      </c>
      <c r="D9" s="851">
        <v>1.38</v>
      </c>
      <c r="E9" s="815">
        <v>805</v>
      </c>
      <c r="F9" s="815">
        <f>'102'!O43</f>
        <v>850</v>
      </c>
      <c r="G9" s="1311">
        <f>'102'!K43</f>
        <v>8756</v>
      </c>
      <c r="H9" s="1312"/>
      <c r="I9" s="1313"/>
      <c r="J9" s="814">
        <f>'102'!L43</f>
        <v>51</v>
      </c>
      <c r="K9" s="1314">
        <f>'102'!P43</f>
        <v>0.85843137254901958</v>
      </c>
      <c r="L9" s="1315"/>
      <c r="M9" s="1316"/>
      <c r="N9" s="820">
        <f>J9/(G9+J9)</f>
        <v>5.7908481889406152E-3</v>
      </c>
      <c r="O9" s="1521" t="str">
        <f>'102'!U43</f>
        <v>18:55最後一支交接班
08:38-09:31停機擦輪、換網,NG  51KG</v>
      </c>
      <c r="P9" s="1522"/>
      <c r="Q9" s="1522"/>
      <c r="R9" s="1523"/>
      <c r="S9" s="892" t="str">
        <f>'102'!V43</f>
        <v>阮明演</v>
      </c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>
        <v>1.38</v>
      </c>
      <c r="E10" s="880">
        <v>805</v>
      </c>
      <c r="F10" s="880">
        <f>'102'!O44</f>
        <v>850</v>
      </c>
      <c r="G10" s="1327">
        <f>'102'!K44</f>
        <v>8542</v>
      </c>
      <c r="H10" s="1328"/>
      <c r="I10" s="1329"/>
      <c r="J10" s="423">
        <f>'102'!L44</f>
        <v>68</v>
      </c>
      <c r="K10" s="1524">
        <f>'102'!P44+'102'!P45</f>
        <v>1.0513725490196077</v>
      </c>
      <c r="L10" s="1525"/>
      <c r="M10" s="1526"/>
      <c r="N10" s="820">
        <f>J10/(G10+J10)</f>
        <v>7.8977932636469222E-3</v>
      </c>
      <c r="O10" s="1521" t="str">
        <f>'102'!U44</f>
        <v>02:10-02:15斷板,換網NG  68KG</v>
      </c>
      <c r="P10" s="1522"/>
      <c r="Q10" s="1522"/>
      <c r="R10" s="1523"/>
      <c r="S10" s="1575" t="str">
        <f>'102'!V44</f>
        <v>阮功體</v>
      </c>
      <c r="U10" s="420" t="s">
        <v>633</v>
      </c>
      <c r="V10" s="880"/>
      <c r="W10" s="880"/>
    </row>
    <row r="11" spans="1:23" ht="34.5" customHeight="1">
      <c r="A11" s="1326"/>
      <c r="B11" s="881" t="s">
        <v>43</v>
      </c>
      <c r="C11" s="422" t="s">
        <v>42</v>
      </c>
      <c r="D11" s="421">
        <v>1.1499999999999999</v>
      </c>
      <c r="E11" s="880">
        <v>805</v>
      </c>
      <c r="F11" s="880">
        <f>'102'!O45</f>
        <v>850</v>
      </c>
      <c r="G11" s="1327">
        <f>'102'!K45</f>
        <v>2182</v>
      </c>
      <c r="H11" s="1328"/>
      <c r="I11" s="1329"/>
      <c r="J11" s="423">
        <f>'102'!L45</f>
        <v>0</v>
      </c>
      <c r="K11" s="1527"/>
      <c r="L11" s="1528"/>
      <c r="M11" s="1529"/>
      <c r="N11" s="820">
        <f>J11/(G11+J11)</f>
        <v>0</v>
      </c>
      <c r="O11" s="1581" t="str">
        <f>'102'!U45</f>
        <v>04:55-04:57改規格1.15*805,無損耗
07:37最後一支交接班</v>
      </c>
      <c r="P11" s="1582"/>
      <c r="Q11" s="1582"/>
      <c r="R11" s="1583"/>
      <c r="S11" s="1577"/>
      <c r="U11" s="420" t="s">
        <v>633</v>
      </c>
      <c r="V11" s="880"/>
      <c r="W11" s="880"/>
    </row>
    <row r="12" spans="1:23" ht="17.25" customHeight="1">
      <c r="A12" s="1325" t="s">
        <v>7</v>
      </c>
      <c r="B12" s="84" t="s">
        <v>205</v>
      </c>
      <c r="C12" s="850" t="s">
        <v>44</v>
      </c>
      <c r="D12" s="649" t="s">
        <v>633</v>
      </c>
      <c r="E12" s="815"/>
      <c r="F12" s="815"/>
      <c r="G12" s="1311"/>
      <c r="H12" s="1312"/>
      <c r="I12" s="1313"/>
      <c r="J12" s="814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26"/>
      <c r="B13" s="881" t="s">
        <v>207</v>
      </c>
      <c r="C13" s="422" t="s">
        <v>44</v>
      </c>
      <c r="D13" s="421" t="s">
        <v>633</v>
      </c>
      <c r="E13" s="880"/>
      <c r="F13" s="880"/>
      <c r="G13" s="1327"/>
      <c r="H13" s="1328"/>
      <c r="I13" s="1329"/>
      <c r="J13" s="423"/>
      <c r="K13" s="1314"/>
      <c r="L13" s="1315"/>
      <c r="M13" s="1316"/>
      <c r="N13" s="820"/>
      <c r="O13" s="1308"/>
      <c r="P13" s="1309"/>
      <c r="Q13" s="1309"/>
      <c r="R13" s="1310"/>
      <c r="S13" s="822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851">
        <v>1.6</v>
      </c>
      <c r="E16" s="815">
        <v>715</v>
      </c>
      <c r="F16" s="815">
        <f>'105'!O41</f>
        <v>450</v>
      </c>
      <c r="G16" s="1311">
        <f>'105'!K41</f>
        <v>4665</v>
      </c>
      <c r="H16" s="1312"/>
      <c r="I16" s="1313"/>
      <c r="J16" s="814">
        <f>'105'!L41</f>
        <v>0</v>
      </c>
      <c r="K16" s="1330">
        <f>'105'!P41</f>
        <v>0.86388888888888893</v>
      </c>
      <c r="L16" s="1331"/>
      <c r="M16" s="1332"/>
      <c r="N16" s="871">
        <f t="shared" ref="N16:N22" si="0">J16/(G16+J16)</f>
        <v>0</v>
      </c>
      <c r="O16" s="1333" t="str">
        <f>'105'!U41</f>
        <v>19:12最後一支交接班</v>
      </c>
      <c r="P16" s="1334"/>
      <c r="Q16" s="1334"/>
      <c r="R16" s="1335"/>
      <c r="S16" s="860" t="str">
        <f>'105'!V41</f>
        <v>史豐銘</v>
      </c>
    </row>
    <row r="17" spans="1:19" ht="17.25" customHeight="1">
      <c r="A17" s="1102"/>
      <c r="B17" s="881" t="s">
        <v>43</v>
      </c>
      <c r="C17" s="422" t="s">
        <v>44</v>
      </c>
      <c r="D17" s="421">
        <v>1.6</v>
      </c>
      <c r="E17" s="880">
        <v>715</v>
      </c>
      <c r="F17" s="880">
        <f>'105'!O42</f>
        <v>450</v>
      </c>
      <c r="G17" s="1327">
        <f>'105'!K42</f>
        <v>4785</v>
      </c>
      <c r="H17" s="1328"/>
      <c r="I17" s="1329"/>
      <c r="J17" s="423">
        <f>'105'!L42</f>
        <v>0</v>
      </c>
      <c r="K17" s="1330">
        <f>'105'!P42</f>
        <v>0.88611111111111107</v>
      </c>
      <c r="L17" s="1331"/>
      <c r="M17" s="1332"/>
      <c r="N17" s="871">
        <f t="shared" si="0"/>
        <v>0</v>
      </c>
      <c r="O17" s="1333" t="str">
        <f>'105'!U42</f>
        <v>06:55-06:58最後一支交接班,改規格1.55*715,無損耗</v>
      </c>
      <c r="P17" s="1334"/>
      <c r="Q17" s="1334"/>
      <c r="R17" s="1335"/>
      <c r="S17" s="860" t="str">
        <f>'105'!V42</f>
        <v>阮宏山</v>
      </c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1.65</v>
      </c>
      <c r="E18" s="815">
        <v>805</v>
      </c>
      <c r="F18" s="815">
        <f>'106'!O44</f>
        <v>1185</v>
      </c>
      <c r="G18" s="1311">
        <f>'106'!K44</f>
        <v>14207</v>
      </c>
      <c r="H18" s="1312"/>
      <c r="I18" s="1313"/>
      <c r="J18" s="814">
        <f>'106'!L44</f>
        <v>0</v>
      </c>
      <c r="K18" s="1330">
        <f>'106'!P44</f>
        <v>0.99908579465541492</v>
      </c>
      <c r="L18" s="1331"/>
      <c r="M18" s="1332"/>
      <c r="N18" s="871">
        <f t="shared" si="0"/>
        <v>0</v>
      </c>
      <c r="O18" s="1364" t="str">
        <f>'106'!U44</f>
        <v>19:52最後一支交接班</v>
      </c>
      <c r="P18" s="1365"/>
      <c r="Q18" s="1365"/>
      <c r="R18" s="1366"/>
      <c r="S18" s="822" t="str">
        <f>'106'!V44</f>
        <v>黎文中</v>
      </c>
    </row>
    <row r="19" spans="1:19" ht="17.25" customHeight="1">
      <c r="A19" s="1562"/>
      <c r="B19" s="881" t="s">
        <v>43</v>
      </c>
      <c r="C19" s="422" t="s">
        <v>42</v>
      </c>
      <c r="D19" s="421">
        <v>1.65</v>
      </c>
      <c r="E19" s="880">
        <v>805</v>
      </c>
      <c r="F19" s="880">
        <f>'106'!O45</f>
        <v>1185</v>
      </c>
      <c r="G19" s="1327">
        <f>'106'!K45</f>
        <v>13112</v>
      </c>
      <c r="H19" s="1328"/>
      <c r="I19" s="1329"/>
      <c r="J19" s="423">
        <f>'106'!L45</f>
        <v>0</v>
      </c>
      <c r="K19" s="1330">
        <f>'106'!P45</f>
        <v>0.92208157524613221</v>
      </c>
      <c r="L19" s="1331"/>
      <c r="M19" s="1332"/>
      <c r="N19" s="871">
        <f t="shared" si="0"/>
        <v>0</v>
      </c>
      <c r="O19" s="1364" t="str">
        <f>'106'!U45</f>
        <v>07:20最後一支交接班</v>
      </c>
      <c r="P19" s="1365"/>
      <c r="Q19" s="1365"/>
      <c r="R19" s="1366"/>
      <c r="S19" s="822" t="str">
        <f>'106'!V45</f>
        <v>黃隨貴</v>
      </c>
    </row>
    <row r="20" spans="1:19" ht="17.25" customHeight="1">
      <c r="A20" s="1362" t="s">
        <v>418</v>
      </c>
      <c r="B20" s="84" t="s">
        <v>205</v>
      </c>
      <c r="C20" s="850" t="s">
        <v>433</v>
      </c>
      <c r="D20" s="851">
        <v>0.6</v>
      </c>
      <c r="E20" s="815">
        <v>830</v>
      </c>
      <c r="F20" s="815">
        <f>'107'!O45</f>
        <v>450</v>
      </c>
      <c r="G20" s="1311">
        <f>'107'!K45</f>
        <v>3020</v>
      </c>
      <c r="H20" s="1312"/>
      <c r="I20" s="1313"/>
      <c r="J20" s="814">
        <f>'107'!L45</f>
        <v>97</v>
      </c>
      <c r="K20" s="1524">
        <f>'107'!P45+'107'!P46</f>
        <v>0.93148148148148147</v>
      </c>
      <c r="L20" s="1525"/>
      <c r="M20" s="1526"/>
      <c r="N20" s="871">
        <f t="shared" si="0"/>
        <v>3.1119666345845363E-2</v>
      </c>
      <c r="O20" s="1348" t="str">
        <f>'107'!U45</f>
        <v>14:14-14:55改顏色、規格0.47*820,換網NG  97KG</v>
      </c>
      <c r="P20" s="1349"/>
      <c r="Q20" s="1349"/>
      <c r="R20" s="1350"/>
      <c r="S20" s="1517" t="str">
        <f>'107'!V45</f>
        <v>潘文銅</v>
      </c>
    </row>
    <row r="21" spans="1:19" ht="17.25" customHeight="1">
      <c r="A21" s="1540"/>
      <c r="B21" s="84" t="s">
        <v>205</v>
      </c>
      <c r="C21" s="850" t="s">
        <v>44</v>
      </c>
      <c r="D21" s="851">
        <v>0.47</v>
      </c>
      <c r="E21" s="815">
        <v>820</v>
      </c>
      <c r="F21" s="815">
        <f>'107'!O46</f>
        <v>450</v>
      </c>
      <c r="G21" s="1311">
        <f>'107'!K46</f>
        <v>2010</v>
      </c>
      <c r="H21" s="1312"/>
      <c r="I21" s="1313"/>
      <c r="J21" s="814">
        <f>'107'!L46</f>
        <v>0</v>
      </c>
      <c r="K21" s="1527"/>
      <c r="L21" s="1528"/>
      <c r="M21" s="1529"/>
      <c r="N21" s="871">
        <f t="shared" si="0"/>
        <v>0</v>
      </c>
      <c r="O21" s="1367" t="str">
        <f>'107'!U46</f>
        <v>19:48最後一支交接班</v>
      </c>
      <c r="P21" s="1368"/>
      <c r="Q21" s="1368"/>
      <c r="R21" s="1369"/>
      <c r="S21" s="1518"/>
    </row>
    <row r="22" spans="1:19" ht="17.25" customHeight="1">
      <c r="A22" s="1363"/>
      <c r="B22" s="881" t="s">
        <v>43</v>
      </c>
      <c r="C22" s="422" t="s">
        <v>44</v>
      </c>
      <c r="D22" s="421">
        <v>0.47</v>
      </c>
      <c r="E22" s="880">
        <v>820</v>
      </c>
      <c r="F22" s="880">
        <f>'107'!O47</f>
        <v>450</v>
      </c>
      <c r="G22" s="1327">
        <f>'107'!K47</f>
        <v>4528</v>
      </c>
      <c r="H22" s="1328"/>
      <c r="I22" s="1329"/>
      <c r="J22" s="423">
        <f>'107'!L47</f>
        <v>0</v>
      </c>
      <c r="K22" s="1314">
        <f>'107'!P47</f>
        <v>0.83851851851851855</v>
      </c>
      <c r="L22" s="1315"/>
      <c r="M22" s="1316"/>
      <c r="N22" s="871">
        <f t="shared" si="0"/>
        <v>0</v>
      </c>
      <c r="O22" s="1364" t="str">
        <f>'107'!U47</f>
        <v>07:05最後一支交接班</v>
      </c>
      <c r="P22" s="1365"/>
      <c r="Q22" s="1365"/>
      <c r="R22" s="1366"/>
      <c r="S22" s="822" t="str">
        <f>'107'!V47</f>
        <v>磨文林</v>
      </c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65807</v>
      </c>
      <c r="J23" s="833">
        <f>SUM(J7:J22)</f>
        <v>216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1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1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1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1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1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1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65807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s">
        <v>633</v>
      </c>
      <c r="D50" s="1427"/>
      <c r="E50" s="1427"/>
      <c r="F50" s="827"/>
      <c r="G50" s="828"/>
      <c r="H50" s="815"/>
      <c r="I50" s="827"/>
      <c r="J50" s="828"/>
      <c r="K50" s="828"/>
      <c r="L50" s="828"/>
      <c r="M50" s="661"/>
      <c r="N50" s="662"/>
      <c r="O50" s="1361"/>
      <c r="P50" s="1361"/>
      <c r="Q50" s="1361"/>
      <c r="R50" s="1361"/>
      <c r="S50" s="822"/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s">
        <v>633</v>
      </c>
      <c r="D51" s="1360"/>
      <c r="E51" s="1360"/>
      <c r="F51" s="418"/>
      <c r="G51" s="660"/>
      <c r="H51" s="880"/>
      <c r="I51" s="418"/>
      <c r="J51" s="660"/>
      <c r="K51" s="660"/>
      <c r="L51" s="660"/>
      <c r="M51" s="661"/>
      <c r="N51" s="662"/>
      <c r="O51" s="1361"/>
      <c r="P51" s="1361"/>
      <c r="Q51" s="1361"/>
      <c r="R51" s="1361"/>
      <c r="S51" s="822"/>
      <c r="V51" s="1382" t="s">
        <v>633</v>
      </c>
      <c r="W51" s="1383"/>
      <c r="X51" s="1384"/>
    </row>
    <row r="52" spans="1:24" ht="17.25" customHeight="1">
      <c r="A52" s="1126" t="s">
        <v>22</v>
      </c>
      <c r="B52" s="84" t="s">
        <v>0</v>
      </c>
      <c r="C52" s="1427" t="s">
        <v>633</v>
      </c>
      <c r="D52" s="1427"/>
      <c r="E52" s="1427"/>
      <c r="F52" s="827"/>
      <c r="G52" s="852"/>
      <c r="H52" s="815"/>
      <c r="I52" s="827"/>
      <c r="J52" s="852"/>
      <c r="K52" s="885"/>
      <c r="L52" s="885"/>
      <c r="M52" s="863"/>
      <c r="N52" s="415"/>
      <c r="O52" s="1364"/>
      <c r="P52" s="1365"/>
      <c r="Q52" s="1365"/>
      <c r="R52" s="1366"/>
      <c r="S52" s="821"/>
    </row>
    <row r="53" spans="1:24" ht="17.25" customHeight="1">
      <c r="A53" s="1127"/>
      <c r="B53" s="881" t="s">
        <v>43</v>
      </c>
      <c r="C53" s="1360" t="s">
        <v>633</v>
      </c>
      <c r="D53" s="1360"/>
      <c r="E53" s="1360"/>
      <c r="F53" s="418"/>
      <c r="G53" s="840"/>
      <c r="H53" s="880"/>
      <c r="I53" s="418"/>
      <c r="J53" s="840"/>
      <c r="K53" s="890"/>
      <c r="L53" s="890"/>
      <c r="M53" s="863"/>
      <c r="N53" s="415"/>
      <c r="O53" s="1364"/>
      <c r="P53" s="1365"/>
      <c r="Q53" s="1365"/>
      <c r="R53" s="1366"/>
      <c r="S53" s="821"/>
    </row>
    <row r="54" spans="1:24" ht="17.25" customHeight="1">
      <c r="A54" s="1428" t="s">
        <v>23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865"/>
      <c r="N54" s="662"/>
      <c r="O54" s="1364"/>
      <c r="P54" s="1365"/>
      <c r="Q54" s="1365"/>
      <c r="R54" s="1366"/>
      <c r="S54" s="822"/>
    </row>
    <row r="55" spans="1:24" ht="17.25" customHeight="1">
      <c r="A55" s="1563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865"/>
      <c r="N55" s="662"/>
      <c r="O55" s="1364"/>
      <c r="P55" s="1365"/>
      <c r="Q55" s="1365"/>
      <c r="R55" s="1366"/>
      <c r="S55" s="822"/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126" t="s">
        <v>634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7"/>
      <c r="O58" s="1430"/>
      <c r="P58" s="1431"/>
      <c r="Q58" s="1431"/>
      <c r="R58" s="1432"/>
      <c r="S58" s="822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7"/>
      <c r="O59" s="1430"/>
      <c r="P59" s="1431"/>
      <c r="Q59" s="1431"/>
      <c r="R59" s="1432"/>
      <c r="S59" s="822"/>
    </row>
    <row r="60" spans="1:24" ht="17.25" customHeight="1">
      <c r="A60" s="1126" t="s">
        <v>416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8"/>
      <c r="O60" s="1333"/>
      <c r="P60" s="1334"/>
      <c r="Q60" s="1334"/>
      <c r="R60" s="1335"/>
      <c r="S60" s="855"/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8"/>
      <c r="O61" s="1333"/>
      <c r="P61" s="1334"/>
      <c r="Q61" s="1334"/>
      <c r="R61" s="1335"/>
      <c r="S61" s="855"/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6" t="s">
        <v>636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21"/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>
        <f>SUM(K50:K65)</f>
        <v>0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17.25" customHeight="1">
      <c r="A67" s="1568" t="s">
        <v>25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437"/>
      <c r="P67" s="1438"/>
      <c r="Q67" s="1438"/>
      <c r="R67" s="1439"/>
      <c r="S67" s="876"/>
    </row>
    <row r="68" spans="1:79" ht="17.25" customHeight="1">
      <c r="A68" s="157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76"/>
    </row>
    <row r="69" spans="1:79" ht="17.25" customHeight="1">
      <c r="A69" s="1126" t="s">
        <v>62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549"/>
      <c r="P69" s="1550"/>
      <c r="Q69" s="1550"/>
      <c r="R69" s="1551"/>
      <c r="S69" s="893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127"/>
      <c r="B70" s="3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415"/>
      <c r="O70" s="1549"/>
      <c r="P70" s="1550"/>
      <c r="Q70" s="1550"/>
      <c r="R70" s="1551"/>
      <c r="S70" s="893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6" t="s">
        <v>640</v>
      </c>
      <c r="B71" s="84" t="s">
        <v>0</v>
      </c>
      <c r="C71" s="1427" t="s">
        <v>633</v>
      </c>
      <c r="D71" s="1427"/>
      <c r="E71" s="1427"/>
      <c r="F71" s="827"/>
      <c r="G71" s="828"/>
      <c r="H71" s="815"/>
      <c r="I71" s="827"/>
      <c r="J71" s="828"/>
      <c r="K71" s="828"/>
      <c r="L71" s="828"/>
      <c r="M71" s="659"/>
      <c r="N71" s="658"/>
      <c r="O71" s="1437"/>
      <c r="P71" s="1438"/>
      <c r="Q71" s="1438"/>
      <c r="R71" s="1439"/>
      <c r="S71" s="823"/>
    </row>
    <row r="72" spans="1:79" ht="17.25" customHeight="1">
      <c r="A72" s="1189"/>
      <c r="B72" s="881" t="s">
        <v>43</v>
      </c>
      <c r="C72" s="1360" t="s">
        <v>633</v>
      </c>
      <c r="D72" s="1360"/>
      <c r="E72" s="1360"/>
      <c r="F72" s="418"/>
      <c r="G72" s="660"/>
      <c r="H72" s="880"/>
      <c r="I72" s="418"/>
      <c r="J72" s="660"/>
      <c r="K72" s="660"/>
      <c r="L72" s="660"/>
      <c r="M72" s="659"/>
      <c r="N72" s="658"/>
      <c r="O72" s="1437"/>
      <c r="P72" s="1438"/>
      <c r="Q72" s="1438"/>
      <c r="R72" s="1439"/>
      <c r="S72" s="823"/>
    </row>
    <row r="73" spans="1:79" ht="17.25" customHeight="1">
      <c r="A73" s="1440" t="s">
        <v>26</v>
      </c>
      <c r="B73" s="84" t="s">
        <v>0</v>
      </c>
      <c r="C73" s="1427" t="s">
        <v>633</v>
      </c>
      <c r="D73" s="1427"/>
      <c r="E73" s="1427"/>
      <c r="F73" s="827"/>
      <c r="G73" s="828"/>
      <c r="H73" s="815"/>
      <c r="I73" s="827"/>
      <c r="J73" s="828"/>
      <c r="K73" s="828"/>
      <c r="L73" s="828"/>
      <c r="M73" s="842"/>
      <c r="N73" s="415"/>
      <c r="O73" s="1442"/>
      <c r="P73" s="1443"/>
      <c r="Q73" s="1443"/>
      <c r="R73" s="1444"/>
      <c r="S73" s="822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1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642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7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816"/>
      <c r="N80" s="415"/>
      <c r="O80" s="1437"/>
      <c r="P80" s="1438"/>
      <c r="Q80" s="1438"/>
      <c r="R80" s="1439"/>
      <c r="S80" s="82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643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554"/>
      <c r="P81" s="1555"/>
      <c r="Q81" s="1555"/>
      <c r="R81" s="1556"/>
      <c r="S81" s="877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7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437"/>
      <c r="P82" s="1438"/>
      <c r="Q82" s="1438"/>
      <c r="R82" s="1439"/>
      <c r="S82" s="848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651</v>
      </c>
      <c r="B83" s="84" t="s">
        <v>0</v>
      </c>
      <c r="C83" s="1427" t="s">
        <v>633</v>
      </c>
      <c r="D83" s="1427"/>
      <c r="E83" s="1427"/>
      <c r="F83" s="827"/>
      <c r="G83" s="828"/>
      <c r="H83" s="815"/>
      <c r="I83" s="827"/>
      <c r="J83" s="828"/>
      <c r="K83" s="828"/>
      <c r="L83" s="828"/>
      <c r="M83" s="659"/>
      <c r="N83" s="415"/>
      <c r="O83" s="1437"/>
      <c r="P83" s="1438"/>
      <c r="Q83" s="1438"/>
      <c r="R83" s="1439"/>
      <c r="S83" s="82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7"/>
      <c r="B84" s="881" t="s">
        <v>43</v>
      </c>
      <c r="C84" s="1360" t="s">
        <v>633</v>
      </c>
      <c r="D84" s="1360"/>
      <c r="E84" s="1360"/>
      <c r="F84" s="418"/>
      <c r="G84" s="660"/>
      <c r="H84" s="880"/>
      <c r="I84" s="418"/>
      <c r="J84" s="660"/>
      <c r="K84" s="660"/>
      <c r="L84" s="660"/>
      <c r="M84" s="659"/>
      <c r="N84" s="415"/>
      <c r="O84" s="1549"/>
      <c r="P84" s="1550"/>
      <c r="Q84" s="1550"/>
      <c r="R84" s="1551"/>
      <c r="S84" s="855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>
        <f>SUM(K67:K84)</f>
        <v>0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 t="s">
        <v>633</v>
      </c>
      <c r="D87" s="1290"/>
      <c r="E87" s="1290"/>
      <c r="F87" s="1290"/>
      <c r="G87" s="1290"/>
      <c r="H87" s="849"/>
      <c r="I87" s="849"/>
      <c r="J87" s="852"/>
      <c r="K87" s="872"/>
      <c r="L87" s="873"/>
      <c r="M87" s="852"/>
      <c r="N87" s="853"/>
      <c r="O87" s="1451"/>
      <c r="P87" s="1452"/>
      <c r="Q87" s="1452"/>
      <c r="R87" s="1453"/>
      <c r="S87" s="874"/>
    </row>
    <row r="88" spans="1:79" ht="18" customHeight="1">
      <c r="A88" s="1165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8" customHeight="1">
      <c r="A89" s="1461">
        <v>402</v>
      </c>
      <c r="B89" s="84" t="s">
        <v>205</v>
      </c>
      <c r="C89" s="1290" t="s">
        <v>633</v>
      </c>
      <c r="D89" s="1290"/>
      <c r="E89" s="1290"/>
      <c r="F89" s="1290"/>
      <c r="G89" s="1290"/>
      <c r="H89" s="849"/>
      <c r="I89" s="849"/>
      <c r="J89" s="852"/>
      <c r="K89" s="872"/>
      <c r="L89" s="873"/>
      <c r="M89" s="852"/>
      <c r="N89" s="853"/>
      <c r="O89" s="1451"/>
      <c r="P89" s="1452"/>
      <c r="Q89" s="1452"/>
      <c r="R89" s="1453"/>
      <c r="S89" s="874"/>
    </row>
    <row r="90" spans="1:79" ht="18" customHeight="1">
      <c r="A90" s="1462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7.25" customHeight="1">
      <c r="A91" s="1466">
        <v>403</v>
      </c>
      <c r="B91" s="244" t="s">
        <v>0</v>
      </c>
      <c r="C91" s="1290" t="s">
        <v>633</v>
      </c>
      <c r="D91" s="1290"/>
      <c r="E91" s="1290"/>
      <c r="F91" s="1290"/>
      <c r="G91" s="1290"/>
      <c r="H91" s="849"/>
      <c r="I91" s="849"/>
      <c r="J91" s="852"/>
      <c r="K91" s="872"/>
      <c r="L91" s="852"/>
      <c r="M91" s="852"/>
      <c r="N91" s="853"/>
      <c r="O91" s="1451"/>
      <c r="P91" s="1452"/>
      <c r="Q91" s="1452"/>
      <c r="R91" s="1453"/>
      <c r="S91" s="874"/>
    </row>
    <row r="92" spans="1:79" ht="17.25" customHeight="1">
      <c r="A92" s="1467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40"/>
      <c r="M92" s="840"/>
      <c r="N92" s="672"/>
      <c r="O92" s="1455"/>
      <c r="P92" s="1456"/>
      <c r="Q92" s="1456"/>
      <c r="R92" s="1457"/>
      <c r="S92" s="810"/>
    </row>
    <row r="93" spans="1:79" ht="18" customHeight="1">
      <c r="A93" s="1199">
        <v>405</v>
      </c>
      <c r="B93" s="84" t="s">
        <v>0</v>
      </c>
      <c r="C93" s="1290" t="s">
        <v>633</v>
      </c>
      <c r="D93" s="1290"/>
      <c r="E93" s="1290"/>
      <c r="F93" s="1290"/>
      <c r="G93" s="1290"/>
      <c r="H93" s="849"/>
      <c r="I93" s="849"/>
      <c r="J93" s="852"/>
      <c r="K93" s="872"/>
      <c r="L93" s="852"/>
      <c r="M93" s="852"/>
      <c r="N93" s="853"/>
      <c r="O93" s="1451"/>
      <c r="P93" s="1452"/>
      <c r="Q93" s="1452"/>
      <c r="R93" s="1453"/>
      <c r="S93" s="874"/>
    </row>
    <row r="94" spans="1:79" ht="18" customHeight="1">
      <c r="A94" s="1165"/>
      <c r="B94" s="881" t="s">
        <v>43</v>
      </c>
      <c r="C94" s="1454" t="s">
        <v>633</v>
      </c>
      <c r="D94" s="1454"/>
      <c r="E94" s="1454"/>
      <c r="F94" s="1454"/>
      <c r="G94" s="1454"/>
      <c r="H94" s="664"/>
      <c r="I94" s="664"/>
      <c r="J94" s="840"/>
      <c r="K94" s="424"/>
      <c r="L94" s="840"/>
      <c r="M94" s="840"/>
      <c r="N94" s="672"/>
      <c r="O94" s="1455"/>
      <c r="P94" s="1456"/>
      <c r="Q94" s="1456"/>
      <c r="R94" s="1457"/>
      <c r="S94" s="810"/>
    </row>
    <row r="95" spans="1:79" ht="18" customHeight="1">
      <c r="A95" s="314"/>
      <c r="B95" s="841"/>
      <c r="C95" s="1458"/>
      <c r="D95" s="1459"/>
      <c r="E95" s="1459"/>
      <c r="F95" s="1459"/>
      <c r="G95" s="1460"/>
      <c r="H95" s="849"/>
      <c r="I95" s="849"/>
      <c r="J95" s="834" t="s">
        <v>666</v>
      </c>
      <c r="K95" s="835">
        <f>SUM(K87:K94)</f>
        <v>0</v>
      </c>
      <c r="L95" s="852"/>
      <c r="M95" s="852"/>
      <c r="N95" s="853"/>
      <c r="O95" s="886"/>
      <c r="P95" s="887"/>
      <c r="Q95" s="887"/>
      <c r="R95" s="888"/>
      <c r="S95" s="854"/>
    </row>
    <row r="96" spans="1:79" s="76" customFormat="1" ht="31.7" hidden="1" customHeight="1">
      <c r="A96" s="400" t="s">
        <v>425</v>
      </c>
      <c r="B96" s="400" t="s">
        <v>193</v>
      </c>
      <c r="C96" s="1282" t="e">
        <f>[1]印403!J91</f>
        <v>#REF!</v>
      </c>
      <c r="D96" s="1283"/>
      <c r="E96" s="1283"/>
      <c r="F96" s="1283"/>
      <c r="G96" s="1468"/>
      <c r="H96" s="242" t="s">
        <v>216</v>
      </c>
      <c r="I96" s="242" t="s">
        <v>12</v>
      </c>
      <c r="J96" s="242" t="s">
        <v>13</v>
      </c>
      <c r="K96" s="405" t="s">
        <v>218</v>
      </c>
      <c r="L96" s="427" t="s">
        <v>60</v>
      </c>
      <c r="M96" s="399" t="e">
        <f>[1]印403!O90</f>
        <v>#REF!</v>
      </c>
      <c r="N96" s="257" t="s">
        <v>45</v>
      </c>
      <c r="O96" s="1448" t="s">
        <v>29</v>
      </c>
      <c r="P96" s="1449"/>
      <c r="Q96" s="1449"/>
      <c r="R96" s="1450"/>
      <c r="S96" s="417" t="s">
        <v>57</v>
      </c>
    </row>
    <row r="97" spans="1:19" ht="15" hidden="1" customHeight="1">
      <c r="A97" s="1199" t="s">
        <v>426</v>
      </c>
      <c r="B97" s="84" t="s">
        <v>205</v>
      </c>
      <c r="C97" s="1282" t="e">
        <f>[1]印403!J92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[1]印403!O91</f>
        <v>#REF!</v>
      </c>
      <c r="N97" s="399"/>
      <c r="O97" s="1469"/>
      <c r="P97" s="1245"/>
      <c r="Q97" s="1245"/>
      <c r="R97" s="1246"/>
      <c r="S97" s="1470"/>
    </row>
    <row r="98" spans="1:19" ht="13.7" hidden="1" customHeight="1">
      <c r="A98" s="1216"/>
      <c r="B98" s="84" t="s">
        <v>205</v>
      </c>
      <c r="C98" s="1282" t="e">
        <f>[1]印403!J93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[1]印403!O92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[1]印403!J94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[1]印403!O93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[1]印403!J95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[1]印403!O94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[1]印403!J96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[1]印403!O95</f>
        <v>#REF!</v>
      </c>
      <c r="N101" s="425"/>
      <c r="O101" s="669"/>
      <c r="P101" s="670"/>
      <c r="Q101" s="670"/>
      <c r="R101" s="671"/>
      <c r="S101" s="1471"/>
    </row>
    <row r="102" spans="1:19" ht="16.5" hidden="1" customHeight="1">
      <c r="A102" s="1216"/>
      <c r="B102" s="881" t="s">
        <v>43</v>
      </c>
      <c r="C102" s="1282" t="e">
        <f>[1]印403!J97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[1]印403!O96</f>
        <v>#REF!</v>
      </c>
      <c r="N102" s="672"/>
      <c r="O102" s="1476"/>
      <c r="P102" s="1477"/>
      <c r="Q102" s="1477"/>
      <c r="R102" s="1478"/>
      <c r="S102" s="1485"/>
    </row>
    <row r="103" spans="1:19" ht="15" hidden="1" customHeight="1">
      <c r="A103" s="1216"/>
      <c r="B103" s="881" t="s">
        <v>43</v>
      </c>
      <c r="C103" s="1282" t="e">
        <f>[1]印403!J98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[1]印403!O97</f>
        <v>#REF!</v>
      </c>
      <c r="N103" s="672"/>
      <c r="O103" s="1479"/>
      <c r="P103" s="1480"/>
      <c r="Q103" s="1480"/>
      <c r="R103" s="1481"/>
      <c r="S103" s="1485"/>
    </row>
    <row r="104" spans="1:19" ht="15" hidden="1" customHeight="1">
      <c r="A104" s="1216"/>
      <c r="B104" s="881" t="s">
        <v>43</v>
      </c>
      <c r="C104" s="1282" t="e">
        <f>[1]印403!J99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[1]印403!O98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165"/>
      <c r="B105" s="881" t="s">
        <v>43</v>
      </c>
      <c r="C105" s="1282" t="e">
        <f>[1]印403!J100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[1]印403!O99</f>
        <v>#REF!</v>
      </c>
      <c r="N105" s="672"/>
      <c r="O105" s="1482"/>
      <c r="P105" s="1483"/>
      <c r="Q105" s="1483"/>
      <c r="R105" s="1484"/>
      <c r="S105" s="1486"/>
    </row>
    <row r="106" spans="1:19" ht="6" customHeight="1">
      <c r="A106" s="248"/>
      <c r="C106" s="249"/>
    </row>
    <row r="107" spans="1:19" ht="6" customHeight="1" thickBot="1">
      <c r="A107" s="248"/>
      <c r="C107" s="249"/>
    </row>
    <row r="108" spans="1:19" ht="15" customHeight="1" thickTop="1">
      <c r="A108" s="1472" t="s">
        <v>30</v>
      </c>
      <c r="B108" s="1473"/>
      <c r="C108" s="1473"/>
      <c r="D108" s="1473"/>
      <c r="E108" s="376">
        <v>1097400</v>
      </c>
      <c r="F108" s="75" t="s">
        <v>64</v>
      </c>
      <c r="G108" s="1472" t="s">
        <v>31</v>
      </c>
      <c r="H108" s="1473"/>
      <c r="I108" s="1473"/>
      <c r="J108" s="1473"/>
      <c r="K108" s="1473"/>
      <c r="L108" s="377">
        <v>570000</v>
      </c>
      <c r="M108" s="75" t="s">
        <v>64</v>
      </c>
      <c r="N108" s="1472" t="s">
        <v>32</v>
      </c>
      <c r="O108" s="1473"/>
      <c r="P108" s="1473"/>
      <c r="Q108" s="377">
        <v>1745000</v>
      </c>
      <c r="R108" s="75" t="s">
        <v>64</v>
      </c>
      <c r="S108" s="75"/>
    </row>
    <row r="109" spans="1:19" ht="15" customHeight="1" thickBot="1">
      <c r="A109" s="1474" t="s">
        <v>66</v>
      </c>
      <c r="B109" s="1475"/>
      <c r="C109" s="1475"/>
      <c r="D109" s="1475"/>
      <c r="E109" s="674">
        <v>0</v>
      </c>
      <c r="G109" s="1474" t="s">
        <v>66</v>
      </c>
      <c r="H109" s="1475"/>
      <c r="I109" s="1475"/>
      <c r="J109" s="1475"/>
      <c r="K109" s="1475"/>
      <c r="L109" s="674">
        <v>0</v>
      </c>
      <c r="N109" s="1474" t="s">
        <v>33</v>
      </c>
      <c r="O109" s="1475"/>
      <c r="P109" s="1475"/>
      <c r="Q109" s="674">
        <v>0</v>
      </c>
      <c r="R109" s="75"/>
      <c r="S109" s="75"/>
    </row>
    <row r="110" spans="1:19" ht="15" customHeight="1" thickTop="1" thickBot="1">
      <c r="A110" s="1487" t="s">
        <v>34</v>
      </c>
      <c r="B110" s="1488"/>
      <c r="C110" s="1488"/>
      <c r="D110" s="1488"/>
      <c r="E110" s="378">
        <f>E108+E109</f>
        <v>1097400</v>
      </c>
      <c r="F110" s="75" t="s">
        <v>64</v>
      </c>
      <c r="G110" s="1487" t="s">
        <v>35</v>
      </c>
      <c r="H110" s="1488"/>
      <c r="I110" s="1488"/>
      <c r="J110" s="1488"/>
      <c r="K110" s="1488"/>
      <c r="L110" s="379">
        <f>L108+L109</f>
        <v>570000</v>
      </c>
      <c r="M110" s="75" t="s">
        <v>64</v>
      </c>
      <c r="N110" s="1487" t="s">
        <v>36</v>
      </c>
      <c r="O110" s="1488"/>
      <c r="P110" s="1488"/>
      <c r="Q110" s="379">
        <f>Q108+Q109</f>
        <v>1745000</v>
      </c>
      <c r="R110" s="75" t="s">
        <v>64</v>
      </c>
      <c r="S110" s="75"/>
    </row>
    <row r="111" spans="1:19" ht="15" customHeight="1" thickTop="1" thickBot="1">
      <c r="E111" s="252">
        <f>印401!M64</f>
        <v>0</v>
      </c>
      <c r="L111" s="675" t="e">
        <f>#REF!</f>
        <v>#REF!</v>
      </c>
      <c r="O111" s="75"/>
      <c r="P111" s="75"/>
      <c r="Q111" s="675" t="e">
        <f>#REF!</f>
        <v>#REF!</v>
      </c>
      <c r="R111" s="75"/>
      <c r="S111" s="75"/>
    </row>
    <row r="112" spans="1:19" ht="15" customHeight="1" thickBot="1">
      <c r="A112" s="676" t="s">
        <v>37</v>
      </c>
      <c r="B112" s="677"/>
      <c r="C112" s="677"/>
      <c r="D112" s="678"/>
      <c r="E112" s="253">
        <f>印401!P64</f>
        <v>0</v>
      </c>
      <c r="F112" s="75" t="s">
        <v>64</v>
      </c>
      <c r="G112" s="676" t="s">
        <v>38</v>
      </c>
      <c r="H112" s="677"/>
      <c r="I112" s="677"/>
      <c r="J112" s="677"/>
      <c r="K112" s="677"/>
      <c r="L112" s="384" t="e">
        <f>#REF!</f>
        <v>#REF!</v>
      </c>
      <c r="M112" s="75" t="s">
        <v>64</v>
      </c>
      <c r="N112" s="676" t="s">
        <v>39</v>
      </c>
      <c r="O112" s="677"/>
      <c r="P112" s="677"/>
      <c r="Q112" s="384" t="e">
        <f>#REF!</f>
        <v>#REF!</v>
      </c>
      <c r="R112" s="75" t="s">
        <v>64</v>
      </c>
      <c r="S112" s="75"/>
    </row>
    <row r="113" spans="2:20" ht="3" customHeight="1" thickBot="1">
      <c r="J113" s="255"/>
      <c r="K113" s="256"/>
    </row>
    <row r="114" spans="2:20" ht="15" customHeight="1" thickTop="1">
      <c r="B114" s="1509" t="s">
        <v>69</v>
      </c>
      <c r="C114" s="1510"/>
      <c r="D114" s="1511" t="s">
        <v>305</v>
      </c>
      <c r="E114" s="1512"/>
      <c r="F114" s="1489" t="s">
        <v>306</v>
      </c>
      <c r="G114" s="1490"/>
      <c r="H114" s="1491" t="s">
        <v>307</v>
      </c>
      <c r="I114" s="1492"/>
      <c r="J114" s="1492"/>
      <c r="K114" s="1493"/>
      <c r="L114" s="1472" t="s">
        <v>657</v>
      </c>
      <c r="M114" s="1473"/>
      <c r="N114" s="1473"/>
      <c r="O114" s="377">
        <v>3301000</v>
      </c>
      <c r="P114" s="75" t="s">
        <v>64</v>
      </c>
      <c r="Q114" s="1496" t="s">
        <v>65</v>
      </c>
      <c r="R114" s="1497"/>
      <c r="S114" s="385">
        <v>34272549</v>
      </c>
    </row>
    <row r="115" spans="2:20" ht="15" customHeight="1" thickBot="1">
      <c r="B115" s="1498" t="s">
        <v>308</v>
      </c>
      <c r="C115" s="1499"/>
      <c r="D115" s="1500" t="e">
        <f>總表!D20</f>
        <v>#REF!</v>
      </c>
      <c r="E115" s="1501"/>
      <c r="F115" s="1502">
        <f>總表!E20</f>
        <v>1316871</v>
      </c>
      <c r="G115" s="1503"/>
      <c r="H115" s="1504" t="e">
        <f>(D115-F115)/D115</f>
        <v>#REF!</v>
      </c>
      <c r="I115" s="1505"/>
      <c r="J115" s="1505"/>
      <c r="K115" s="1506"/>
      <c r="L115" s="1474" t="s">
        <v>33</v>
      </c>
      <c r="M115" s="1475"/>
      <c r="N115" s="1475"/>
      <c r="O115" s="674">
        <v>0</v>
      </c>
      <c r="P115" s="75"/>
      <c r="Q115" s="1507" t="s">
        <v>67</v>
      </c>
      <c r="R115" s="1508"/>
      <c r="S115" s="386">
        <f>SUM(L50:L84,L87:L94)</f>
        <v>0</v>
      </c>
    </row>
    <row r="116" spans="2:20" ht="15" customHeight="1" thickTop="1" thickBot="1">
      <c r="B116" s="1513" t="s">
        <v>309</v>
      </c>
      <c r="C116" s="1514"/>
      <c r="D116" s="1515" t="e">
        <f>總表!C43</f>
        <v>#REF!</v>
      </c>
      <c r="E116" s="1516"/>
      <c r="F116" s="1502" t="e">
        <f>總表!F43</f>
        <v>#REF!</v>
      </c>
      <c r="G116" s="1503"/>
      <c r="H116" s="1504" t="e">
        <f>(D116-F116)/D116</f>
        <v>#REF!</v>
      </c>
      <c r="I116" s="1505"/>
      <c r="J116" s="1505"/>
      <c r="K116" s="1506"/>
      <c r="L116" s="1487" t="s">
        <v>658</v>
      </c>
      <c r="M116" s="1488"/>
      <c r="N116" s="1488"/>
      <c r="O116" s="379">
        <f>O114+O115</f>
        <v>3301000</v>
      </c>
      <c r="P116" s="75" t="s">
        <v>64</v>
      </c>
      <c r="Q116" s="1494" t="s">
        <v>68</v>
      </c>
      <c r="R116" s="1495"/>
      <c r="S116" s="387">
        <f>S114+S115</f>
        <v>34272549</v>
      </c>
    </row>
    <row r="117" spans="2:20" ht="14.1" customHeight="1" thickTop="1" thickBot="1">
      <c r="B117" s="250" t="s">
        <v>310</v>
      </c>
      <c r="C117" s="250"/>
      <c r="D117" s="250"/>
      <c r="E117" s="233"/>
      <c r="O117" s="675" t="e">
        <f>#REF!</f>
        <v>#REF!</v>
      </c>
      <c r="P117" s="75"/>
      <c r="Q117" s="75"/>
      <c r="R117" s="254" t="e">
        <f>總表!E43+總表!E52</f>
        <v>#REF!</v>
      </c>
      <c r="S117" s="254" t="e">
        <f>R117-S116</f>
        <v>#REF!</v>
      </c>
    </row>
    <row r="118" spans="2:20" ht="17.25" customHeight="1" thickBot="1">
      <c r="B118" s="250" t="s">
        <v>40</v>
      </c>
      <c r="C118" s="233"/>
      <c r="D118" s="233"/>
      <c r="E118" s="233"/>
      <c r="F118" s="233"/>
      <c r="L118" s="676" t="s">
        <v>659</v>
      </c>
      <c r="M118" s="677"/>
      <c r="N118" s="677"/>
      <c r="O118" s="384" t="e">
        <f>#REF!</f>
        <v>#REF!</v>
      </c>
      <c r="P118" s="75" t="s">
        <v>64</v>
      </c>
      <c r="T118" s="233"/>
    </row>
    <row r="119" spans="2:20" ht="15.75" customHeight="1">
      <c r="B119" s="75" t="s">
        <v>41</v>
      </c>
      <c r="N119" s="233"/>
      <c r="S119" s="75"/>
    </row>
  </sheetData>
  <mergeCells count="286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20:A22"/>
    <mergeCell ref="S20:S21"/>
    <mergeCell ref="A14:A15"/>
    <mergeCell ref="G14:I14"/>
    <mergeCell ref="K14:M14"/>
    <mergeCell ref="O14:R14"/>
    <mergeCell ref="G15:I15"/>
    <mergeCell ref="K15:M15"/>
    <mergeCell ref="O15:R15"/>
    <mergeCell ref="A18:A19"/>
    <mergeCell ref="K20:M21"/>
    <mergeCell ref="G20:I20"/>
    <mergeCell ref="O20:R20"/>
    <mergeCell ref="G21:I21"/>
    <mergeCell ref="O21:R21"/>
    <mergeCell ref="G22:I22"/>
    <mergeCell ref="K22:M22"/>
    <mergeCell ref="O22:R22"/>
    <mergeCell ref="G18:I18"/>
    <mergeCell ref="K18:M18"/>
    <mergeCell ref="O18:R18"/>
    <mergeCell ref="G19:I19"/>
    <mergeCell ref="K19:M19"/>
    <mergeCell ref="O19:R19"/>
    <mergeCell ref="K23:M23"/>
    <mergeCell ref="O23:R23"/>
    <mergeCell ref="A24:A29"/>
    <mergeCell ref="G24:I24"/>
    <mergeCell ref="K24:M26"/>
    <mergeCell ref="O24:R26"/>
    <mergeCell ref="S24:S26"/>
    <mergeCell ref="G25:I25"/>
    <mergeCell ref="G26:I26"/>
    <mergeCell ref="G27:I27"/>
    <mergeCell ref="K27:M29"/>
    <mergeCell ref="O27:R29"/>
    <mergeCell ref="S27:S29"/>
    <mergeCell ref="G28:I28"/>
    <mergeCell ref="G29:I29"/>
    <mergeCell ref="C30:E30"/>
    <mergeCell ref="O30:R30"/>
    <mergeCell ref="A31:A37"/>
    <mergeCell ref="C31:E31"/>
    <mergeCell ref="M31:M33"/>
    <mergeCell ref="O31:R33"/>
    <mergeCell ref="S31:S33"/>
    <mergeCell ref="C32:E32"/>
    <mergeCell ref="C33:E33"/>
    <mergeCell ref="C34:E34"/>
    <mergeCell ref="M34:M37"/>
    <mergeCell ref="O34:R37"/>
    <mergeCell ref="S34:S37"/>
    <mergeCell ref="C35:E35"/>
    <mergeCell ref="C36:E36"/>
    <mergeCell ref="C37:E37"/>
    <mergeCell ref="A38:A43"/>
    <mergeCell ref="C38:E38"/>
    <mergeCell ref="M38:M40"/>
    <mergeCell ref="O38:R40"/>
    <mergeCell ref="S38:S40"/>
    <mergeCell ref="C39:E39"/>
    <mergeCell ref="C40:E40"/>
    <mergeCell ref="C41:E41"/>
    <mergeCell ref="M41:M43"/>
    <mergeCell ref="O41:R43"/>
    <mergeCell ref="S41:S43"/>
    <mergeCell ref="C42:E42"/>
    <mergeCell ref="C43:E43"/>
    <mergeCell ref="A44:A49"/>
    <mergeCell ref="C44:E44"/>
    <mergeCell ref="M44:M46"/>
    <mergeCell ref="O44:R46"/>
    <mergeCell ref="S44:S46"/>
    <mergeCell ref="C45:E45"/>
    <mergeCell ref="C46:E46"/>
    <mergeCell ref="C47:E47"/>
    <mergeCell ref="M47:M49"/>
    <mergeCell ref="O47:R49"/>
    <mergeCell ref="S47:S49"/>
    <mergeCell ref="C48:E48"/>
    <mergeCell ref="C49:E49"/>
    <mergeCell ref="A50:A51"/>
    <mergeCell ref="C50:E50"/>
    <mergeCell ref="O50:R50"/>
    <mergeCell ref="V50:X50"/>
    <mergeCell ref="C51:E51"/>
    <mergeCell ref="O51:R51"/>
    <mergeCell ref="V51:X51"/>
    <mergeCell ref="A52:A53"/>
    <mergeCell ref="C52:E52"/>
    <mergeCell ref="O52:R52"/>
    <mergeCell ref="C53:E53"/>
    <mergeCell ref="O53:R53"/>
    <mergeCell ref="A54:A55"/>
    <mergeCell ref="C54:E54"/>
    <mergeCell ref="O54:R54"/>
    <mergeCell ref="C55:E55"/>
    <mergeCell ref="O55:R55"/>
    <mergeCell ref="A56:A57"/>
    <mergeCell ref="C56:E56"/>
    <mergeCell ref="O56:R56"/>
    <mergeCell ref="C57:E57"/>
    <mergeCell ref="O57:R57"/>
    <mergeCell ref="A58:A59"/>
    <mergeCell ref="C58:E58"/>
    <mergeCell ref="O58:R58"/>
    <mergeCell ref="C59:E59"/>
    <mergeCell ref="O59:R59"/>
    <mergeCell ref="A60:A61"/>
    <mergeCell ref="C60:E60"/>
    <mergeCell ref="O60:R60"/>
    <mergeCell ref="C61:E61"/>
    <mergeCell ref="O61:R61"/>
    <mergeCell ref="A67:A68"/>
    <mergeCell ref="C67:E67"/>
    <mergeCell ref="O67:R67"/>
    <mergeCell ref="C68:E68"/>
    <mergeCell ref="O68:R68"/>
    <mergeCell ref="A69:A70"/>
    <mergeCell ref="C69:E69"/>
    <mergeCell ref="A62:A63"/>
    <mergeCell ref="C62:E62"/>
    <mergeCell ref="O62:R62"/>
    <mergeCell ref="C63:E63"/>
    <mergeCell ref="O63:R63"/>
    <mergeCell ref="O69:R69"/>
    <mergeCell ref="C70:E70"/>
    <mergeCell ref="O70:R70"/>
    <mergeCell ref="A64:A65"/>
    <mergeCell ref="C64:E64"/>
    <mergeCell ref="O64:R64"/>
    <mergeCell ref="C65:E65"/>
    <mergeCell ref="O65:R65"/>
    <mergeCell ref="O66:R66"/>
    <mergeCell ref="A71:A72"/>
    <mergeCell ref="C71:E71"/>
    <mergeCell ref="O71:R71"/>
    <mergeCell ref="C72:E72"/>
    <mergeCell ref="O72:R72"/>
    <mergeCell ref="A73:A74"/>
    <mergeCell ref="C73:E73"/>
    <mergeCell ref="O73:R73"/>
    <mergeCell ref="C74:E74"/>
    <mergeCell ref="O74:R74"/>
    <mergeCell ref="A75:A76"/>
    <mergeCell ref="C75:E75"/>
    <mergeCell ref="O75:R75"/>
    <mergeCell ref="C76:E76"/>
    <mergeCell ref="O76:R76"/>
    <mergeCell ref="A77:A78"/>
    <mergeCell ref="C77:E77"/>
    <mergeCell ref="C82:E82"/>
    <mergeCell ref="O82:R82"/>
    <mergeCell ref="O77:R77"/>
    <mergeCell ref="C78:E78"/>
    <mergeCell ref="O78:R78"/>
    <mergeCell ref="A83:A84"/>
    <mergeCell ref="C83:E83"/>
    <mergeCell ref="O83:R83"/>
    <mergeCell ref="A79:A80"/>
    <mergeCell ref="C79:E79"/>
    <mergeCell ref="O79:R79"/>
    <mergeCell ref="C80:E80"/>
    <mergeCell ref="O80:R80"/>
    <mergeCell ref="A89:A90"/>
    <mergeCell ref="C89:G89"/>
    <mergeCell ref="O89:R89"/>
    <mergeCell ref="C90:G90"/>
    <mergeCell ref="O90:R90"/>
    <mergeCell ref="C84:E84"/>
    <mergeCell ref="O84:R84"/>
    <mergeCell ref="O85:R85"/>
    <mergeCell ref="C86:G86"/>
    <mergeCell ref="O86:R86"/>
    <mergeCell ref="A81:A82"/>
    <mergeCell ref="C81:E81"/>
    <mergeCell ref="O81:R81"/>
    <mergeCell ref="A91:A92"/>
    <mergeCell ref="C91:G91"/>
    <mergeCell ref="O91:R91"/>
    <mergeCell ref="C92:G92"/>
    <mergeCell ref="O92:R92"/>
    <mergeCell ref="A87:A88"/>
    <mergeCell ref="C87:G87"/>
    <mergeCell ref="O87:R87"/>
    <mergeCell ref="C88:G88"/>
    <mergeCell ref="O88:R88"/>
    <mergeCell ref="A93:A94"/>
    <mergeCell ref="C93:G93"/>
    <mergeCell ref="O93:R93"/>
    <mergeCell ref="C94:G94"/>
    <mergeCell ref="O94:R94"/>
    <mergeCell ref="C95:G95"/>
    <mergeCell ref="C96:G96"/>
    <mergeCell ref="O96:R96"/>
    <mergeCell ref="A97:A105"/>
    <mergeCell ref="C97:G97"/>
    <mergeCell ref="O97:R97"/>
    <mergeCell ref="S97:S101"/>
    <mergeCell ref="C98:G98"/>
    <mergeCell ref="C99:G99"/>
    <mergeCell ref="C100:G100"/>
    <mergeCell ref="C101:G101"/>
    <mergeCell ref="C102:G102"/>
    <mergeCell ref="O102:R105"/>
    <mergeCell ref="S102:S105"/>
    <mergeCell ref="C103:G103"/>
    <mergeCell ref="C104:G104"/>
    <mergeCell ref="C105:G105"/>
    <mergeCell ref="Q115:R115"/>
    <mergeCell ref="A108:D108"/>
    <mergeCell ref="G108:K108"/>
    <mergeCell ref="N108:P108"/>
    <mergeCell ref="A109:D109"/>
    <mergeCell ref="G109:K109"/>
    <mergeCell ref="N109:P109"/>
    <mergeCell ref="A110:D110"/>
    <mergeCell ref="G110:K110"/>
    <mergeCell ref="N110:P110"/>
    <mergeCell ref="B116:C116"/>
    <mergeCell ref="D116:E116"/>
    <mergeCell ref="F116:G116"/>
    <mergeCell ref="H116:K116"/>
    <mergeCell ref="L116:N116"/>
    <mergeCell ref="Q116:R116"/>
    <mergeCell ref="G10:I10"/>
    <mergeCell ref="O10:R10"/>
    <mergeCell ref="G17:I17"/>
    <mergeCell ref="K17:M17"/>
    <mergeCell ref="O17:R17"/>
    <mergeCell ref="G11:I11"/>
    <mergeCell ref="O11:R11"/>
    <mergeCell ref="B114:C114"/>
    <mergeCell ref="D114:E114"/>
    <mergeCell ref="F114:G114"/>
    <mergeCell ref="H114:K114"/>
    <mergeCell ref="L114:N114"/>
    <mergeCell ref="Q114:R114"/>
    <mergeCell ref="B115:C115"/>
    <mergeCell ref="D115:E115"/>
    <mergeCell ref="F115:G115"/>
    <mergeCell ref="H115:K115"/>
    <mergeCell ref="L115:N115"/>
    <mergeCell ref="A9:A11"/>
    <mergeCell ref="K10:M11"/>
    <mergeCell ref="S10:S11"/>
    <mergeCell ref="G16:I16"/>
    <mergeCell ref="K16:M16"/>
    <mergeCell ref="O16:R16"/>
    <mergeCell ref="A16:A17"/>
    <mergeCell ref="G9:I9"/>
    <mergeCell ref="K9:M9"/>
    <mergeCell ref="O9:R9"/>
    <mergeCell ref="A12:A13"/>
    <mergeCell ref="G12:I12"/>
    <mergeCell ref="K12:M12"/>
    <mergeCell ref="O12:R12"/>
    <mergeCell ref="G13:I13"/>
    <mergeCell ref="K13:M13"/>
    <mergeCell ref="O13:R13"/>
  </mergeCells>
  <phoneticPr fontId="26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A117"/>
  <sheetViews>
    <sheetView workbookViewId="0">
      <selection activeCell="A114" sqref="A114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1101</v>
      </c>
      <c r="O2" s="1319"/>
      <c r="P2" s="1320"/>
      <c r="Q2" s="1318" t="s">
        <v>905</v>
      </c>
      <c r="R2" s="1320"/>
      <c r="S2" s="642" t="s">
        <v>801</v>
      </c>
    </row>
    <row r="3" spans="1:23" ht="1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831</v>
      </c>
      <c r="O3" s="1319"/>
      <c r="P3" s="1320"/>
      <c r="Q3" s="1318" t="s">
        <v>830</v>
      </c>
      <c r="R3" s="1320"/>
      <c r="S3" s="85"/>
    </row>
    <row r="4" spans="1:23" ht="17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831</v>
      </c>
      <c r="O4" s="1319"/>
      <c r="P4" s="1320"/>
      <c r="Q4" s="1318" t="s">
        <v>830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45249</v>
      </c>
      <c r="D5" s="419" t="s">
        <v>1100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1.1499999999999999</v>
      </c>
      <c r="E9" s="815">
        <v>805</v>
      </c>
      <c r="F9" s="815">
        <f>'102'!O46</f>
        <v>850</v>
      </c>
      <c r="G9" s="1311">
        <f>'102'!K46</f>
        <v>9847</v>
      </c>
      <c r="H9" s="1312"/>
      <c r="I9" s="1313"/>
      <c r="J9" s="814">
        <f>'102'!L46</f>
        <v>0</v>
      </c>
      <c r="K9" s="1314">
        <f>'102'!P46</f>
        <v>0.96539215686274504</v>
      </c>
      <c r="L9" s="1315"/>
      <c r="M9" s="1316"/>
      <c r="N9" s="820">
        <f>J9/(G9+J9)</f>
        <v>0</v>
      </c>
      <c r="O9" s="1521" t="str">
        <f>'102'!U46</f>
        <v>19:26最後一支交接班</v>
      </c>
      <c r="P9" s="1522"/>
      <c r="Q9" s="1522"/>
      <c r="R9" s="1523"/>
      <c r="S9" s="892" t="str">
        <f>'102'!V46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1.1499999999999999</v>
      </c>
      <c r="E10" s="880">
        <v>805</v>
      </c>
      <c r="F10" s="880">
        <f>'102'!O47</f>
        <v>850</v>
      </c>
      <c r="G10" s="1327">
        <f>'102'!K47</f>
        <v>9836</v>
      </c>
      <c r="H10" s="1328"/>
      <c r="I10" s="1329"/>
      <c r="J10" s="423">
        <f>'102'!L47</f>
        <v>0</v>
      </c>
      <c r="K10" s="1314">
        <f>'102'!P47</f>
        <v>0.96431372549019612</v>
      </c>
      <c r="L10" s="1315"/>
      <c r="M10" s="1316"/>
      <c r="N10" s="820">
        <f>J10/(G10+J10)</f>
        <v>0</v>
      </c>
      <c r="O10" s="1521" t="str">
        <f>'102'!U47</f>
        <v>07:14最後一支交接班</v>
      </c>
      <c r="P10" s="1522"/>
      <c r="Q10" s="1522"/>
      <c r="R10" s="1523"/>
      <c r="S10" s="892" t="str">
        <f>'102'!V47</f>
        <v>阮功體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 t="s">
        <v>633</v>
      </c>
      <c r="E11" s="815"/>
      <c r="F11" s="815"/>
      <c r="G11" s="1311"/>
      <c r="H11" s="1312"/>
      <c r="I11" s="1313"/>
      <c r="J11" s="814"/>
      <c r="K11" s="1314"/>
      <c r="L11" s="1315"/>
      <c r="M11" s="1316"/>
      <c r="N11" s="820"/>
      <c r="O11" s="1308"/>
      <c r="P11" s="1309"/>
      <c r="Q11" s="1309"/>
      <c r="R11" s="1310"/>
      <c r="S11" s="822"/>
    </row>
    <row r="12" spans="1:23" ht="17.25" customHeight="1">
      <c r="A12" s="1326"/>
      <c r="B12" s="881" t="s">
        <v>207</v>
      </c>
      <c r="C12" s="422" t="s">
        <v>44</v>
      </c>
      <c r="D12" s="421" t="s">
        <v>633</v>
      </c>
      <c r="E12" s="880"/>
      <c r="F12" s="880"/>
      <c r="G12" s="1327"/>
      <c r="H12" s="1328"/>
      <c r="I12" s="1329"/>
      <c r="J12" s="423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851">
        <v>1.55</v>
      </c>
      <c r="E15" s="815">
        <v>715</v>
      </c>
      <c r="F15" s="815">
        <f>'105'!O43</f>
        <v>450</v>
      </c>
      <c r="G15" s="1311">
        <f>'105'!K43</f>
        <v>5463</v>
      </c>
      <c r="H15" s="1312"/>
      <c r="I15" s="1313"/>
      <c r="J15" s="814">
        <f>'105'!L43</f>
        <v>0</v>
      </c>
      <c r="K15" s="1330">
        <f>'105'!P43</f>
        <v>1.0116666666666667</v>
      </c>
      <c r="L15" s="1331"/>
      <c r="M15" s="1332"/>
      <c r="N15" s="871">
        <f t="shared" ref="N15:N20" si="0">J15/(G15+J15)</f>
        <v>0</v>
      </c>
      <c r="O15" s="1333" t="str">
        <f>'105'!U43</f>
        <v>20:05最後一支交接班</v>
      </c>
      <c r="P15" s="1334"/>
      <c r="Q15" s="1334"/>
      <c r="R15" s="1335"/>
      <c r="S15" s="860" t="str">
        <f>'105'!V43</f>
        <v>吉內思</v>
      </c>
    </row>
    <row r="16" spans="1:23" ht="17.25" customHeight="1">
      <c r="A16" s="1102"/>
      <c r="B16" s="881" t="s">
        <v>43</v>
      </c>
      <c r="C16" s="422" t="s">
        <v>44</v>
      </c>
      <c r="D16" s="421">
        <v>1.55</v>
      </c>
      <c r="E16" s="880">
        <v>715</v>
      </c>
      <c r="F16" s="880">
        <f>'105'!O44</f>
        <v>450</v>
      </c>
      <c r="G16" s="1327">
        <f>'105'!K44</f>
        <v>4645</v>
      </c>
      <c r="H16" s="1328"/>
      <c r="I16" s="1329"/>
      <c r="J16" s="423">
        <f>'105'!L44</f>
        <v>0</v>
      </c>
      <c r="K16" s="1330">
        <f>'105'!P44</f>
        <v>0.86018518518518516</v>
      </c>
      <c r="L16" s="1331"/>
      <c r="M16" s="1332"/>
      <c r="N16" s="871">
        <f t="shared" si="0"/>
        <v>0</v>
      </c>
      <c r="O16" s="1333" t="str">
        <f>'105'!U44</f>
        <v>07:05最後一支交接班</v>
      </c>
      <c r="P16" s="1334"/>
      <c r="Q16" s="1334"/>
      <c r="R16" s="1335"/>
      <c r="S16" s="860" t="str">
        <f>'105'!V44</f>
        <v>阮宏山</v>
      </c>
    </row>
    <row r="17" spans="1:19" ht="17.25" customHeight="1">
      <c r="A17" s="1370" t="s">
        <v>644</v>
      </c>
      <c r="B17" s="84" t="s">
        <v>205</v>
      </c>
      <c r="C17" s="850" t="s">
        <v>42</v>
      </c>
      <c r="D17" s="851">
        <v>1.65</v>
      </c>
      <c r="E17" s="815">
        <v>805</v>
      </c>
      <c r="F17" s="815">
        <f>'106'!O46</f>
        <v>1185</v>
      </c>
      <c r="G17" s="1311">
        <f>'106'!K46</f>
        <v>14239</v>
      </c>
      <c r="H17" s="1312"/>
      <c r="I17" s="1313"/>
      <c r="J17" s="814">
        <f>'106'!L46</f>
        <v>0</v>
      </c>
      <c r="K17" s="1330">
        <f>'106'!P46</f>
        <v>1.0013361462728552</v>
      </c>
      <c r="L17" s="1331"/>
      <c r="M17" s="1332"/>
      <c r="N17" s="871">
        <f t="shared" si="0"/>
        <v>0</v>
      </c>
      <c r="O17" s="1364" t="str">
        <f>'106'!U46</f>
        <v>20:00最後一支交接班</v>
      </c>
      <c r="P17" s="1365"/>
      <c r="Q17" s="1365"/>
      <c r="R17" s="1366"/>
      <c r="S17" s="822" t="str">
        <f>'106'!V46</f>
        <v>黎文中.史豐銘</v>
      </c>
    </row>
    <row r="18" spans="1:19" ht="17.25" customHeight="1">
      <c r="A18" s="1562"/>
      <c r="B18" s="881" t="s">
        <v>43</v>
      </c>
      <c r="C18" s="422" t="s">
        <v>42</v>
      </c>
      <c r="D18" s="421">
        <v>1.65</v>
      </c>
      <c r="E18" s="880">
        <v>805</v>
      </c>
      <c r="F18" s="880">
        <f>'106'!O47</f>
        <v>1185</v>
      </c>
      <c r="G18" s="1327">
        <f>'106'!K47</f>
        <v>13115</v>
      </c>
      <c r="H18" s="1328"/>
      <c r="I18" s="1329"/>
      <c r="J18" s="423">
        <f>'106'!L47</f>
        <v>0</v>
      </c>
      <c r="K18" s="1330">
        <f>'106'!P47</f>
        <v>0.9222925457102672</v>
      </c>
      <c r="L18" s="1331"/>
      <c r="M18" s="1332"/>
      <c r="N18" s="871">
        <f t="shared" si="0"/>
        <v>0</v>
      </c>
      <c r="O18" s="1364" t="str">
        <f>'106'!U47</f>
        <v>07:34最後一支交接班</v>
      </c>
      <c r="P18" s="1365"/>
      <c r="Q18" s="1365"/>
      <c r="R18" s="1366"/>
      <c r="S18" s="822" t="str">
        <f>'106'!V47</f>
        <v>黃隨貴</v>
      </c>
    </row>
    <row r="19" spans="1:19" ht="17.25" customHeight="1">
      <c r="A19" s="1362" t="s">
        <v>418</v>
      </c>
      <c r="B19" s="84" t="s">
        <v>205</v>
      </c>
      <c r="C19" s="850" t="s">
        <v>44</v>
      </c>
      <c r="D19" s="851">
        <v>0.47</v>
      </c>
      <c r="E19" s="815">
        <v>820</v>
      </c>
      <c r="F19" s="815">
        <f>'107'!O48</f>
        <v>450</v>
      </c>
      <c r="G19" s="1311">
        <f>'107'!K48</f>
        <v>5030</v>
      </c>
      <c r="H19" s="1312"/>
      <c r="I19" s="1313"/>
      <c r="J19" s="814">
        <f>'107'!L48</f>
        <v>0</v>
      </c>
      <c r="K19" s="1314">
        <f>'107'!P48</f>
        <v>0.93148148148148147</v>
      </c>
      <c r="L19" s="1315"/>
      <c r="M19" s="1316"/>
      <c r="N19" s="871">
        <f t="shared" si="0"/>
        <v>0</v>
      </c>
      <c r="O19" s="1364" t="str">
        <f>'107'!U48</f>
        <v>19:21最後一支交接班</v>
      </c>
      <c r="P19" s="1365"/>
      <c r="Q19" s="1365"/>
      <c r="R19" s="1366"/>
      <c r="S19" s="822" t="str">
        <f>'107'!V48</f>
        <v>潘文銅</v>
      </c>
    </row>
    <row r="20" spans="1:19" ht="17.25" customHeight="1">
      <c r="A20" s="1363"/>
      <c r="B20" s="881" t="s">
        <v>43</v>
      </c>
      <c r="C20" s="422" t="s">
        <v>44</v>
      </c>
      <c r="D20" s="421">
        <v>0.47</v>
      </c>
      <c r="E20" s="880">
        <v>820</v>
      </c>
      <c r="F20" s="880">
        <f>'107'!O49</f>
        <v>450</v>
      </c>
      <c r="G20" s="1327">
        <f>'107'!K49</f>
        <v>5035</v>
      </c>
      <c r="H20" s="1328"/>
      <c r="I20" s="1329"/>
      <c r="J20" s="423">
        <f>'107'!L49</f>
        <v>0</v>
      </c>
      <c r="K20" s="1314">
        <f>'107'!P49</f>
        <v>0.93240740740740746</v>
      </c>
      <c r="L20" s="1315"/>
      <c r="M20" s="1316"/>
      <c r="N20" s="871">
        <f t="shared" si="0"/>
        <v>0</v>
      </c>
      <c r="O20" s="1364" t="str">
        <f>'107'!U49</f>
        <v>07:55最後一支交接班</v>
      </c>
      <c r="P20" s="1365"/>
      <c r="Q20" s="1365"/>
      <c r="R20" s="1366"/>
      <c r="S20" s="822" t="str">
        <f>'107'!V49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67210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1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1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1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1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67210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s">
        <v>633</v>
      </c>
      <c r="D48" s="1427"/>
      <c r="E48" s="1427"/>
      <c r="F48" s="827"/>
      <c r="G48" s="828"/>
      <c r="H48" s="815"/>
      <c r="I48" s="827"/>
      <c r="J48" s="828"/>
      <c r="K48" s="828"/>
      <c r="L48" s="828"/>
      <c r="M48" s="661"/>
      <c r="N48" s="662"/>
      <c r="O48" s="1361"/>
      <c r="P48" s="1361"/>
      <c r="Q48" s="1361"/>
      <c r="R48" s="1361"/>
      <c r="S48" s="822"/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s">
        <v>633</v>
      </c>
      <c r="D49" s="1360"/>
      <c r="E49" s="1360"/>
      <c r="F49" s="418"/>
      <c r="G49" s="660"/>
      <c r="H49" s="880"/>
      <c r="I49" s="418"/>
      <c r="J49" s="660"/>
      <c r="K49" s="660"/>
      <c r="L49" s="660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17.25" customHeight="1">
      <c r="A50" s="1126" t="s">
        <v>22</v>
      </c>
      <c r="B50" s="84" t="s">
        <v>0</v>
      </c>
      <c r="C50" s="1427" t="s">
        <v>633</v>
      </c>
      <c r="D50" s="1427"/>
      <c r="E50" s="1427"/>
      <c r="F50" s="827"/>
      <c r="G50" s="852"/>
      <c r="H50" s="815"/>
      <c r="I50" s="827"/>
      <c r="J50" s="852"/>
      <c r="K50" s="885"/>
      <c r="L50" s="885"/>
      <c r="M50" s="863"/>
      <c r="N50" s="415"/>
      <c r="O50" s="1364"/>
      <c r="P50" s="1365"/>
      <c r="Q50" s="1365"/>
      <c r="R50" s="1366"/>
      <c r="S50" s="821"/>
    </row>
    <row r="51" spans="1:24" ht="17.25" customHeight="1">
      <c r="A51" s="1127"/>
      <c r="B51" s="881" t="s">
        <v>43</v>
      </c>
      <c r="C51" s="1360" t="s">
        <v>633</v>
      </c>
      <c r="D51" s="1360"/>
      <c r="E51" s="1360"/>
      <c r="F51" s="418"/>
      <c r="G51" s="840"/>
      <c r="H51" s="880"/>
      <c r="I51" s="418"/>
      <c r="J51" s="840"/>
      <c r="K51" s="890"/>
      <c r="L51" s="890"/>
      <c r="M51" s="863"/>
      <c r="N51" s="415"/>
      <c r="O51" s="1364"/>
      <c r="P51" s="1365"/>
      <c r="Q51" s="1365"/>
      <c r="R51" s="1366"/>
      <c r="S51" s="821"/>
    </row>
    <row r="52" spans="1:24" ht="17.25" customHeight="1">
      <c r="A52" s="1428" t="s">
        <v>23</v>
      </c>
      <c r="B52" s="84" t="s">
        <v>0</v>
      </c>
      <c r="C52" s="1427" t="s">
        <v>633</v>
      </c>
      <c r="D52" s="1427"/>
      <c r="E52" s="1427"/>
      <c r="F52" s="827"/>
      <c r="G52" s="828"/>
      <c r="H52" s="815"/>
      <c r="I52" s="827"/>
      <c r="J52" s="828"/>
      <c r="K52" s="828"/>
      <c r="L52" s="828"/>
      <c r="M52" s="865"/>
      <c r="N52" s="662"/>
      <c r="O52" s="1364"/>
      <c r="P52" s="1365"/>
      <c r="Q52" s="1365"/>
      <c r="R52" s="1366"/>
      <c r="S52" s="822"/>
    </row>
    <row r="53" spans="1:24" ht="17.25" customHeight="1">
      <c r="A53" s="1563"/>
      <c r="B53" s="381" t="s">
        <v>43</v>
      </c>
      <c r="C53" s="1360" t="s">
        <v>633</v>
      </c>
      <c r="D53" s="1360"/>
      <c r="E53" s="1360"/>
      <c r="F53" s="418"/>
      <c r="G53" s="660"/>
      <c r="H53" s="880"/>
      <c r="I53" s="418"/>
      <c r="J53" s="660"/>
      <c r="K53" s="660"/>
      <c r="L53" s="660"/>
      <c r="M53" s="865"/>
      <c r="N53" s="662"/>
      <c r="O53" s="1364"/>
      <c r="P53" s="1365"/>
      <c r="Q53" s="1365"/>
      <c r="R53" s="1366"/>
      <c r="S53" s="822"/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6" t="s">
        <v>634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816"/>
      <c r="N56" s="817"/>
      <c r="O56" s="1430"/>
      <c r="P56" s="1431"/>
      <c r="Q56" s="1431"/>
      <c r="R56" s="1432"/>
      <c r="S56" s="822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816"/>
      <c r="N57" s="817"/>
      <c r="O57" s="1430"/>
      <c r="P57" s="1431"/>
      <c r="Q57" s="1431"/>
      <c r="R57" s="1432"/>
      <c r="S57" s="822"/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55"/>
    </row>
    <row r="59" spans="1:24" ht="17.25" customHeight="1">
      <c r="A59" s="1189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8"/>
      <c r="O59" s="1333"/>
      <c r="P59" s="1334"/>
      <c r="Q59" s="1334"/>
      <c r="R59" s="1335"/>
      <c r="S59" s="855"/>
    </row>
    <row r="60" spans="1:24" ht="17.25" customHeight="1">
      <c r="A60" s="1126" t="s">
        <v>635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7"/>
      <c r="O60" s="1436"/>
      <c r="P60" s="1436"/>
      <c r="Q60" s="1436"/>
      <c r="R60" s="1436"/>
      <c r="S60" s="848"/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26" t="s">
        <v>636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21"/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>
        <f>SUM(K48:K63)</f>
        <v>0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17.25" customHeight="1">
      <c r="A65" s="1568" t="s">
        <v>25</v>
      </c>
      <c r="B65" s="84" t="s">
        <v>0</v>
      </c>
      <c r="C65" s="1427" t="s">
        <v>633</v>
      </c>
      <c r="D65" s="1427"/>
      <c r="E65" s="1427"/>
      <c r="F65" s="827"/>
      <c r="G65" s="828"/>
      <c r="H65" s="815"/>
      <c r="I65" s="827"/>
      <c r="J65" s="828"/>
      <c r="K65" s="828"/>
      <c r="L65" s="828"/>
      <c r="M65" s="659"/>
      <c r="N65" s="415"/>
      <c r="O65" s="1437"/>
      <c r="P65" s="1438"/>
      <c r="Q65" s="1438"/>
      <c r="R65" s="1439"/>
      <c r="S65" s="876"/>
    </row>
    <row r="66" spans="1:79" ht="17.25" customHeight="1">
      <c r="A66" s="1570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126" t="s">
        <v>62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549"/>
      <c r="P67" s="1550"/>
      <c r="Q67" s="1550"/>
      <c r="R67" s="1551"/>
      <c r="S67" s="893"/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17.25" customHeight="1">
      <c r="A68" s="1127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549"/>
      <c r="P68" s="1550"/>
      <c r="Q68" s="1550"/>
      <c r="R68" s="1551"/>
      <c r="S68" s="893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26" t="s">
        <v>640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658"/>
      <c r="O69" s="1437"/>
      <c r="P69" s="1438"/>
      <c r="Q69" s="1438"/>
      <c r="R69" s="1439"/>
      <c r="S69" s="823"/>
    </row>
    <row r="70" spans="1:79" ht="17.25" customHeight="1">
      <c r="A70" s="1189"/>
      <c r="B70" s="8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658"/>
      <c r="O70" s="1437"/>
      <c r="P70" s="1438"/>
      <c r="Q70" s="1438"/>
      <c r="R70" s="1439"/>
      <c r="S70" s="823"/>
    </row>
    <row r="71" spans="1:79" ht="17.25" customHeight="1">
      <c r="A71" s="1440" t="s">
        <v>26</v>
      </c>
      <c r="B71" s="84" t="s">
        <v>0</v>
      </c>
      <c r="C71" s="1427" t="s">
        <v>633</v>
      </c>
      <c r="D71" s="1427"/>
      <c r="E71" s="1427"/>
      <c r="F71" s="827"/>
      <c r="G71" s="828"/>
      <c r="H71" s="815"/>
      <c r="I71" s="827"/>
      <c r="J71" s="828"/>
      <c r="K71" s="828"/>
      <c r="L71" s="828"/>
      <c r="M71" s="842"/>
      <c r="N71" s="415"/>
      <c r="O71" s="1442"/>
      <c r="P71" s="1443"/>
      <c r="Q71" s="1443"/>
      <c r="R71" s="1444"/>
      <c r="S71" s="822"/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441"/>
      <c r="B72" s="881" t="s">
        <v>43</v>
      </c>
      <c r="C72" s="1360" t="s">
        <v>633</v>
      </c>
      <c r="D72" s="1360"/>
      <c r="E72" s="1360"/>
      <c r="F72" s="418"/>
      <c r="G72" s="660"/>
      <c r="H72" s="880"/>
      <c r="I72" s="418"/>
      <c r="J72" s="660"/>
      <c r="K72" s="660"/>
      <c r="L72" s="660"/>
      <c r="M72" s="842"/>
      <c r="N72" s="415"/>
      <c r="O72" s="1442"/>
      <c r="P72" s="1443"/>
      <c r="Q72" s="1443"/>
      <c r="R72" s="1444"/>
      <c r="S72" s="822"/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0" t="s">
        <v>27</v>
      </c>
      <c r="B73" s="841" t="s">
        <v>0</v>
      </c>
      <c r="C73" s="1427" t="s">
        <v>633</v>
      </c>
      <c r="D73" s="1427"/>
      <c r="E73" s="1427"/>
      <c r="F73" s="827"/>
      <c r="G73" s="828"/>
      <c r="H73" s="815"/>
      <c r="I73" s="827"/>
      <c r="J73" s="828"/>
      <c r="K73" s="828"/>
      <c r="L73" s="828"/>
      <c r="M73" s="842"/>
      <c r="N73" s="415"/>
      <c r="O73" s="1442"/>
      <c r="P73" s="1443"/>
      <c r="Q73" s="1443"/>
      <c r="R73" s="1444"/>
      <c r="S73" s="822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547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641</v>
      </c>
      <c r="B75" s="84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659"/>
      <c r="N75" s="415"/>
      <c r="O75" s="1437"/>
      <c r="P75" s="1438"/>
      <c r="Q75" s="1438"/>
      <c r="R75" s="1439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126" t="s">
        <v>642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816"/>
      <c r="N77" s="415"/>
      <c r="O77" s="1437"/>
      <c r="P77" s="1438"/>
      <c r="Q77" s="1438"/>
      <c r="R77" s="1439"/>
      <c r="S77" s="823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816"/>
      <c r="N78" s="415"/>
      <c r="O78" s="1437"/>
      <c r="P78" s="1438"/>
      <c r="Q78" s="1438"/>
      <c r="R78" s="1439"/>
      <c r="S78" s="82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643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659"/>
      <c r="N79" s="415"/>
      <c r="O79" s="1554"/>
      <c r="P79" s="1555"/>
      <c r="Q79" s="1555"/>
      <c r="R79" s="1556"/>
      <c r="S79" s="877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7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659"/>
      <c r="N80" s="415"/>
      <c r="O80" s="1437"/>
      <c r="P80" s="1438"/>
      <c r="Q80" s="1438"/>
      <c r="R80" s="1439"/>
      <c r="S80" s="848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651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437"/>
      <c r="P81" s="1438"/>
      <c r="Q81" s="1438"/>
      <c r="R81" s="1439"/>
      <c r="S81" s="82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7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549"/>
      <c r="P82" s="1550"/>
      <c r="Q82" s="1550"/>
      <c r="R82" s="1551"/>
      <c r="S82" s="855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837"/>
      <c r="B83" s="841"/>
      <c r="C83" s="882"/>
      <c r="D83" s="883"/>
      <c r="E83" s="883"/>
      <c r="F83" s="845"/>
      <c r="G83" s="846"/>
      <c r="H83" s="815"/>
      <c r="I83" s="827"/>
      <c r="J83" s="834" t="s">
        <v>666</v>
      </c>
      <c r="K83" s="847">
        <f>SUM(K65:K82)</f>
        <v>0</v>
      </c>
      <c r="L83" s="829"/>
      <c r="M83" s="659"/>
      <c r="N83" s="415"/>
      <c r="O83" s="1437"/>
      <c r="P83" s="1438"/>
      <c r="Q83" s="1438"/>
      <c r="R83" s="1439"/>
      <c r="S83" s="862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s="76" customFormat="1" ht="39" customHeight="1">
      <c r="A84" s="400" t="s">
        <v>63</v>
      </c>
      <c r="B84" s="400" t="s">
        <v>193</v>
      </c>
      <c r="C84" s="1445" t="s">
        <v>11</v>
      </c>
      <c r="D84" s="1446"/>
      <c r="E84" s="1446"/>
      <c r="F84" s="1446"/>
      <c r="G84" s="1447"/>
      <c r="H84" s="242" t="s">
        <v>216</v>
      </c>
      <c r="I84" s="242" t="s">
        <v>12</v>
      </c>
      <c r="J84" s="242" t="s">
        <v>13</v>
      </c>
      <c r="K84" s="405" t="s">
        <v>218</v>
      </c>
      <c r="L84" s="416" t="s">
        <v>60</v>
      </c>
      <c r="M84" s="257" t="s">
        <v>28</v>
      </c>
      <c r="N84" s="257" t="s">
        <v>45</v>
      </c>
      <c r="O84" s="1448" t="s">
        <v>29</v>
      </c>
      <c r="P84" s="1449"/>
      <c r="Q84" s="1449"/>
      <c r="R84" s="1450"/>
      <c r="S84" s="417" t="s">
        <v>57</v>
      </c>
    </row>
    <row r="85" spans="1:79" ht="18" customHeight="1">
      <c r="A85" s="1199">
        <v>401</v>
      </c>
      <c r="B85" s="84" t="s">
        <v>0</v>
      </c>
      <c r="C85" s="1290" t="s">
        <v>633</v>
      </c>
      <c r="D85" s="1290"/>
      <c r="E85" s="1290"/>
      <c r="F85" s="1290"/>
      <c r="G85" s="1290"/>
      <c r="H85" s="849"/>
      <c r="I85" s="849"/>
      <c r="J85" s="852"/>
      <c r="K85" s="872"/>
      <c r="L85" s="873"/>
      <c r="M85" s="852"/>
      <c r="N85" s="853"/>
      <c r="O85" s="1451"/>
      <c r="P85" s="1452"/>
      <c r="Q85" s="1452"/>
      <c r="R85" s="1453"/>
      <c r="S85" s="874"/>
    </row>
    <row r="86" spans="1:79" ht="18" customHeight="1">
      <c r="A86" s="1165"/>
      <c r="B86" s="881" t="s">
        <v>43</v>
      </c>
      <c r="C86" s="1454" t="s">
        <v>633</v>
      </c>
      <c r="D86" s="1454"/>
      <c r="E86" s="1454"/>
      <c r="F86" s="1454"/>
      <c r="G86" s="1454"/>
      <c r="H86" s="664"/>
      <c r="I86" s="664"/>
      <c r="J86" s="840"/>
      <c r="K86" s="424"/>
      <c r="L86" s="830"/>
      <c r="M86" s="840"/>
      <c r="N86" s="672"/>
      <c r="O86" s="1455"/>
      <c r="P86" s="1456"/>
      <c r="Q86" s="1456"/>
      <c r="R86" s="1457"/>
      <c r="S86" s="810"/>
    </row>
    <row r="87" spans="1:79" ht="18" customHeight="1">
      <c r="A87" s="1461">
        <v>402</v>
      </c>
      <c r="B87" s="84" t="s">
        <v>205</v>
      </c>
      <c r="C87" s="1290" t="s">
        <v>633</v>
      </c>
      <c r="D87" s="1290"/>
      <c r="E87" s="1290"/>
      <c r="F87" s="1290"/>
      <c r="G87" s="1290"/>
      <c r="H87" s="849"/>
      <c r="I87" s="849"/>
      <c r="J87" s="852"/>
      <c r="K87" s="872"/>
      <c r="L87" s="873"/>
      <c r="M87" s="852"/>
      <c r="N87" s="853"/>
      <c r="O87" s="1451"/>
      <c r="P87" s="1452"/>
      <c r="Q87" s="1452"/>
      <c r="R87" s="1453"/>
      <c r="S87" s="874"/>
    </row>
    <row r="88" spans="1:79" ht="18" customHeight="1">
      <c r="A88" s="1462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7.25" customHeight="1">
      <c r="A89" s="1466">
        <v>403</v>
      </c>
      <c r="B89" s="244" t="s">
        <v>0</v>
      </c>
      <c r="C89" s="1290" t="s">
        <v>633</v>
      </c>
      <c r="D89" s="1290"/>
      <c r="E89" s="1290"/>
      <c r="F89" s="1290"/>
      <c r="G89" s="1290"/>
      <c r="H89" s="849"/>
      <c r="I89" s="849"/>
      <c r="J89" s="852"/>
      <c r="K89" s="872"/>
      <c r="L89" s="852"/>
      <c r="M89" s="852"/>
      <c r="N89" s="853"/>
      <c r="O89" s="1451"/>
      <c r="P89" s="1452"/>
      <c r="Q89" s="1452"/>
      <c r="R89" s="1453"/>
      <c r="S89" s="874"/>
    </row>
    <row r="90" spans="1:79" ht="17.25" customHeight="1">
      <c r="A90" s="1467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4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199">
        <v>405</v>
      </c>
      <c r="B91" s="84" t="s">
        <v>0</v>
      </c>
      <c r="C91" s="1290" t="s">
        <v>633</v>
      </c>
      <c r="D91" s="1290"/>
      <c r="E91" s="1290"/>
      <c r="F91" s="1290"/>
      <c r="G91" s="1290"/>
      <c r="H91" s="849"/>
      <c r="I91" s="849"/>
      <c r="J91" s="852"/>
      <c r="K91" s="872"/>
      <c r="L91" s="852"/>
      <c r="M91" s="852"/>
      <c r="N91" s="853"/>
      <c r="O91" s="1451"/>
      <c r="P91" s="1452"/>
      <c r="Q91" s="1452"/>
      <c r="R91" s="1453"/>
      <c r="S91" s="874"/>
    </row>
    <row r="92" spans="1:79" ht="18" customHeight="1">
      <c r="A92" s="1165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40"/>
      <c r="M92" s="840"/>
      <c r="N92" s="672"/>
      <c r="O92" s="1455"/>
      <c r="P92" s="1456"/>
      <c r="Q92" s="1456"/>
      <c r="R92" s="1457"/>
      <c r="S92" s="810"/>
    </row>
    <row r="93" spans="1:79" ht="18" customHeight="1">
      <c r="A93" s="314"/>
      <c r="B93" s="841"/>
      <c r="C93" s="1458"/>
      <c r="D93" s="1459"/>
      <c r="E93" s="1459"/>
      <c r="F93" s="1459"/>
      <c r="G93" s="1460"/>
      <c r="H93" s="849"/>
      <c r="I93" s="849"/>
      <c r="J93" s="834" t="s">
        <v>666</v>
      </c>
      <c r="K93" s="835">
        <f>SUM(K85:K92)</f>
        <v>0</v>
      </c>
      <c r="L93" s="852"/>
      <c r="M93" s="852"/>
      <c r="N93" s="853"/>
      <c r="O93" s="886"/>
      <c r="P93" s="887"/>
      <c r="Q93" s="887"/>
      <c r="R93" s="888"/>
      <c r="S93" s="854"/>
    </row>
    <row r="94" spans="1:79" s="76" customFormat="1" ht="31.7" hidden="1" customHeight="1">
      <c r="A94" s="400" t="s">
        <v>425</v>
      </c>
      <c r="B94" s="400" t="s">
        <v>193</v>
      </c>
      <c r="C94" s="1282" t="e">
        <f>[1]印403!J91</f>
        <v>#REF!</v>
      </c>
      <c r="D94" s="1283"/>
      <c r="E94" s="1283"/>
      <c r="F94" s="1283"/>
      <c r="G94" s="1468"/>
      <c r="H94" s="242" t="s">
        <v>216</v>
      </c>
      <c r="I94" s="242" t="s">
        <v>12</v>
      </c>
      <c r="J94" s="242" t="s">
        <v>13</v>
      </c>
      <c r="K94" s="405" t="s">
        <v>218</v>
      </c>
      <c r="L94" s="427" t="s">
        <v>60</v>
      </c>
      <c r="M94" s="399" t="e">
        <f>[1]印403!O90</f>
        <v>#REF!</v>
      </c>
      <c r="N94" s="257" t="s">
        <v>45</v>
      </c>
      <c r="O94" s="1448" t="s">
        <v>29</v>
      </c>
      <c r="P94" s="1449"/>
      <c r="Q94" s="1449"/>
      <c r="R94" s="1450"/>
      <c r="S94" s="417" t="s">
        <v>57</v>
      </c>
    </row>
    <row r="95" spans="1:79" ht="15" hidden="1" customHeight="1">
      <c r="A95" s="1199" t="s">
        <v>426</v>
      </c>
      <c r="B95" s="84" t="s">
        <v>205</v>
      </c>
      <c r="C95" s="1282" t="e">
        <f>[1]印403!J92</f>
        <v>#REF!</v>
      </c>
      <c r="D95" s="1283"/>
      <c r="E95" s="1283"/>
      <c r="F95" s="1283"/>
      <c r="G95" s="1468"/>
      <c r="H95" s="663"/>
      <c r="I95" s="663"/>
      <c r="J95" s="399"/>
      <c r="K95" s="665"/>
      <c r="L95" s="673"/>
      <c r="M95" s="399" t="e">
        <f>[1]印403!O91</f>
        <v>#REF!</v>
      </c>
      <c r="N95" s="399"/>
      <c r="O95" s="1469"/>
      <c r="P95" s="1245"/>
      <c r="Q95" s="1245"/>
      <c r="R95" s="1246"/>
      <c r="S95" s="1470"/>
    </row>
    <row r="96" spans="1:79" ht="13.7" hidden="1" customHeight="1">
      <c r="A96" s="1216"/>
      <c r="B96" s="84" t="s">
        <v>205</v>
      </c>
      <c r="C96" s="1282" t="e">
        <f>[1]印403!J93</f>
        <v>#REF!</v>
      </c>
      <c r="D96" s="1283"/>
      <c r="E96" s="1283"/>
      <c r="F96" s="1283"/>
      <c r="G96" s="1468"/>
      <c r="H96" s="663"/>
      <c r="I96" s="663"/>
      <c r="J96" s="399"/>
      <c r="K96" s="665"/>
      <c r="L96" s="673"/>
      <c r="M96" s="399" t="e">
        <f>[1]印403!O92</f>
        <v>#REF!</v>
      </c>
      <c r="N96" s="425"/>
      <c r="O96" s="666"/>
      <c r="P96" s="667"/>
      <c r="Q96" s="667"/>
      <c r="R96" s="668"/>
      <c r="S96" s="1471"/>
    </row>
    <row r="97" spans="1:19" ht="15" hidden="1" customHeight="1">
      <c r="A97" s="1216"/>
      <c r="B97" s="84" t="s">
        <v>205</v>
      </c>
      <c r="C97" s="1282" t="e">
        <f>[1]印403!J94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[1]印403!O93</f>
        <v>#REF!</v>
      </c>
      <c r="N97" s="425"/>
      <c r="O97" s="666"/>
      <c r="P97" s="667"/>
      <c r="Q97" s="667"/>
      <c r="R97" s="668"/>
      <c r="S97" s="1471"/>
    </row>
    <row r="98" spans="1:19" ht="15" hidden="1" customHeight="1">
      <c r="A98" s="1216"/>
      <c r="B98" s="84" t="s">
        <v>205</v>
      </c>
      <c r="C98" s="1282" t="e">
        <f>[1]印403!J95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[1]印403!O94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[1]印403!J96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[1]印403!O95</f>
        <v>#REF!</v>
      </c>
      <c r="N99" s="425"/>
      <c r="O99" s="669"/>
      <c r="P99" s="670"/>
      <c r="Q99" s="670"/>
      <c r="R99" s="671"/>
      <c r="S99" s="1471"/>
    </row>
    <row r="100" spans="1:19" ht="16.5" hidden="1" customHeight="1">
      <c r="A100" s="1216"/>
      <c r="B100" s="881" t="s">
        <v>43</v>
      </c>
      <c r="C100" s="1282" t="e">
        <f>[1]印403!J97</f>
        <v>#REF!</v>
      </c>
      <c r="D100" s="1283"/>
      <c r="E100" s="1283"/>
      <c r="F100" s="1283"/>
      <c r="G100" s="1468"/>
      <c r="H100" s="664"/>
      <c r="I100" s="664"/>
      <c r="J100" s="840"/>
      <c r="K100" s="424"/>
      <c r="L100" s="426"/>
      <c r="M100" s="399" t="e">
        <f>[1]印403!O96</f>
        <v>#REF!</v>
      </c>
      <c r="N100" s="672"/>
      <c r="O100" s="1476"/>
      <c r="P100" s="1477"/>
      <c r="Q100" s="1477"/>
      <c r="R100" s="1478"/>
      <c r="S100" s="1485"/>
    </row>
    <row r="101" spans="1:19" ht="15" hidden="1" customHeight="1">
      <c r="A101" s="1216"/>
      <c r="B101" s="881" t="s">
        <v>43</v>
      </c>
      <c r="C101" s="1282" t="e">
        <f>[1]印403!J98</f>
        <v>#REF!</v>
      </c>
      <c r="D101" s="1283"/>
      <c r="E101" s="1283"/>
      <c r="F101" s="1283"/>
      <c r="G101" s="1468"/>
      <c r="H101" s="664"/>
      <c r="I101" s="664"/>
      <c r="J101" s="840"/>
      <c r="K101" s="424"/>
      <c r="L101" s="426"/>
      <c r="M101" s="399" t="e">
        <f>[1]印403!O97</f>
        <v>#REF!</v>
      </c>
      <c r="N101" s="672"/>
      <c r="O101" s="1479"/>
      <c r="P101" s="1480"/>
      <c r="Q101" s="1480"/>
      <c r="R101" s="1481"/>
      <c r="S101" s="1485"/>
    </row>
    <row r="102" spans="1:19" ht="15" hidden="1" customHeight="1">
      <c r="A102" s="1216"/>
      <c r="B102" s="881" t="s">
        <v>43</v>
      </c>
      <c r="C102" s="1282" t="e">
        <f>[1]印403!J99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[1]印403!O98</f>
        <v>#REF!</v>
      </c>
      <c r="N102" s="672"/>
      <c r="O102" s="1479"/>
      <c r="P102" s="1480"/>
      <c r="Q102" s="1480"/>
      <c r="R102" s="1481"/>
      <c r="S102" s="1485"/>
    </row>
    <row r="103" spans="1:19" ht="15" hidden="1" customHeight="1">
      <c r="A103" s="1165"/>
      <c r="B103" s="881" t="s">
        <v>43</v>
      </c>
      <c r="C103" s="1282" t="e">
        <f>[1]印403!J100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[1]印403!O99</f>
        <v>#REF!</v>
      </c>
      <c r="N103" s="672"/>
      <c r="O103" s="1482"/>
      <c r="P103" s="1483"/>
      <c r="Q103" s="1483"/>
      <c r="R103" s="1484"/>
      <c r="S103" s="1486"/>
    </row>
    <row r="104" spans="1:19" ht="6" customHeight="1">
      <c r="A104" s="248"/>
      <c r="C104" s="249"/>
    </row>
    <row r="105" spans="1:19" ht="6" customHeight="1" thickBot="1">
      <c r="A105" s="248"/>
      <c r="C105" s="249"/>
    </row>
    <row r="106" spans="1:19" ht="15" customHeight="1" thickTop="1">
      <c r="A106" s="1472" t="s">
        <v>30</v>
      </c>
      <c r="B106" s="1473"/>
      <c r="C106" s="1473"/>
      <c r="D106" s="1473"/>
      <c r="E106" s="376">
        <v>1097400</v>
      </c>
      <c r="F106" s="75" t="s">
        <v>64</v>
      </c>
      <c r="G106" s="1472" t="s">
        <v>31</v>
      </c>
      <c r="H106" s="1473"/>
      <c r="I106" s="1473"/>
      <c r="J106" s="1473"/>
      <c r="K106" s="1473"/>
      <c r="L106" s="377">
        <v>570000</v>
      </c>
      <c r="M106" s="75" t="s">
        <v>64</v>
      </c>
      <c r="N106" s="1472" t="s">
        <v>32</v>
      </c>
      <c r="O106" s="1473"/>
      <c r="P106" s="1473"/>
      <c r="Q106" s="377">
        <v>1745000</v>
      </c>
      <c r="R106" s="75" t="s">
        <v>64</v>
      </c>
      <c r="S106" s="75"/>
    </row>
    <row r="107" spans="1:19" ht="15" customHeight="1" thickBot="1">
      <c r="A107" s="1474" t="s">
        <v>66</v>
      </c>
      <c r="B107" s="1475"/>
      <c r="C107" s="1475"/>
      <c r="D107" s="1475"/>
      <c r="E107" s="674">
        <v>0</v>
      </c>
      <c r="G107" s="1474" t="s">
        <v>66</v>
      </c>
      <c r="H107" s="1475"/>
      <c r="I107" s="1475"/>
      <c r="J107" s="1475"/>
      <c r="K107" s="1475"/>
      <c r="L107" s="674">
        <v>0</v>
      </c>
      <c r="N107" s="1474" t="s">
        <v>33</v>
      </c>
      <c r="O107" s="1475"/>
      <c r="P107" s="1475"/>
      <c r="Q107" s="674">
        <v>0</v>
      </c>
      <c r="R107" s="75"/>
      <c r="S107" s="75"/>
    </row>
    <row r="108" spans="1:19" ht="15" customHeight="1" thickTop="1" thickBot="1">
      <c r="A108" s="1487" t="s">
        <v>34</v>
      </c>
      <c r="B108" s="1488"/>
      <c r="C108" s="1488"/>
      <c r="D108" s="1488"/>
      <c r="E108" s="378">
        <f>E106+E107</f>
        <v>1097400</v>
      </c>
      <c r="F108" s="75" t="s">
        <v>64</v>
      </c>
      <c r="G108" s="1487" t="s">
        <v>35</v>
      </c>
      <c r="H108" s="1488"/>
      <c r="I108" s="1488"/>
      <c r="J108" s="1488"/>
      <c r="K108" s="1488"/>
      <c r="L108" s="379">
        <f>L106+L107</f>
        <v>570000</v>
      </c>
      <c r="M108" s="75" t="s">
        <v>64</v>
      </c>
      <c r="N108" s="1487" t="s">
        <v>36</v>
      </c>
      <c r="O108" s="1488"/>
      <c r="P108" s="1488"/>
      <c r="Q108" s="379">
        <f>Q106+Q107</f>
        <v>1745000</v>
      </c>
      <c r="R108" s="75" t="s">
        <v>64</v>
      </c>
      <c r="S108" s="75"/>
    </row>
    <row r="109" spans="1:19" ht="15" customHeight="1" thickTop="1" thickBot="1">
      <c r="E109" s="252">
        <f>印401!M64</f>
        <v>0</v>
      </c>
      <c r="L109" s="675" t="e">
        <f>#REF!</f>
        <v>#REF!</v>
      </c>
      <c r="O109" s="75"/>
      <c r="P109" s="75"/>
      <c r="Q109" s="675" t="e">
        <f>#REF!</f>
        <v>#REF!</v>
      </c>
      <c r="R109" s="75"/>
      <c r="S109" s="75"/>
    </row>
    <row r="110" spans="1:19" ht="15" customHeight="1" thickBot="1">
      <c r="A110" s="676" t="s">
        <v>37</v>
      </c>
      <c r="B110" s="677"/>
      <c r="C110" s="677"/>
      <c r="D110" s="678"/>
      <c r="E110" s="253">
        <f>印401!P64</f>
        <v>0</v>
      </c>
      <c r="F110" s="75" t="s">
        <v>64</v>
      </c>
      <c r="G110" s="676" t="s">
        <v>38</v>
      </c>
      <c r="H110" s="677"/>
      <c r="I110" s="677"/>
      <c r="J110" s="677"/>
      <c r="K110" s="677"/>
      <c r="L110" s="384" t="e">
        <f>#REF!</f>
        <v>#REF!</v>
      </c>
      <c r="M110" s="75" t="s">
        <v>64</v>
      </c>
      <c r="N110" s="676" t="s">
        <v>39</v>
      </c>
      <c r="O110" s="677"/>
      <c r="P110" s="677"/>
      <c r="Q110" s="384" t="e">
        <f>#REF!</f>
        <v>#REF!</v>
      </c>
      <c r="R110" s="75" t="s">
        <v>64</v>
      </c>
      <c r="S110" s="75"/>
    </row>
    <row r="111" spans="1:19" ht="3" customHeight="1" thickBot="1">
      <c r="J111" s="255"/>
      <c r="K111" s="256"/>
    </row>
    <row r="112" spans="1:19" ht="15" customHeight="1" thickTop="1">
      <c r="B112" s="1509" t="s">
        <v>69</v>
      </c>
      <c r="C112" s="1510"/>
      <c r="D112" s="1511" t="s">
        <v>305</v>
      </c>
      <c r="E112" s="1512"/>
      <c r="F112" s="1489" t="s">
        <v>306</v>
      </c>
      <c r="G112" s="1490"/>
      <c r="H112" s="1491" t="s">
        <v>307</v>
      </c>
      <c r="I112" s="1492"/>
      <c r="J112" s="1492"/>
      <c r="K112" s="1493"/>
      <c r="L112" s="1472" t="s">
        <v>657</v>
      </c>
      <c r="M112" s="1473"/>
      <c r="N112" s="1473"/>
      <c r="O112" s="377">
        <v>3301000</v>
      </c>
      <c r="P112" s="75" t="s">
        <v>64</v>
      </c>
      <c r="Q112" s="1496" t="s">
        <v>65</v>
      </c>
      <c r="R112" s="1497"/>
      <c r="S112" s="385">
        <v>34272549</v>
      </c>
    </row>
    <row r="113" spans="2:20" ht="15" customHeight="1" thickBot="1">
      <c r="B113" s="1498" t="s">
        <v>308</v>
      </c>
      <c r="C113" s="1499"/>
      <c r="D113" s="1500" t="e">
        <f>總表!D20</f>
        <v>#REF!</v>
      </c>
      <c r="E113" s="1501"/>
      <c r="F113" s="1502">
        <f>總表!E20</f>
        <v>1316871</v>
      </c>
      <c r="G113" s="1503"/>
      <c r="H113" s="1504" t="e">
        <f>(D113-F113)/D113</f>
        <v>#REF!</v>
      </c>
      <c r="I113" s="1505"/>
      <c r="J113" s="1505"/>
      <c r="K113" s="1506"/>
      <c r="L113" s="1474" t="s">
        <v>33</v>
      </c>
      <c r="M113" s="1475"/>
      <c r="N113" s="1475"/>
      <c r="O113" s="674">
        <v>0</v>
      </c>
      <c r="P113" s="75"/>
      <c r="Q113" s="1507" t="s">
        <v>67</v>
      </c>
      <c r="R113" s="1508"/>
      <c r="S113" s="386">
        <f>SUM(L48:L82,L85:L92)</f>
        <v>0</v>
      </c>
    </row>
    <row r="114" spans="2:20" ht="15" customHeight="1" thickTop="1" thickBot="1">
      <c r="B114" s="1513" t="s">
        <v>309</v>
      </c>
      <c r="C114" s="1514"/>
      <c r="D114" s="1515" t="e">
        <f>總表!C43</f>
        <v>#REF!</v>
      </c>
      <c r="E114" s="1516"/>
      <c r="F114" s="1502" t="e">
        <f>總表!F43</f>
        <v>#REF!</v>
      </c>
      <c r="G114" s="1503"/>
      <c r="H114" s="1504" t="e">
        <f>(D114-F114)/D114</f>
        <v>#REF!</v>
      </c>
      <c r="I114" s="1505"/>
      <c r="J114" s="1505"/>
      <c r="K114" s="1506"/>
      <c r="L114" s="1487" t="s">
        <v>658</v>
      </c>
      <c r="M114" s="1488"/>
      <c r="N114" s="1488"/>
      <c r="O114" s="379">
        <f>O112+O113</f>
        <v>3301000</v>
      </c>
      <c r="P114" s="75" t="s">
        <v>64</v>
      </c>
      <c r="Q114" s="1494" t="s">
        <v>68</v>
      </c>
      <c r="R114" s="1495"/>
      <c r="S114" s="387">
        <f>S112+S113</f>
        <v>34272549</v>
      </c>
    </row>
    <row r="115" spans="2:20" ht="14.1" customHeight="1" thickTop="1" thickBot="1">
      <c r="B115" s="250" t="s">
        <v>310</v>
      </c>
      <c r="C115" s="250"/>
      <c r="D115" s="250"/>
      <c r="E115" s="233"/>
      <c r="O115" s="675" t="e">
        <f>#REF!</f>
        <v>#REF!</v>
      </c>
      <c r="P115" s="75"/>
      <c r="Q115" s="75"/>
      <c r="R115" s="254" t="e">
        <f>總表!E43+總表!E52</f>
        <v>#REF!</v>
      </c>
      <c r="S115" s="254" t="e">
        <f>R115-S114</f>
        <v>#REF!</v>
      </c>
    </row>
    <row r="116" spans="2:20" ht="17.25" customHeight="1" thickBot="1">
      <c r="B116" s="250" t="s">
        <v>40</v>
      </c>
      <c r="C116" s="233"/>
      <c r="D116" s="233"/>
      <c r="E116" s="233"/>
      <c r="F116" s="233"/>
      <c r="L116" s="676" t="s">
        <v>659</v>
      </c>
      <c r="M116" s="677"/>
      <c r="N116" s="677"/>
      <c r="O116" s="384" t="e">
        <f>#REF!</f>
        <v>#REF!</v>
      </c>
      <c r="P116" s="75" t="s">
        <v>64</v>
      </c>
      <c r="T116" s="233"/>
    </row>
    <row r="117" spans="2:20" ht="15.75" customHeight="1">
      <c r="B117" s="75" t="s">
        <v>41</v>
      </c>
      <c r="N117" s="233"/>
      <c r="S117" s="75"/>
    </row>
  </sheetData>
  <mergeCells count="280">
    <mergeCell ref="A9:A10"/>
    <mergeCell ref="A15:A16"/>
    <mergeCell ref="G15:I15"/>
    <mergeCell ref="K15:M15"/>
    <mergeCell ref="O15:R15"/>
    <mergeCell ref="G16:I16"/>
    <mergeCell ref="K16:M16"/>
    <mergeCell ref="O16:R16"/>
    <mergeCell ref="G9:I9"/>
    <mergeCell ref="K9:M9"/>
    <mergeCell ref="O9:R9"/>
    <mergeCell ref="G10:I10"/>
    <mergeCell ref="K10:M10"/>
    <mergeCell ref="O10:R10"/>
    <mergeCell ref="A11:A12"/>
    <mergeCell ref="G11:I11"/>
    <mergeCell ref="K11:M11"/>
    <mergeCell ref="O11:R11"/>
    <mergeCell ref="G12:I12"/>
    <mergeCell ref="K12:M12"/>
    <mergeCell ref="O12:R12"/>
    <mergeCell ref="B114:C114"/>
    <mergeCell ref="D114:E114"/>
    <mergeCell ref="F114:G114"/>
    <mergeCell ref="H114:K114"/>
    <mergeCell ref="L114:N114"/>
    <mergeCell ref="Q114:R114"/>
    <mergeCell ref="Q112:R112"/>
    <mergeCell ref="B113:C113"/>
    <mergeCell ref="D113:E113"/>
    <mergeCell ref="F113:G113"/>
    <mergeCell ref="H113:K113"/>
    <mergeCell ref="L113:N113"/>
    <mergeCell ref="Q113:R113"/>
    <mergeCell ref="A108:D108"/>
    <mergeCell ref="G108:K108"/>
    <mergeCell ref="N108:P108"/>
    <mergeCell ref="B112:C112"/>
    <mergeCell ref="D112:E112"/>
    <mergeCell ref="F112:G112"/>
    <mergeCell ref="H112:K112"/>
    <mergeCell ref="L112:N112"/>
    <mergeCell ref="A106:D106"/>
    <mergeCell ref="G106:K106"/>
    <mergeCell ref="N106:P106"/>
    <mergeCell ref="A107:D107"/>
    <mergeCell ref="G107:K107"/>
    <mergeCell ref="N107:P107"/>
    <mergeCell ref="C100:G100"/>
    <mergeCell ref="O100:R103"/>
    <mergeCell ref="S100:S103"/>
    <mergeCell ref="C101:G101"/>
    <mergeCell ref="C102:G102"/>
    <mergeCell ref="C103:G103"/>
    <mergeCell ref="C94:G94"/>
    <mergeCell ref="O94:R94"/>
    <mergeCell ref="A95:A103"/>
    <mergeCell ref="C95:G95"/>
    <mergeCell ref="O95:R95"/>
    <mergeCell ref="S95:S99"/>
    <mergeCell ref="C96:G96"/>
    <mergeCell ref="C97:G97"/>
    <mergeCell ref="C98:G98"/>
    <mergeCell ref="C99:G99"/>
    <mergeCell ref="A91:A92"/>
    <mergeCell ref="C91:G91"/>
    <mergeCell ref="O91:R91"/>
    <mergeCell ref="C92:G92"/>
    <mergeCell ref="O92:R92"/>
    <mergeCell ref="C93:G93"/>
    <mergeCell ref="A87:A88"/>
    <mergeCell ref="C87:G87"/>
    <mergeCell ref="O87:R87"/>
    <mergeCell ref="C88:G88"/>
    <mergeCell ref="O88:R88"/>
    <mergeCell ref="A89:A90"/>
    <mergeCell ref="C89:G89"/>
    <mergeCell ref="O89:R89"/>
    <mergeCell ref="C90:G90"/>
    <mergeCell ref="O90:R90"/>
    <mergeCell ref="C84:G84"/>
    <mergeCell ref="O84:R84"/>
    <mergeCell ref="A85:A86"/>
    <mergeCell ref="C85:G85"/>
    <mergeCell ref="O85:R85"/>
    <mergeCell ref="C86:G86"/>
    <mergeCell ref="O86:R86"/>
    <mergeCell ref="A81:A82"/>
    <mergeCell ref="C81:E81"/>
    <mergeCell ref="O81:R81"/>
    <mergeCell ref="C82:E82"/>
    <mergeCell ref="O82:R82"/>
    <mergeCell ref="O83:R83"/>
    <mergeCell ref="A77:A78"/>
    <mergeCell ref="C77:E77"/>
    <mergeCell ref="O77:R77"/>
    <mergeCell ref="C78:E78"/>
    <mergeCell ref="O78:R78"/>
    <mergeCell ref="A79:A80"/>
    <mergeCell ref="C79:E79"/>
    <mergeCell ref="O79:R79"/>
    <mergeCell ref="C80:E80"/>
    <mergeCell ref="O80:R80"/>
    <mergeCell ref="A73:A74"/>
    <mergeCell ref="C73:E73"/>
    <mergeCell ref="O73:R73"/>
    <mergeCell ref="C74:E74"/>
    <mergeCell ref="O74:R74"/>
    <mergeCell ref="A75:A76"/>
    <mergeCell ref="C75:E75"/>
    <mergeCell ref="O75:R75"/>
    <mergeCell ref="C76:E76"/>
    <mergeCell ref="O76:R76"/>
    <mergeCell ref="A69:A70"/>
    <mergeCell ref="C69:E69"/>
    <mergeCell ref="O69:R69"/>
    <mergeCell ref="C70:E70"/>
    <mergeCell ref="O70:R70"/>
    <mergeCell ref="A71:A72"/>
    <mergeCell ref="C71:E71"/>
    <mergeCell ref="O71:R71"/>
    <mergeCell ref="C72:E72"/>
    <mergeCell ref="O72:R72"/>
    <mergeCell ref="A65:A66"/>
    <mergeCell ref="C65:E65"/>
    <mergeCell ref="O65:R65"/>
    <mergeCell ref="C66:E66"/>
    <mergeCell ref="O66:R66"/>
    <mergeCell ref="A67:A68"/>
    <mergeCell ref="C67:E67"/>
    <mergeCell ref="O67:R67"/>
    <mergeCell ref="C68:E68"/>
    <mergeCell ref="O68:R68"/>
    <mergeCell ref="A62:A63"/>
    <mergeCell ref="C62:E62"/>
    <mergeCell ref="O62:R62"/>
    <mergeCell ref="C63:E63"/>
    <mergeCell ref="O63:R63"/>
    <mergeCell ref="O64:R64"/>
    <mergeCell ref="A58:A59"/>
    <mergeCell ref="C58:E58"/>
    <mergeCell ref="O58:R58"/>
    <mergeCell ref="C59:E59"/>
    <mergeCell ref="O59:R59"/>
    <mergeCell ref="A60:A61"/>
    <mergeCell ref="C60:E60"/>
    <mergeCell ref="O60:R60"/>
    <mergeCell ref="C61:E61"/>
    <mergeCell ref="O61:R61"/>
    <mergeCell ref="A54:A55"/>
    <mergeCell ref="C54:E54"/>
    <mergeCell ref="O54:R54"/>
    <mergeCell ref="C55:E55"/>
    <mergeCell ref="O55:R55"/>
    <mergeCell ref="A56:A57"/>
    <mergeCell ref="C56:E56"/>
    <mergeCell ref="O56:R56"/>
    <mergeCell ref="C57:E57"/>
    <mergeCell ref="O57:R57"/>
    <mergeCell ref="A50:A51"/>
    <mergeCell ref="C50:E50"/>
    <mergeCell ref="O50:R50"/>
    <mergeCell ref="C51:E51"/>
    <mergeCell ref="O51:R51"/>
    <mergeCell ref="A52:A53"/>
    <mergeCell ref="C52:E52"/>
    <mergeCell ref="O52:R52"/>
    <mergeCell ref="C53:E53"/>
    <mergeCell ref="O53:R53"/>
    <mergeCell ref="A48:A49"/>
    <mergeCell ref="C48:E48"/>
    <mergeCell ref="O48:R48"/>
    <mergeCell ref="V48:X48"/>
    <mergeCell ref="C49:E49"/>
    <mergeCell ref="O49:R49"/>
    <mergeCell ref="V49:X49"/>
    <mergeCell ref="C45:E45"/>
    <mergeCell ref="M45:M47"/>
    <mergeCell ref="O45:R47"/>
    <mergeCell ref="S45:S47"/>
    <mergeCell ref="C46:E46"/>
    <mergeCell ref="C47:E47"/>
    <mergeCell ref="C35:E35"/>
    <mergeCell ref="S39:S41"/>
    <mergeCell ref="C40:E40"/>
    <mergeCell ref="C41:E41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C28:E28"/>
    <mergeCell ref="O28:R28"/>
    <mergeCell ref="A29:A35"/>
    <mergeCell ref="C29:E29"/>
    <mergeCell ref="M29:M31"/>
    <mergeCell ref="O29:R31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S29:S31"/>
    <mergeCell ref="C30:E30"/>
    <mergeCell ref="C31:E31"/>
    <mergeCell ref="C32:E32"/>
    <mergeCell ref="M32:M35"/>
    <mergeCell ref="O32:R35"/>
    <mergeCell ref="S32:S35"/>
    <mergeCell ref="C33:E33"/>
    <mergeCell ref="C34:E34"/>
    <mergeCell ref="K21:M21"/>
    <mergeCell ref="O21:R21"/>
    <mergeCell ref="A22:A27"/>
    <mergeCell ref="G22:I22"/>
    <mergeCell ref="K22:M24"/>
    <mergeCell ref="O22:R24"/>
    <mergeCell ref="G19:I19"/>
    <mergeCell ref="K19:M19"/>
    <mergeCell ref="O19:R19"/>
    <mergeCell ref="G20:I20"/>
    <mergeCell ref="K20:M20"/>
    <mergeCell ref="O20:R20"/>
    <mergeCell ref="A19:A20"/>
    <mergeCell ref="A17:A18"/>
    <mergeCell ref="G17:I17"/>
    <mergeCell ref="K17:M17"/>
    <mergeCell ref="O17:R17"/>
    <mergeCell ref="G18:I18"/>
    <mergeCell ref="K18:M18"/>
    <mergeCell ref="O18:R18"/>
    <mergeCell ref="A13:A14"/>
    <mergeCell ref="G13:I13"/>
    <mergeCell ref="K13:M13"/>
    <mergeCell ref="O13:R13"/>
    <mergeCell ref="G14:I14"/>
    <mergeCell ref="K14:M14"/>
    <mergeCell ref="O14:R14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A121"/>
  <sheetViews>
    <sheetView topLeftCell="L94" workbookViewId="0">
      <selection activeCell="S118" sqref="S118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1112</v>
      </c>
      <c r="R2" s="1320"/>
      <c r="S2" s="642" t="s">
        <v>1069</v>
      </c>
    </row>
    <row r="3" spans="1:23" ht="103.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1113</v>
      </c>
      <c r="O3" s="1319"/>
      <c r="P3" s="1320"/>
      <c r="Q3" s="1318" t="s">
        <v>1114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45250</v>
      </c>
      <c r="D5" s="419" t="s">
        <v>1111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1.1499999999999999</v>
      </c>
      <c r="E9" s="815">
        <v>805</v>
      </c>
      <c r="F9" s="815">
        <f>'102'!O48</f>
        <v>850</v>
      </c>
      <c r="G9" s="1311">
        <f>'102'!K48</f>
        <v>9840</v>
      </c>
      <c r="H9" s="1312"/>
      <c r="I9" s="1313"/>
      <c r="J9" s="814">
        <f>'102'!L48</f>
        <v>0</v>
      </c>
      <c r="K9" s="1314">
        <f>'102'!P48</f>
        <v>0.96470588235294119</v>
      </c>
      <c r="L9" s="1315"/>
      <c r="M9" s="1316"/>
      <c r="N9" s="820">
        <f>J9/(G9+J9)</f>
        <v>0</v>
      </c>
      <c r="O9" s="1521" t="str">
        <f>'102'!U48</f>
        <v>19:03最後一支交接班</v>
      </c>
      <c r="P9" s="1522"/>
      <c r="Q9" s="1522"/>
      <c r="R9" s="1523"/>
      <c r="S9" s="892" t="str">
        <f>'102'!V48</f>
        <v>阮明演</v>
      </c>
      <c r="U9" s="420" t="s">
        <v>633</v>
      </c>
      <c r="V9" s="880"/>
      <c r="W9" s="880"/>
    </row>
    <row r="10" spans="1:23" ht="17.25" customHeight="1">
      <c r="A10" s="1326"/>
      <c r="B10" s="881" t="s">
        <v>43</v>
      </c>
      <c r="C10" s="422" t="s">
        <v>42</v>
      </c>
      <c r="D10" s="421">
        <v>1.1499999999999999</v>
      </c>
      <c r="E10" s="880">
        <v>805</v>
      </c>
      <c r="F10" s="880">
        <f>'102'!O49</f>
        <v>850</v>
      </c>
      <c r="G10" s="1327">
        <f>'102'!K49</f>
        <v>9832</v>
      </c>
      <c r="H10" s="1328"/>
      <c r="I10" s="1329"/>
      <c r="J10" s="423">
        <f>'102'!L49</f>
        <v>0</v>
      </c>
      <c r="K10" s="1314">
        <f>'102'!P49</f>
        <v>0.96392156862745093</v>
      </c>
      <c r="L10" s="1315"/>
      <c r="M10" s="1316"/>
      <c r="N10" s="820">
        <f>J10/(G10+J10)</f>
        <v>0</v>
      </c>
      <c r="O10" s="1521" t="str">
        <f>'102'!U49</f>
        <v>06:58最後一支交接班</v>
      </c>
      <c r="P10" s="1522"/>
      <c r="Q10" s="1522"/>
      <c r="R10" s="1523"/>
      <c r="S10" s="892" t="str">
        <f>'102'!V49</f>
        <v>磨文林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 t="s">
        <v>633</v>
      </c>
      <c r="E11" s="815"/>
      <c r="F11" s="815"/>
      <c r="G11" s="1311"/>
      <c r="H11" s="1312"/>
      <c r="I11" s="1313"/>
      <c r="J11" s="814"/>
      <c r="K11" s="1314"/>
      <c r="L11" s="1315"/>
      <c r="M11" s="1316"/>
      <c r="N11" s="820"/>
      <c r="O11" s="1308"/>
      <c r="P11" s="1309"/>
      <c r="Q11" s="1309"/>
      <c r="R11" s="1310"/>
      <c r="S11" s="822"/>
    </row>
    <row r="12" spans="1:23" ht="17.25" customHeight="1">
      <c r="A12" s="1326"/>
      <c r="B12" s="881" t="s">
        <v>207</v>
      </c>
      <c r="C12" s="422" t="s">
        <v>44</v>
      </c>
      <c r="D12" s="421" t="s">
        <v>633</v>
      </c>
      <c r="E12" s="880"/>
      <c r="F12" s="880"/>
      <c r="G12" s="1327"/>
      <c r="H12" s="1328"/>
      <c r="I12" s="1329"/>
      <c r="J12" s="423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851">
        <v>1.55</v>
      </c>
      <c r="E15" s="815">
        <v>715</v>
      </c>
      <c r="F15" s="815">
        <f>'105'!O45</f>
        <v>450</v>
      </c>
      <c r="G15" s="1311">
        <f>'105'!K45</f>
        <v>4659</v>
      </c>
      <c r="H15" s="1312"/>
      <c r="I15" s="1313"/>
      <c r="J15" s="814">
        <f>'105'!L45</f>
        <v>0</v>
      </c>
      <c r="K15" s="1330">
        <f>'105'!P45</f>
        <v>0.86277777777777775</v>
      </c>
      <c r="L15" s="1331"/>
      <c r="M15" s="1332"/>
      <c r="N15" s="871">
        <f t="shared" ref="N15:N20" si="0">J15/(G15+J15)</f>
        <v>0</v>
      </c>
      <c r="O15" s="1333" t="str">
        <f>'105'!U45</f>
        <v>18:45最後一支交接班</v>
      </c>
      <c r="P15" s="1334"/>
      <c r="Q15" s="1334"/>
      <c r="R15" s="1335"/>
      <c r="S15" s="860" t="str">
        <f>'105'!V45</f>
        <v>史豐銘</v>
      </c>
    </row>
    <row r="16" spans="1:23" ht="17.25" customHeight="1">
      <c r="A16" s="1359"/>
      <c r="B16" s="881" t="s">
        <v>43</v>
      </c>
      <c r="C16" s="422" t="s">
        <v>44</v>
      </c>
      <c r="D16" s="421">
        <v>1.55</v>
      </c>
      <c r="E16" s="880">
        <v>715</v>
      </c>
      <c r="F16" s="880">
        <f>'105'!O46</f>
        <v>450</v>
      </c>
      <c r="G16" s="1327">
        <f>'105'!K46</f>
        <v>3315</v>
      </c>
      <c r="H16" s="1328"/>
      <c r="I16" s="1329"/>
      <c r="J16" s="423">
        <f>'105'!L46</f>
        <v>0</v>
      </c>
      <c r="K16" s="1541">
        <f>'105'!P46+'105'!P47</f>
        <v>1.0098148148148147</v>
      </c>
      <c r="L16" s="1542"/>
      <c r="M16" s="1543"/>
      <c r="N16" s="871">
        <f t="shared" si="0"/>
        <v>0</v>
      </c>
      <c r="O16" s="1534" t="str">
        <f>'105'!U46</f>
        <v>02:51-02:55改規格1.2*715,無損耗</v>
      </c>
      <c r="P16" s="1535"/>
      <c r="Q16" s="1535"/>
      <c r="R16" s="1536"/>
      <c r="S16" s="1519" t="str">
        <f>'105'!V46</f>
        <v>阮宏山</v>
      </c>
    </row>
    <row r="17" spans="1:19" ht="17.25" customHeight="1">
      <c r="A17" s="1102"/>
      <c r="B17" s="881" t="s">
        <v>43</v>
      </c>
      <c r="C17" s="422" t="s">
        <v>44</v>
      </c>
      <c r="D17" s="421">
        <v>1.2</v>
      </c>
      <c r="E17" s="880">
        <v>715</v>
      </c>
      <c r="F17" s="880">
        <f>'105'!O47</f>
        <v>450</v>
      </c>
      <c r="G17" s="1327">
        <f>'105'!K47</f>
        <v>2138</v>
      </c>
      <c r="H17" s="1328"/>
      <c r="I17" s="1329"/>
      <c r="J17" s="423">
        <f>'105'!L47</f>
        <v>0</v>
      </c>
      <c r="K17" s="1544"/>
      <c r="L17" s="1545"/>
      <c r="M17" s="1546"/>
      <c r="N17" s="871">
        <f t="shared" si="0"/>
        <v>0</v>
      </c>
      <c r="O17" s="1537" t="str">
        <f>'105'!U47</f>
        <v>07:45最後一支交接班</v>
      </c>
      <c r="P17" s="1538"/>
      <c r="Q17" s="1538"/>
      <c r="R17" s="1539"/>
      <c r="S17" s="1520"/>
    </row>
    <row r="18" spans="1:19" ht="35.25" customHeight="1">
      <c r="A18" s="1370" t="s">
        <v>644</v>
      </c>
      <c r="B18" s="84" t="s">
        <v>205</v>
      </c>
      <c r="C18" s="850" t="s">
        <v>42</v>
      </c>
      <c r="D18" s="851">
        <v>1.65</v>
      </c>
      <c r="E18" s="815">
        <v>805</v>
      </c>
      <c r="F18" s="815">
        <f>'106'!O48</f>
        <v>1185</v>
      </c>
      <c r="G18" s="1311">
        <f>'106'!K48</f>
        <v>13120</v>
      </c>
      <c r="H18" s="1312"/>
      <c r="I18" s="1313"/>
      <c r="J18" s="814">
        <f>'106'!L48</f>
        <v>0</v>
      </c>
      <c r="K18" s="1330">
        <f>'106'!P48</f>
        <v>0.92264416315049225</v>
      </c>
      <c r="L18" s="1331"/>
      <c r="M18" s="1332"/>
      <c r="N18" s="871">
        <f t="shared" si="0"/>
        <v>0</v>
      </c>
      <c r="O18" s="1364" t="str">
        <f>'106'!U48</f>
        <v>19:22最後一支交接班
19:22-19:24改規格1.34*805,無損耗</v>
      </c>
      <c r="P18" s="1365"/>
      <c r="Q18" s="1365"/>
      <c r="R18" s="1366"/>
      <c r="S18" s="822" t="str">
        <f>'106'!V48</f>
        <v>黎文中.林子維</v>
      </c>
    </row>
    <row r="19" spans="1:19" ht="17.25" customHeight="1">
      <c r="A19" s="1562"/>
      <c r="B19" s="881" t="s">
        <v>43</v>
      </c>
      <c r="C19" s="422" t="s">
        <v>42</v>
      </c>
      <c r="D19" s="421">
        <v>1.34</v>
      </c>
      <c r="E19" s="880">
        <v>805</v>
      </c>
      <c r="F19" s="880">
        <f>'106'!O49</f>
        <v>1185</v>
      </c>
      <c r="G19" s="1327">
        <f>'106'!K49</f>
        <v>13839</v>
      </c>
      <c r="H19" s="1328"/>
      <c r="I19" s="1329"/>
      <c r="J19" s="423">
        <f>'106'!L49</f>
        <v>0</v>
      </c>
      <c r="K19" s="1330">
        <f>'106'!P49</f>
        <v>0.97320675105485233</v>
      </c>
      <c r="L19" s="1331"/>
      <c r="M19" s="1332"/>
      <c r="N19" s="871">
        <f t="shared" si="0"/>
        <v>0</v>
      </c>
      <c r="O19" s="1364" t="str">
        <f>'106'!U49</f>
        <v>07:30最後一支交接班</v>
      </c>
      <c r="P19" s="1365"/>
      <c r="Q19" s="1365"/>
      <c r="R19" s="1366"/>
      <c r="S19" s="822" t="str">
        <f>'106'!V49</f>
        <v>黃隨貴.盧宇昇</v>
      </c>
    </row>
    <row r="20" spans="1:19" ht="17.25" customHeight="1">
      <c r="A20" s="1362" t="s">
        <v>418</v>
      </c>
      <c r="B20" s="84" t="s">
        <v>205</v>
      </c>
      <c r="C20" s="850" t="s">
        <v>44</v>
      </c>
      <c r="D20" s="851">
        <v>0.47</v>
      </c>
      <c r="E20" s="815">
        <v>820</v>
      </c>
      <c r="F20" s="815">
        <f>'107'!O50</f>
        <v>450</v>
      </c>
      <c r="G20" s="1311">
        <f>'107'!K50</f>
        <v>3020</v>
      </c>
      <c r="H20" s="1312"/>
      <c r="I20" s="1313"/>
      <c r="J20" s="814">
        <f>'107'!L50</f>
        <v>97</v>
      </c>
      <c r="K20" s="1314">
        <f>'107'!P50</f>
        <v>0.55925925925925923</v>
      </c>
      <c r="L20" s="1315"/>
      <c r="M20" s="1316"/>
      <c r="N20" s="871">
        <f t="shared" si="0"/>
        <v>3.1119666345845363E-2</v>
      </c>
      <c r="O20" s="1364" t="str">
        <f>'107'!U50</f>
        <v>19:40最後一支計畫性停機
12:44-17:10測試咖色板材後,洗料桶,NG  97KG</v>
      </c>
      <c r="P20" s="1365"/>
      <c r="Q20" s="1365"/>
      <c r="R20" s="1366"/>
      <c r="S20" s="822" t="str">
        <f>'107'!V50</f>
        <v>潘文銅</v>
      </c>
    </row>
    <row r="21" spans="1:19" ht="17.25" customHeight="1">
      <c r="A21" s="1363"/>
      <c r="B21" s="881" t="s">
        <v>43</v>
      </c>
      <c r="C21" s="422" t="s">
        <v>44</v>
      </c>
      <c r="D21" s="421" t="s">
        <v>633</v>
      </c>
      <c r="E21" s="880"/>
      <c r="F21" s="880"/>
      <c r="G21" s="1327"/>
      <c r="H21" s="1328"/>
      <c r="I21" s="1329"/>
      <c r="J21" s="423"/>
      <c r="K21" s="1314"/>
      <c r="L21" s="1315"/>
      <c r="M21" s="1316"/>
      <c r="N21" s="871"/>
      <c r="O21" s="1364"/>
      <c r="P21" s="1365"/>
      <c r="Q21" s="1365"/>
      <c r="R21" s="1366"/>
      <c r="S21" s="822"/>
    </row>
    <row r="22" spans="1:19" ht="17.25" customHeight="1">
      <c r="A22" s="843"/>
      <c r="B22" s="841"/>
      <c r="C22" s="850"/>
      <c r="D22" s="851"/>
      <c r="E22" s="815"/>
      <c r="F22" s="815"/>
      <c r="G22" s="832" t="s">
        <v>666</v>
      </c>
      <c r="H22" s="838"/>
      <c r="I22" s="833">
        <f>SUM(G7:I21)</f>
        <v>59763</v>
      </c>
      <c r="J22" s="833">
        <f>SUM(J7:J21)</f>
        <v>97</v>
      </c>
      <c r="K22" s="1314"/>
      <c r="L22" s="1315"/>
      <c r="M22" s="1316"/>
      <c r="N22" s="647"/>
      <c r="O22" s="1372"/>
      <c r="P22" s="1373"/>
      <c r="Q22" s="1373"/>
      <c r="R22" s="1374"/>
      <c r="S22" s="812"/>
    </row>
    <row r="23" spans="1:19" ht="20.100000000000001" hidden="1" customHeight="1">
      <c r="A23" s="1400" t="s">
        <v>10</v>
      </c>
      <c r="B23" s="84" t="s">
        <v>205</v>
      </c>
      <c r="C23" s="648" t="s">
        <v>44</v>
      </c>
      <c r="D23" s="649">
        <v>2.35</v>
      </c>
      <c r="E23" s="85">
        <v>800</v>
      </c>
      <c r="F23" s="85"/>
      <c r="G23" s="1401"/>
      <c r="H23" s="1401"/>
      <c r="I23" s="1401"/>
      <c r="J23" s="650"/>
      <c r="K23" s="1402"/>
      <c r="L23" s="1403"/>
      <c r="M23" s="1404"/>
      <c r="N23" s="647" t="e">
        <f t="shared" ref="N23:N28" si="1">J23/(G23+J23)</f>
        <v>#DIV/0!</v>
      </c>
      <c r="O23" s="1348"/>
      <c r="P23" s="1349"/>
      <c r="Q23" s="1349"/>
      <c r="R23" s="1350"/>
      <c r="S23" s="1414"/>
    </row>
    <row r="24" spans="1:19" ht="20.100000000000001" hidden="1" customHeight="1">
      <c r="A24" s="1400"/>
      <c r="B24" s="84" t="s">
        <v>0</v>
      </c>
      <c r="C24" s="648" t="s">
        <v>44</v>
      </c>
      <c r="D24" s="649">
        <v>1.85</v>
      </c>
      <c r="E24" s="85">
        <v>800</v>
      </c>
      <c r="F24" s="85"/>
      <c r="G24" s="1401"/>
      <c r="H24" s="1401"/>
      <c r="I24" s="1401"/>
      <c r="J24" s="650"/>
      <c r="K24" s="1405"/>
      <c r="L24" s="1406"/>
      <c r="M24" s="1407"/>
      <c r="N24" s="647" t="e">
        <f t="shared" si="1"/>
        <v>#DIV/0!</v>
      </c>
      <c r="O24" s="1411"/>
      <c r="P24" s="1412"/>
      <c r="Q24" s="1412"/>
      <c r="R24" s="1413"/>
      <c r="S24" s="1415"/>
    </row>
    <row r="25" spans="1:19" ht="20.100000000000001" hidden="1" customHeight="1">
      <c r="A25" s="1400"/>
      <c r="B25" s="84" t="s">
        <v>205</v>
      </c>
      <c r="C25" s="648" t="s">
        <v>44</v>
      </c>
      <c r="D25" s="649"/>
      <c r="E25" s="85"/>
      <c r="F25" s="85"/>
      <c r="G25" s="1401"/>
      <c r="H25" s="1401"/>
      <c r="I25" s="1401"/>
      <c r="J25" s="650"/>
      <c r="K25" s="1408"/>
      <c r="L25" s="1409"/>
      <c r="M25" s="1410"/>
      <c r="N25" s="647" t="e">
        <f t="shared" si="1"/>
        <v>#DIV/0!</v>
      </c>
      <c r="O25" s="1367"/>
      <c r="P25" s="1368"/>
      <c r="Q25" s="1368"/>
      <c r="R25" s="1369"/>
      <c r="S25" s="1416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2.35</v>
      </c>
      <c r="E26" s="880">
        <v>800</v>
      </c>
      <c r="F26" s="880"/>
      <c r="G26" s="1358"/>
      <c r="H26" s="1358"/>
      <c r="I26" s="1358"/>
      <c r="J26" s="423"/>
      <c r="K26" s="1402"/>
      <c r="L26" s="1403"/>
      <c r="M26" s="1404"/>
      <c r="N26" s="647" t="e">
        <f t="shared" si="1"/>
        <v>#DIV/0!</v>
      </c>
      <c r="O26" s="1348"/>
      <c r="P26" s="1349"/>
      <c r="Q26" s="1349"/>
      <c r="R26" s="1350"/>
      <c r="S26" s="1375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1.75</v>
      </c>
      <c r="E27" s="880">
        <v>715</v>
      </c>
      <c r="F27" s="880"/>
      <c r="G27" s="1358"/>
      <c r="H27" s="1358"/>
      <c r="I27" s="1358"/>
      <c r="J27" s="423"/>
      <c r="K27" s="1405"/>
      <c r="L27" s="1406"/>
      <c r="M27" s="1407"/>
      <c r="N27" s="647" t="e">
        <f t="shared" si="1"/>
        <v>#DIV/0!</v>
      </c>
      <c r="O27" s="1411"/>
      <c r="P27" s="1412"/>
      <c r="Q27" s="1412"/>
      <c r="R27" s="1413"/>
      <c r="S27" s="137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1.6</v>
      </c>
      <c r="E28" s="880">
        <v>715</v>
      </c>
      <c r="F28" s="880"/>
      <c r="G28" s="1358"/>
      <c r="H28" s="1358"/>
      <c r="I28" s="1358"/>
      <c r="J28" s="423"/>
      <c r="K28" s="1408"/>
      <c r="L28" s="1409"/>
      <c r="M28" s="1410"/>
      <c r="N28" s="647" t="e">
        <f t="shared" si="1"/>
        <v>#DIV/0!</v>
      </c>
      <c r="O28" s="1367"/>
      <c r="P28" s="1368"/>
      <c r="Q28" s="1368"/>
      <c r="R28" s="1369"/>
      <c r="S28" s="1377"/>
    </row>
    <row r="29" spans="1:19" s="76" customFormat="1" ht="31.7" customHeight="1">
      <c r="A29" s="56" t="s">
        <v>212</v>
      </c>
      <c r="B29" s="388" t="s">
        <v>193</v>
      </c>
      <c r="C29" s="1378" t="s">
        <v>11</v>
      </c>
      <c r="D29" s="1379"/>
      <c r="E29" s="1380"/>
      <c r="F29" s="409" t="s">
        <v>12</v>
      </c>
      <c r="G29" s="409" t="s">
        <v>13</v>
      </c>
      <c r="H29" s="410" t="s">
        <v>215</v>
      </c>
      <c r="I29" s="411" t="s">
        <v>14</v>
      </c>
      <c r="J29" s="412" t="s">
        <v>15</v>
      </c>
      <c r="K29" s="651" t="s">
        <v>16</v>
      </c>
      <c r="L29" s="652" t="s">
        <v>60</v>
      </c>
      <c r="M29" s="653" t="s">
        <v>17</v>
      </c>
      <c r="N29" s="652" t="s">
        <v>18</v>
      </c>
      <c r="O29" s="1381" t="s">
        <v>29</v>
      </c>
      <c r="P29" s="1381"/>
      <c r="Q29" s="1381"/>
      <c r="R29" s="1381"/>
      <c r="S29" s="383" t="s">
        <v>4</v>
      </c>
    </row>
    <row r="30" spans="1:19" s="132" customFormat="1" ht="16.5" hidden="1" customHeight="1">
      <c r="A30" s="1126" t="s">
        <v>19</v>
      </c>
      <c r="B30" s="134" t="s">
        <v>0</v>
      </c>
      <c r="C30" s="1382"/>
      <c r="D30" s="1383"/>
      <c r="E30" s="1384"/>
      <c r="F30" s="380"/>
      <c r="G30" s="246">
        <f>SUM(G9:G28)</f>
        <v>59763</v>
      </c>
      <c r="H30" s="95"/>
      <c r="I30" s="844" t="e">
        <f>SUM(#REF!)</f>
        <v>#REF!</v>
      </c>
      <c r="J30" s="390"/>
      <c r="K30" s="390"/>
      <c r="L30" s="389"/>
      <c r="M30" s="1385"/>
      <c r="N30" s="654"/>
      <c r="O30" s="1388"/>
      <c r="P30" s="1389"/>
      <c r="Q30" s="1389"/>
      <c r="R30" s="1390"/>
      <c r="S30" s="1397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6"/>
      <c r="N31" s="654"/>
      <c r="O31" s="1391"/>
      <c r="P31" s="1392"/>
      <c r="Q31" s="1392"/>
      <c r="R31" s="1393"/>
      <c r="S31" s="1398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7"/>
      <c r="N32" s="654"/>
      <c r="O32" s="1394"/>
      <c r="P32" s="1395"/>
      <c r="Q32" s="1395"/>
      <c r="R32" s="1396"/>
      <c r="S32" s="1399"/>
    </row>
    <row r="33" spans="1:19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5"/>
      <c r="N33" s="654"/>
      <c r="O33" s="1388"/>
      <c r="P33" s="1389"/>
      <c r="Q33" s="1389"/>
      <c r="R33" s="1390"/>
      <c r="S33" s="1420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7"/>
      <c r="N36" s="654"/>
      <c r="O36" s="1394"/>
      <c r="P36" s="1395"/>
      <c r="Q36" s="1395"/>
      <c r="R36" s="1396"/>
      <c r="S36" s="1422"/>
    </row>
    <row r="37" spans="1:19" ht="18" hidden="1" customHeight="1">
      <c r="A37" s="1426" t="s">
        <v>61</v>
      </c>
      <c r="B37" s="84" t="s">
        <v>205</v>
      </c>
      <c r="C37" s="1382"/>
      <c r="D37" s="1383"/>
      <c r="E37" s="1384"/>
      <c r="F37" s="380"/>
      <c r="G37" s="245"/>
      <c r="H37" s="85"/>
      <c r="I37" s="85"/>
      <c r="J37" s="656"/>
      <c r="K37" s="392"/>
      <c r="L37" s="251"/>
      <c r="M37" s="1385"/>
      <c r="N37" s="428"/>
      <c r="O37" s="1388"/>
      <c r="P37" s="1389"/>
      <c r="Q37" s="1389"/>
      <c r="R37" s="1390"/>
      <c r="S37" s="1423"/>
    </row>
    <row r="38" spans="1:19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6"/>
      <c r="N38" s="654"/>
      <c r="O38" s="1391"/>
      <c r="P38" s="1392"/>
      <c r="Q38" s="1392"/>
      <c r="R38" s="1393"/>
      <c r="S38" s="1424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7"/>
      <c r="N39" s="654"/>
      <c r="O39" s="1394"/>
      <c r="P39" s="1395"/>
      <c r="Q39" s="1395"/>
      <c r="R39" s="1396"/>
      <c r="S39" s="1425"/>
    </row>
    <row r="40" spans="1:19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5"/>
      <c r="N40" s="654"/>
      <c r="O40" s="1388"/>
      <c r="P40" s="1389"/>
      <c r="Q40" s="1389"/>
      <c r="R40" s="1390"/>
      <c r="S40" s="1420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6"/>
      <c r="N41" s="654"/>
      <c r="O41" s="1391"/>
      <c r="P41" s="1392"/>
      <c r="Q41" s="1392"/>
      <c r="R41" s="1393"/>
      <c r="S41" s="1421"/>
    </row>
    <row r="42" spans="1:19" ht="18" hidden="1" customHeight="1">
      <c r="A42" s="1426"/>
      <c r="B42" s="381" t="s">
        <v>207</v>
      </c>
      <c r="C42" s="1417"/>
      <c r="D42" s="1418"/>
      <c r="E42" s="1419"/>
      <c r="F42" s="657"/>
      <c r="G42" s="243"/>
      <c r="H42" s="114"/>
      <c r="I42" s="114"/>
      <c r="J42" s="655"/>
      <c r="K42" s="391"/>
      <c r="L42" s="240"/>
      <c r="M42" s="1387"/>
      <c r="N42" s="428"/>
      <c r="O42" s="1394"/>
      <c r="P42" s="1395"/>
      <c r="Q42" s="1395"/>
      <c r="R42" s="1396"/>
      <c r="S42" s="1422"/>
    </row>
    <row r="43" spans="1:19" ht="18" hidden="1" customHeight="1">
      <c r="A43" s="1260" t="s">
        <v>20</v>
      </c>
      <c r="B43" s="84" t="s">
        <v>205</v>
      </c>
      <c r="C43" s="1382"/>
      <c r="D43" s="1383"/>
      <c r="E43" s="1384"/>
      <c r="F43" s="380"/>
      <c r="G43" s="245"/>
      <c r="H43" s="85"/>
      <c r="I43" s="85"/>
      <c r="J43" s="656"/>
      <c r="K43" s="393"/>
      <c r="L43" s="251"/>
      <c r="M43" s="1385"/>
      <c r="N43" s="428"/>
      <c r="O43" s="1388"/>
      <c r="P43" s="1389"/>
      <c r="Q43" s="1389"/>
      <c r="R43" s="1390"/>
      <c r="S43" s="1423"/>
    </row>
    <row r="44" spans="1:19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6"/>
      <c r="N44" s="654"/>
      <c r="O44" s="1391"/>
      <c r="P44" s="1392"/>
      <c r="Q44" s="1392"/>
      <c r="R44" s="1393"/>
      <c r="S44" s="1424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7"/>
      <c r="N45" s="654"/>
      <c r="O45" s="1394"/>
      <c r="P45" s="1395"/>
      <c r="Q45" s="1395"/>
      <c r="R45" s="1396"/>
      <c r="S45" s="1425"/>
    </row>
    <row r="46" spans="1:19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5"/>
      <c r="N46" s="654"/>
      <c r="O46" s="1388"/>
      <c r="P46" s="1389"/>
      <c r="Q46" s="1389"/>
      <c r="R46" s="1390"/>
      <c r="S46" s="1420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6"/>
      <c r="N47" s="654"/>
      <c r="O47" s="1391"/>
      <c r="P47" s="1392"/>
      <c r="Q47" s="1392"/>
      <c r="R47" s="1393"/>
      <c r="S47" s="1421"/>
    </row>
    <row r="48" spans="1:19" ht="15.75" hidden="1" customHeight="1">
      <c r="A48" s="1260"/>
      <c r="B48" s="381" t="s">
        <v>207</v>
      </c>
      <c r="C48" s="1417"/>
      <c r="D48" s="1418"/>
      <c r="E48" s="1419"/>
      <c r="F48" s="657"/>
      <c r="G48" s="243"/>
      <c r="H48" s="114"/>
      <c r="I48" s="114"/>
      <c r="J48" s="655"/>
      <c r="K48" s="391"/>
      <c r="L48" s="240"/>
      <c r="M48" s="1387"/>
      <c r="N48" s="428"/>
      <c r="O48" s="1394"/>
      <c r="P48" s="1395"/>
      <c r="Q48" s="1395"/>
      <c r="R48" s="1396"/>
      <c r="S48" s="1422"/>
    </row>
    <row r="49" spans="1:24" ht="17.25" customHeight="1">
      <c r="A49" s="1126" t="s">
        <v>21</v>
      </c>
      <c r="B49" s="84" t="s">
        <v>0</v>
      </c>
      <c r="C49" s="1427" t="s">
        <v>633</v>
      </c>
      <c r="D49" s="1427"/>
      <c r="E49" s="1427"/>
      <c r="F49" s="827"/>
      <c r="G49" s="828"/>
      <c r="H49" s="815"/>
      <c r="I49" s="827"/>
      <c r="J49" s="828"/>
      <c r="K49" s="828"/>
      <c r="L49" s="828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36" customHeight="1">
      <c r="A50" s="1127"/>
      <c r="B50" s="881" t="s">
        <v>43</v>
      </c>
      <c r="C50" s="1360" t="e">
        <f>#REF!</f>
        <v>#REF!</v>
      </c>
      <c r="D50" s="1360"/>
      <c r="E50" s="1360"/>
      <c r="F50" s="418" t="s">
        <v>1126</v>
      </c>
      <c r="G50" s="660" t="e">
        <f>#REF!</f>
        <v>#REF!</v>
      </c>
      <c r="H50" s="880"/>
      <c r="I50" s="418">
        <v>3</v>
      </c>
      <c r="J50" s="660" t="e">
        <f>#REF!</f>
        <v>#REF!</v>
      </c>
      <c r="K50" s="660" t="e">
        <f>#REF!</f>
        <v>#REF!</v>
      </c>
      <c r="L50" s="660" t="e">
        <f>#REF!</f>
        <v>#REF!</v>
      </c>
      <c r="M50" s="661" t="e">
        <f>#REF!</f>
        <v>#REF!</v>
      </c>
      <c r="N50" s="662" t="e">
        <f>#REF!</f>
        <v>#REF!</v>
      </c>
      <c r="O50" s="1361" t="e">
        <f>#REF!</f>
        <v>#REF!</v>
      </c>
      <c r="P50" s="1361"/>
      <c r="Q50" s="1361"/>
      <c r="R50" s="1361"/>
      <c r="S50" s="822" t="e">
        <f>#REF!</f>
        <v>#REF!</v>
      </c>
      <c r="V50" s="1382" t="s">
        <v>633</v>
      </c>
      <c r="W50" s="1383"/>
      <c r="X50" s="1384"/>
    </row>
    <row r="51" spans="1:24" ht="17.25" customHeight="1">
      <c r="A51" s="1126" t="s">
        <v>22</v>
      </c>
      <c r="B51" s="84" t="s">
        <v>0</v>
      </c>
      <c r="C51" s="1427" t="e">
        <f>#REF!</f>
        <v>#REF!</v>
      </c>
      <c r="D51" s="1427"/>
      <c r="E51" s="1427"/>
      <c r="F51" s="827" t="s">
        <v>1128</v>
      </c>
      <c r="G51" s="852" t="e">
        <f>#REF!</f>
        <v>#REF!</v>
      </c>
      <c r="H51" s="815"/>
      <c r="I51" s="827">
        <v>3</v>
      </c>
      <c r="J51" s="852" t="e">
        <f>#REF!</f>
        <v>#REF!</v>
      </c>
      <c r="K51" s="885" t="e">
        <f>#REF!</f>
        <v>#REF!</v>
      </c>
      <c r="L51" s="885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17.25" customHeight="1">
      <c r="A52" s="1127"/>
      <c r="B52" s="881" t="s">
        <v>43</v>
      </c>
      <c r="C52" s="1360" t="s">
        <v>633</v>
      </c>
      <c r="D52" s="1360"/>
      <c r="E52" s="1360"/>
      <c r="F52" s="418"/>
      <c r="G52" s="840"/>
      <c r="H52" s="880"/>
      <c r="I52" s="418"/>
      <c r="J52" s="840"/>
      <c r="K52" s="890"/>
      <c r="L52" s="890"/>
      <c r="M52" s="863"/>
      <c r="N52" s="415"/>
      <c r="O52" s="1364"/>
      <c r="P52" s="1365"/>
      <c r="Q52" s="1365"/>
      <c r="R52" s="1366"/>
      <c r="S52" s="821"/>
    </row>
    <row r="53" spans="1:24" ht="17.25" customHeight="1">
      <c r="A53" s="1428" t="s">
        <v>23</v>
      </c>
      <c r="B53" s="84" t="s">
        <v>0</v>
      </c>
      <c r="C53" s="1427" t="e">
        <f>#REF!</f>
        <v>#REF!</v>
      </c>
      <c r="D53" s="1427"/>
      <c r="E53" s="1427"/>
      <c r="F53" s="827" t="s">
        <v>990</v>
      </c>
      <c r="G53" s="828" t="e">
        <f>#REF!</f>
        <v>#REF!</v>
      </c>
      <c r="H53" s="815"/>
      <c r="I53" s="827">
        <v>1</v>
      </c>
      <c r="J53" s="828" t="e">
        <f>#REF!</f>
        <v>#REF!</v>
      </c>
      <c r="K53" s="828" t="e">
        <f>#REF!</f>
        <v>#REF!</v>
      </c>
      <c r="L53" s="828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563"/>
      <c r="B54" s="381" t="s">
        <v>43</v>
      </c>
      <c r="C54" s="1360" t="s">
        <v>633</v>
      </c>
      <c r="D54" s="1360"/>
      <c r="E54" s="1360"/>
      <c r="F54" s="418"/>
      <c r="G54" s="660"/>
      <c r="H54" s="880"/>
      <c r="I54" s="418"/>
      <c r="J54" s="660"/>
      <c r="K54" s="660"/>
      <c r="L54" s="660"/>
      <c r="M54" s="865"/>
      <c r="N54" s="662"/>
      <c r="O54" s="1364"/>
      <c r="P54" s="1365"/>
      <c r="Q54" s="1365"/>
      <c r="R54" s="1366"/>
      <c r="S54" s="822"/>
    </row>
    <row r="55" spans="1:24" ht="17.25" customHeight="1">
      <c r="A55" s="1126" t="s">
        <v>24</v>
      </c>
      <c r="B55" s="84" t="s">
        <v>0</v>
      </c>
      <c r="C55" s="1427" t="s">
        <v>633</v>
      </c>
      <c r="D55" s="1427"/>
      <c r="E55" s="1427"/>
      <c r="F55" s="827"/>
      <c r="G55" s="828"/>
      <c r="H55" s="815"/>
      <c r="I55" s="827"/>
      <c r="J55" s="828"/>
      <c r="K55" s="828"/>
      <c r="L55" s="828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7"/>
      <c r="B56" s="381" t="s">
        <v>43</v>
      </c>
      <c r="C56" s="1360" t="s">
        <v>633</v>
      </c>
      <c r="D56" s="1360"/>
      <c r="E56" s="1360"/>
      <c r="F56" s="418"/>
      <c r="G56" s="660"/>
      <c r="H56" s="880"/>
      <c r="I56" s="418"/>
      <c r="J56" s="660"/>
      <c r="K56" s="660"/>
      <c r="L56" s="660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6" t="s">
        <v>634</v>
      </c>
      <c r="B57" s="84" t="s">
        <v>0</v>
      </c>
      <c r="C57" s="1427" t="s">
        <v>633</v>
      </c>
      <c r="D57" s="1427"/>
      <c r="E57" s="1427"/>
      <c r="F57" s="827"/>
      <c r="G57" s="828"/>
      <c r="H57" s="815"/>
      <c r="I57" s="827"/>
      <c r="J57" s="828"/>
      <c r="K57" s="828"/>
      <c r="L57" s="828"/>
      <c r="M57" s="816"/>
      <c r="N57" s="817"/>
      <c r="O57" s="1430"/>
      <c r="P57" s="1431"/>
      <c r="Q57" s="1431"/>
      <c r="R57" s="1432"/>
      <c r="S57" s="822"/>
    </row>
    <row r="58" spans="1:24" ht="17.25" customHeight="1">
      <c r="A58" s="1127"/>
      <c r="B58" s="381" t="s">
        <v>43</v>
      </c>
      <c r="C58" s="1360" t="s">
        <v>633</v>
      </c>
      <c r="D58" s="1360"/>
      <c r="E58" s="1360"/>
      <c r="F58" s="418"/>
      <c r="G58" s="660"/>
      <c r="H58" s="880"/>
      <c r="I58" s="418"/>
      <c r="J58" s="660"/>
      <c r="K58" s="660"/>
      <c r="L58" s="660"/>
      <c r="M58" s="816"/>
      <c r="N58" s="817"/>
      <c r="O58" s="1430"/>
      <c r="P58" s="1431"/>
      <c r="Q58" s="1431"/>
      <c r="R58" s="1432"/>
      <c r="S58" s="822"/>
    </row>
    <row r="59" spans="1:24" ht="35.25" customHeight="1">
      <c r="A59" s="1126" t="s">
        <v>416</v>
      </c>
      <c r="B59" s="84" t="s">
        <v>0</v>
      </c>
      <c r="C59" s="1427" t="e">
        <f>#REF!</f>
        <v>#REF!</v>
      </c>
      <c r="D59" s="1427"/>
      <c r="E59" s="1427"/>
      <c r="F59" s="827" t="s">
        <v>1129</v>
      </c>
      <c r="G59" s="828" t="e">
        <f>#REF!</f>
        <v>#REF!</v>
      </c>
      <c r="H59" s="815"/>
      <c r="I59" s="827">
        <v>2</v>
      </c>
      <c r="J59" s="828" t="e">
        <f>#REF!</f>
        <v>#REF!</v>
      </c>
      <c r="K59" s="828" t="e">
        <f>#REF!</f>
        <v>#REF!</v>
      </c>
      <c r="L59" s="828" t="e">
        <f>#REF!</f>
        <v>#REF!</v>
      </c>
      <c r="M59" s="816" t="e">
        <f>#REF!</f>
        <v>#REF!</v>
      </c>
      <c r="N59" s="818" t="e">
        <f>#REF!</f>
        <v>#REF!</v>
      </c>
      <c r="O59" s="1333" t="e">
        <f>#REF!</f>
        <v>#REF!</v>
      </c>
      <c r="P59" s="1334"/>
      <c r="Q59" s="1334"/>
      <c r="R59" s="1335"/>
      <c r="S59" s="895" t="e">
        <f>#REF!</f>
        <v>#REF!</v>
      </c>
    </row>
    <row r="60" spans="1:24" ht="34.5" customHeight="1">
      <c r="A60" s="1189"/>
      <c r="B60" s="381" t="s">
        <v>43</v>
      </c>
      <c r="C60" s="1360" t="e">
        <f>#REF!</f>
        <v>#REF!</v>
      </c>
      <c r="D60" s="1360"/>
      <c r="E60" s="1360"/>
      <c r="F60" s="418" t="s">
        <v>1129</v>
      </c>
      <c r="G60" s="660" t="e">
        <f>#REF!</f>
        <v>#REF!</v>
      </c>
      <c r="H60" s="880"/>
      <c r="I60" s="418">
        <v>3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8" t="e">
        <f>#REF!</f>
        <v>#REF!</v>
      </c>
      <c r="O60" s="1333" t="e">
        <f>#REF!</f>
        <v>#REF!</v>
      </c>
      <c r="P60" s="1334"/>
      <c r="Q60" s="1334"/>
      <c r="R60" s="1335"/>
      <c r="S60" s="855" t="e">
        <f>#REF!</f>
        <v>#REF!</v>
      </c>
    </row>
    <row r="61" spans="1:24" ht="17.25" customHeight="1">
      <c r="A61" s="1126" t="s">
        <v>635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6" t="s">
        <v>636</v>
      </c>
      <c r="B63" s="84" t="s">
        <v>0</v>
      </c>
      <c r="C63" s="1427" t="s">
        <v>633</v>
      </c>
      <c r="D63" s="1427"/>
      <c r="E63" s="1427"/>
      <c r="F63" s="827"/>
      <c r="G63" s="828"/>
      <c r="H63" s="815"/>
      <c r="I63" s="827"/>
      <c r="J63" s="828"/>
      <c r="K63" s="828"/>
      <c r="L63" s="828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7"/>
      <c r="B64" s="381" t="s">
        <v>43</v>
      </c>
      <c r="C64" s="1360" t="s">
        <v>633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21"/>
    </row>
    <row r="65" spans="1:79" ht="17.25" customHeight="1">
      <c r="A65" s="831"/>
      <c r="B65" s="841"/>
      <c r="C65" s="882"/>
      <c r="D65" s="883"/>
      <c r="E65" s="884"/>
      <c r="F65" s="827"/>
      <c r="G65" s="828"/>
      <c r="H65" s="815"/>
      <c r="I65" s="827"/>
      <c r="J65" s="832" t="s">
        <v>666</v>
      </c>
      <c r="K65" s="836" t="e">
        <f>SUM(K49:K64)</f>
        <v>#REF!</v>
      </c>
      <c r="L65" s="839"/>
      <c r="M65" s="816"/>
      <c r="N65" s="817"/>
      <c r="O65" s="1433"/>
      <c r="P65" s="1434"/>
      <c r="Q65" s="1434"/>
      <c r="R65" s="1435"/>
      <c r="S65" s="811"/>
    </row>
    <row r="66" spans="1:79" ht="17.25" customHeight="1">
      <c r="A66" s="1568" t="s">
        <v>25</v>
      </c>
      <c r="B66" s="84" t="s">
        <v>0</v>
      </c>
      <c r="C66" s="1427" t="s">
        <v>633</v>
      </c>
      <c r="D66" s="1427"/>
      <c r="E66" s="1427"/>
      <c r="F66" s="827"/>
      <c r="G66" s="828"/>
      <c r="H66" s="815"/>
      <c r="I66" s="827"/>
      <c r="J66" s="828"/>
      <c r="K66" s="828"/>
      <c r="L66" s="828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570"/>
      <c r="B67" s="381" t="s">
        <v>43</v>
      </c>
      <c r="C67" s="1360" t="s">
        <v>633</v>
      </c>
      <c r="D67" s="1360"/>
      <c r="E67" s="1360"/>
      <c r="F67" s="418"/>
      <c r="G67" s="660"/>
      <c r="H67" s="880"/>
      <c r="I67" s="418"/>
      <c r="J67" s="660"/>
      <c r="K67" s="660"/>
      <c r="L67" s="660"/>
      <c r="M67" s="659"/>
      <c r="N67" s="415"/>
      <c r="O67" s="1437"/>
      <c r="P67" s="1438"/>
      <c r="Q67" s="1438"/>
      <c r="R67" s="1439"/>
      <c r="S67" s="876"/>
    </row>
    <row r="68" spans="1:79" ht="34.5" customHeight="1">
      <c r="A68" s="1126" t="s">
        <v>62</v>
      </c>
      <c r="B68" s="84" t="s">
        <v>0</v>
      </c>
      <c r="C68" s="1427" t="e">
        <f>#REF!</f>
        <v>#REF!</v>
      </c>
      <c r="D68" s="1427"/>
      <c r="E68" s="1427"/>
      <c r="F68" s="827" t="s">
        <v>1130</v>
      </c>
      <c r="G68" s="828" t="e">
        <f>#REF!</f>
        <v>#REF!</v>
      </c>
      <c r="H68" s="815"/>
      <c r="I68" s="827">
        <v>4</v>
      </c>
      <c r="J68" s="828" t="e">
        <f>#REF!</f>
        <v>#REF!</v>
      </c>
      <c r="K68" s="828" t="e">
        <f>#REF!</f>
        <v>#REF!</v>
      </c>
      <c r="L68" s="828" t="e">
        <f>#REF!</f>
        <v>#REF!</v>
      </c>
      <c r="M68" s="659" t="e">
        <f>#REF!</f>
        <v>#REF!</v>
      </c>
      <c r="N68" s="415" t="e">
        <f>#REF!</f>
        <v>#REF!</v>
      </c>
      <c r="O68" s="1549" t="e">
        <f>#REF!</f>
        <v>#REF!</v>
      </c>
      <c r="P68" s="1550"/>
      <c r="Q68" s="1550"/>
      <c r="R68" s="1551"/>
      <c r="S68" s="893" t="e">
        <f>#REF!</f>
        <v>#REF!</v>
      </c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89"/>
      <c r="B69" s="381" t="s">
        <v>43</v>
      </c>
      <c r="C69" s="1360" t="e">
        <f>#REF!</f>
        <v>#REF!</v>
      </c>
      <c r="D69" s="1360"/>
      <c r="E69" s="1360"/>
      <c r="F69" s="418" t="s">
        <v>731</v>
      </c>
      <c r="G69" s="660" t="e">
        <f>#REF!</f>
        <v>#REF!</v>
      </c>
      <c r="H69" s="880"/>
      <c r="I69" s="418">
        <v>4</v>
      </c>
      <c r="J69" s="660" t="e">
        <f>#REF!</f>
        <v>#REF!</v>
      </c>
      <c r="K69" s="660" t="e">
        <f>#REF!</f>
        <v>#REF!</v>
      </c>
      <c r="L69" s="660" t="e">
        <f>#REF!</f>
        <v>#REF!</v>
      </c>
      <c r="M69" s="659" t="e">
        <f>#REF!</f>
        <v>#REF!</v>
      </c>
      <c r="N69" s="415" t="e">
        <f>#REF!</f>
        <v>#REF!</v>
      </c>
      <c r="O69" s="1549" t="e">
        <f>#REF!</f>
        <v>#REF!</v>
      </c>
      <c r="P69" s="1550"/>
      <c r="Q69" s="1550"/>
      <c r="R69" s="1551"/>
      <c r="S69" s="893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35.25" customHeight="1">
      <c r="A70" s="1126" t="s">
        <v>640</v>
      </c>
      <c r="B70" s="84" t="s">
        <v>0</v>
      </c>
      <c r="C70" s="1427" t="e">
        <f>#REF!</f>
        <v>#REF!</v>
      </c>
      <c r="D70" s="1427"/>
      <c r="E70" s="1427"/>
      <c r="F70" s="827" t="s">
        <v>1133</v>
      </c>
      <c r="G70" s="828" t="e">
        <f>#REF!</f>
        <v>#REF!</v>
      </c>
      <c r="H70" s="815"/>
      <c r="I70" s="827">
        <v>4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51.75" customHeight="1">
      <c r="A71" s="1189"/>
      <c r="B71" s="881" t="s">
        <v>43</v>
      </c>
      <c r="C71" s="1360" t="e">
        <f>#REF!</f>
        <v>#REF!</v>
      </c>
      <c r="D71" s="1360"/>
      <c r="E71" s="1360"/>
      <c r="F71" s="418" t="s">
        <v>1133</v>
      </c>
      <c r="G71" s="660" t="e">
        <f>#REF!</f>
        <v>#REF!</v>
      </c>
      <c r="H71" s="880"/>
      <c r="I71" s="418">
        <v>3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17.25" customHeight="1">
      <c r="A72" s="1440" t="s">
        <v>26</v>
      </c>
      <c r="B72" s="84" t="s">
        <v>0</v>
      </c>
      <c r="C72" s="1427" t="e">
        <f>#REF!</f>
        <v>#REF!</v>
      </c>
      <c r="D72" s="1427"/>
      <c r="E72" s="1427"/>
      <c r="F72" s="827" t="s">
        <v>1134</v>
      </c>
      <c r="G72" s="828" t="e">
        <f>#REF!</f>
        <v>#REF!</v>
      </c>
      <c r="H72" s="815"/>
      <c r="I72" s="827">
        <v>5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1"/>
      <c r="B73" s="881" t="s">
        <v>43</v>
      </c>
      <c r="C73" s="1360" t="e">
        <f>#REF!</f>
        <v>#REF!</v>
      </c>
      <c r="D73" s="1360"/>
      <c r="E73" s="1360"/>
      <c r="F73" s="418" t="s">
        <v>1134</v>
      </c>
      <c r="G73" s="660" t="e">
        <f>#REF!</f>
        <v>#REF!</v>
      </c>
      <c r="H73" s="880"/>
      <c r="I73" s="418">
        <v>5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s">
        <v>633</v>
      </c>
      <c r="D74" s="1427"/>
      <c r="E74" s="1427"/>
      <c r="F74" s="827"/>
      <c r="G74" s="828"/>
      <c r="H74" s="815"/>
      <c r="I74" s="827"/>
      <c r="J74" s="828"/>
      <c r="K74" s="828"/>
      <c r="L74" s="828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547"/>
      <c r="B75" s="881" t="s">
        <v>43</v>
      </c>
      <c r="C75" s="1360" t="s">
        <v>633</v>
      </c>
      <c r="D75" s="1360"/>
      <c r="E75" s="1360"/>
      <c r="F75" s="418"/>
      <c r="G75" s="660"/>
      <c r="H75" s="880"/>
      <c r="I75" s="418"/>
      <c r="J75" s="660"/>
      <c r="K75" s="660"/>
      <c r="L75" s="660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816"/>
      <c r="N78" s="415"/>
      <c r="O78" s="1437"/>
      <c r="P78" s="1438"/>
      <c r="Q78" s="1438"/>
      <c r="R78" s="1439"/>
      <c r="S78" s="82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643</v>
      </c>
      <c r="B80" s="84" t="s">
        <v>0</v>
      </c>
      <c r="C80" s="1427" t="e">
        <f>#REF!</f>
        <v>#REF!</v>
      </c>
      <c r="D80" s="1427"/>
      <c r="E80" s="1427"/>
      <c r="F80" s="827" t="s">
        <v>1135</v>
      </c>
      <c r="G80" s="828" t="e">
        <f>#REF!</f>
        <v>#REF!</v>
      </c>
      <c r="H80" s="815"/>
      <c r="I80" s="827">
        <v>10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659" t="e">
        <f>#REF!</f>
        <v>#REF!</v>
      </c>
      <c r="N80" s="415" t="e">
        <f>#REF!</f>
        <v>#REF!</v>
      </c>
      <c r="O80" s="1554"/>
      <c r="P80" s="1555"/>
      <c r="Q80" s="1555"/>
      <c r="R80" s="1556"/>
      <c r="S80" s="877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89"/>
      <c r="B81" s="881" t="s">
        <v>43</v>
      </c>
      <c r="C81" s="1360" t="e">
        <f>#REF!</f>
        <v>#REF!</v>
      </c>
      <c r="D81" s="1360"/>
      <c r="E81" s="1360"/>
      <c r="F81" s="418" t="s">
        <v>1135</v>
      </c>
      <c r="G81" s="660" t="e">
        <f>#REF!</f>
        <v>#REF!</v>
      </c>
      <c r="H81" s="880"/>
      <c r="I81" s="418">
        <v>2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659" t="e">
        <f>#REF!</f>
        <v>#REF!</v>
      </c>
      <c r="N81" s="415" t="e">
        <f>#REF!</f>
        <v>#REF!</v>
      </c>
      <c r="O81" s="1554" t="e">
        <f>#REF!</f>
        <v>#REF!</v>
      </c>
      <c r="P81" s="1555"/>
      <c r="Q81" s="1555"/>
      <c r="R81" s="1556"/>
      <c r="S81" s="1517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89"/>
      <c r="B82" s="881" t="s">
        <v>43</v>
      </c>
      <c r="C82" s="1360" t="e">
        <f>#REF!</f>
        <v>#REF!</v>
      </c>
      <c r="D82" s="1360"/>
      <c r="E82" s="1360"/>
      <c r="F82" s="418" t="s">
        <v>1135</v>
      </c>
      <c r="G82" s="660" t="e">
        <f>#REF!</f>
        <v>#REF!</v>
      </c>
      <c r="H82" s="880"/>
      <c r="I82" s="418">
        <v>5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659" t="e">
        <f>#REF!</f>
        <v>#REF!</v>
      </c>
      <c r="N82" s="415" t="e">
        <f>#REF!</f>
        <v>#REF!</v>
      </c>
      <c r="O82" s="1596"/>
      <c r="P82" s="1597"/>
      <c r="Q82" s="1597"/>
      <c r="R82" s="1598"/>
      <c r="S82" s="1518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651</v>
      </c>
      <c r="B83" s="84" t="s">
        <v>0</v>
      </c>
      <c r="C83" s="1427" t="e">
        <f>#REF!</f>
        <v>#REF!</v>
      </c>
      <c r="D83" s="1427"/>
      <c r="E83" s="1427"/>
      <c r="F83" s="827" t="s">
        <v>1136</v>
      </c>
      <c r="G83" s="828" t="e">
        <f>#REF!</f>
        <v>#REF!</v>
      </c>
      <c r="H83" s="815"/>
      <c r="I83" s="827">
        <v>10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 t="e">
        <f>#REF!</f>
        <v>#REF!</v>
      </c>
      <c r="P83" s="1438"/>
      <c r="Q83" s="1438"/>
      <c r="R83" s="1439"/>
      <c r="S83" s="823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7"/>
      <c r="B84" s="881" t="s">
        <v>43</v>
      </c>
      <c r="C84" s="1360" t="e">
        <f>#REF!</f>
        <v>#REF!</v>
      </c>
      <c r="D84" s="1360"/>
      <c r="E84" s="1360"/>
      <c r="F84" s="418" t="s">
        <v>1136</v>
      </c>
      <c r="G84" s="660" t="e">
        <f>#REF!</f>
        <v>#REF!</v>
      </c>
      <c r="H84" s="880"/>
      <c r="I84" s="418">
        <v>10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 t="e">
        <f>SUM(K66:K84)</f>
        <v>#REF!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>
        <f>印401!I44</f>
        <v>0</v>
      </c>
      <c r="D87" s="1290"/>
      <c r="E87" s="1290"/>
      <c r="F87" s="1290"/>
      <c r="G87" s="1290"/>
      <c r="H87" s="849"/>
      <c r="I87" s="849">
        <f>印401!R44</f>
        <v>0</v>
      </c>
      <c r="J87" s="852">
        <f>印401!S44</f>
        <v>0</v>
      </c>
      <c r="K87" s="872">
        <f>印401!L44</f>
        <v>0</v>
      </c>
      <c r="L87" s="873">
        <f>印401!N44</f>
        <v>0</v>
      </c>
      <c r="M87" s="852">
        <f>印401!P44</f>
        <v>0</v>
      </c>
      <c r="N87" s="853">
        <f>印401!Q44</f>
        <v>0</v>
      </c>
      <c r="O87" s="1451"/>
      <c r="P87" s="1452"/>
      <c r="Q87" s="1452"/>
      <c r="R87" s="1453"/>
      <c r="S87" s="874">
        <f>印401!AB44</f>
        <v>0</v>
      </c>
    </row>
    <row r="88" spans="1:79" ht="18" customHeight="1">
      <c r="A88" s="1216"/>
      <c r="B88" s="881" t="s">
        <v>43</v>
      </c>
      <c r="C88" s="1454" t="e">
        <f>印401!#REF!</f>
        <v>#REF!</v>
      </c>
      <c r="D88" s="1454"/>
      <c r="E88" s="1454"/>
      <c r="F88" s="1454"/>
      <c r="G88" s="1454"/>
      <c r="H88" s="664"/>
      <c r="I88" s="664" t="e">
        <f>印401!#REF!</f>
        <v>#REF!</v>
      </c>
      <c r="J88" s="840" t="e">
        <f>印401!#REF!</f>
        <v>#REF!</v>
      </c>
      <c r="K88" s="424" t="e">
        <f>印401!#REF!</f>
        <v>#REF!</v>
      </c>
      <c r="L88" s="830" t="e">
        <f>印401!#REF!</f>
        <v>#REF!</v>
      </c>
      <c r="M88" s="840" t="e">
        <f>印401!#REF!</f>
        <v>#REF!</v>
      </c>
      <c r="N88" s="672" t="e">
        <f>印401!#REF!</f>
        <v>#REF!</v>
      </c>
      <c r="O88" s="1455"/>
      <c r="P88" s="1456"/>
      <c r="Q88" s="1456"/>
      <c r="R88" s="1457"/>
      <c r="S88" s="810" t="e">
        <f>印401!#REF!</f>
        <v>#REF!</v>
      </c>
    </row>
    <row r="89" spans="1:79" ht="18" customHeight="1">
      <c r="A89" s="1461">
        <v>402</v>
      </c>
      <c r="B89" s="84" t="s">
        <v>205</v>
      </c>
      <c r="C89" s="1290" t="s">
        <v>633</v>
      </c>
      <c r="D89" s="1290"/>
      <c r="E89" s="1290"/>
      <c r="F89" s="1290"/>
      <c r="G89" s="1290"/>
      <c r="H89" s="849"/>
      <c r="I89" s="849"/>
      <c r="J89" s="852"/>
      <c r="K89" s="872"/>
      <c r="L89" s="873"/>
      <c r="M89" s="852"/>
      <c r="N89" s="853"/>
      <c r="O89" s="1451"/>
      <c r="P89" s="1452"/>
      <c r="Q89" s="1452"/>
      <c r="R89" s="1453"/>
      <c r="S89" s="874"/>
    </row>
    <row r="90" spans="1:79" ht="18" customHeight="1">
      <c r="A90" s="1462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7.25" customHeight="1">
      <c r="A91" s="1466">
        <v>403</v>
      </c>
      <c r="B91" s="244" t="s">
        <v>0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52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7.25" customHeight="1">
      <c r="A92" s="1533"/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533"/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533"/>
      <c r="B94" s="881" t="s">
        <v>43</v>
      </c>
      <c r="C94" s="1454" t="e">
        <f>#REF!</f>
        <v>#REF!</v>
      </c>
      <c r="D94" s="1454"/>
      <c r="E94" s="1454"/>
      <c r="F94" s="1454"/>
      <c r="G94" s="1454"/>
      <c r="H94" s="664"/>
      <c r="I94" s="664" t="e">
        <f>#REF!</f>
        <v>#REF!</v>
      </c>
      <c r="J94" s="840" t="e">
        <f>#REF!</f>
        <v>#REF!</v>
      </c>
      <c r="K94" s="424" t="e">
        <f>#REF!</f>
        <v>#REF!</v>
      </c>
      <c r="L94" s="840" t="e">
        <f>#REF!</f>
        <v>#REF!</v>
      </c>
      <c r="M94" s="840" t="e">
        <f>#REF!</f>
        <v>#REF!</v>
      </c>
      <c r="N94" s="672" t="e">
        <f>#REF!</f>
        <v>#REF!</v>
      </c>
      <c r="O94" s="1455"/>
      <c r="P94" s="1456"/>
      <c r="Q94" s="1456"/>
      <c r="R94" s="1457"/>
      <c r="S94" s="810" t="e">
        <f>#REF!</f>
        <v>#REF!</v>
      </c>
    </row>
    <row r="95" spans="1:79" ht="18" customHeight="1">
      <c r="A95" s="1199">
        <v>405</v>
      </c>
      <c r="B95" s="8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8" customHeight="1">
      <c r="A96" s="1165"/>
      <c r="B96" s="881" t="s">
        <v>43</v>
      </c>
      <c r="C96" s="1454" t="e">
        <f>#REF!</f>
        <v>#REF!</v>
      </c>
      <c r="D96" s="1454"/>
      <c r="E96" s="1454"/>
      <c r="F96" s="1454"/>
      <c r="G96" s="1454"/>
      <c r="H96" s="664"/>
      <c r="I96" s="664" t="e">
        <f>#REF!</f>
        <v>#REF!</v>
      </c>
      <c r="J96" s="840" t="e">
        <f>#REF!</f>
        <v>#REF!</v>
      </c>
      <c r="K96" s="424" t="e">
        <f>#REF!</f>
        <v>#REF!</v>
      </c>
      <c r="L96" s="840" t="e">
        <f>#REF!</f>
        <v>#REF!</v>
      </c>
      <c r="M96" s="840" t="e">
        <f>#REF!</f>
        <v>#REF!</v>
      </c>
      <c r="N96" s="672" t="e">
        <f>#REF!</f>
        <v>#REF!</v>
      </c>
      <c r="O96" s="1455"/>
      <c r="P96" s="1456"/>
      <c r="Q96" s="1456"/>
      <c r="R96" s="1457"/>
      <c r="S96" s="810" t="e">
        <f>#REF!</f>
        <v>#REF!</v>
      </c>
    </row>
    <row r="97" spans="1:19" ht="18" customHeight="1">
      <c r="A97" s="314"/>
      <c r="B97" s="841"/>
      <c r="C97" s="1458"/>
      <c r="D97" s="1459"/>
      <c r="E97" s="1459"/>
      <c r="F97" s="1459"/>
      <c r="G97" s="1460"/>
      <c r="H97" s="849"/>
      <c r="I97" s="849"/>
      <c r="J97" s="834" t="s">
        <v>666</v>
      </c>
      <c r="K97" s="835" t="e">
        <f>SUM(K87:K96)</f>
        <v>#REF!</v>
      </c>
      <c r="L97" s="852"/>
      <c r="M97" s="852"/>
      <c r="N97" s="853"/>
      <c r="O97" s="886"/>
      <c r="P97" s="887"/>
      <c r="Q97" s="887"/>
      <c r="R97" s="888"/>
      <c r="S97" s="854"/>
    </row>
    <row r="98" spans="1:19" s="76" customFormat="1" ht="31.7" hidden="1" customHeight="1">
      <c r="A98" s="400" t="s">
        <v>425</v>
      </c>
      <c r="B98" s="400" t="s">
        <v>193</v>
      </c>
      <c r="C98" s="1282" t="e">
        <f>[1]印403!J91</f>
        <v>#REF!</v>
      </c>
      <c r="D98" s="1283"/>
      <c r="E98" s="1283"/>
      <c r="F98" s="1283"/>
      <c r="G98" s="1468"/>
      <c r="H98" s="242" t="s">
        <v>216</v>
      </c>
      <c r="I98" s="242" t="s">
        <v>12</v>
      </c>
      <c r="J98" s="242" t="s">
        <v>13</v>
      </c>
      <c r="K98" s="405" t="s">
        <v>218</v>
      </c>
      <c r="L98" s="427" t="s">
        <v>60</v>
      </c>
      <c r="M98" s="399" t="e">
        <f>[1]印403!O90</f>
        <v>#REF!</v>
      </c>
      <c r="N98" s="257" t="s">
        <v>45</v>
      </c>
      <c r="O98" s="1448" t="s">
        <v>29</v>
      </c>
      <c r="P98" s="1449"/>
      <c r="Q98" s="1449"/>
      <c r="R98" s="1450"/>
      <c r="S98" s="417" t="s">
        <v>57</v>
      </c>
    </row>
    <row r="99" spans="1:19" ht="15" hidden="1" customHeight="1">
      <c r="A99" s="1199" t="s">
        <v>426</v>
      </c>
      <c r="B99" s="84" t="s">
        <v>205</v>
      </c>
      <c r="C99" s="1282" t="e">
        <f>[1]印403!J92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[1]印403!O91</f>
        <v>#REF!</v>
      </c>
      <c r="N99" s="399"/>
      <c r="O99" s="1469"/>
      <c r="P99" s="1245"/>
      <c r="Q99" s="1245"/>
      <c r="R99" s="1246"/>
      <c r="S99" s="1470"/>
    </row>
    <row r="100" spans="1:19" ht="13.7" hidden="1" customHeight="1">
      <c r="A100" s="1216"/>
      <c r="B100" s="84" t="s">
        <v>205</v>
      </c>
      <c r="C100" s="1282" t="e">
        <f>[1]印403!J93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[1]印403!O92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[1]印403!J94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[1]印403!O93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[1]印403!J95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[1]印403!O94</f>
        <v>#REF!</v>
      </c>
      <c r="N102" s="425"/>
      <c r="O102" s="666"/>
      <c r="P102" s="667"/>
      <c r="Q102" s="667"/>
      <c r="R102" s="668"/>
      <c r="S102" s="1471"/>
    </row>
    <row r="103" spans="1:19" ht="15" hidden="1" customHeight="1">
      <c r="A103" s="1216"/>
      <c r="B103" s="84" t="s">
        <v>205</v>
      </c>
      <c r="C103" s="1282" t="e">
        <f>[1]印403!J96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[1]印403!O95</f>
        <v>#REF!</v>
      </c>
      <c r="N103" s="425"/>
      <c r="O103" s="669"/>
      <c r="P103" s="670"/>
      <c r="Q103" s="670"/>
      <c r="R103" s="671"/>
      <c r="S103" s="1471"/>
    </row>
    <row r="104" spans="1:19" ht="16.5" hidden="1" customHeight="1">
      <c r="A104" s="1216"/>
      <c r="B104" s="881" t="s">
        <v>43</v>
      </c>
      <c r="C104" s="1282" t="e">
        <f>[1]印403!J97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[1]印403!O96</f>
        <v>#REF!</v>
      </c>
      <c r="N104" s="672"/>
      <c r="O104" s="1476"/>
      <c r="P104" s="1477"/>
      <c r="Q104" s="1477"/>
      <c r="R104" s="1478"/>
      <c r="S104" s="1485"/>
    </row>
    <row r="105" spans="1:19" ht="15" hidden="1" customHeight="1">
      <c r="A105" s="1216"/>
      <c r="B105" s="881" t="s">
        <v>43</v>
      </c>
      <c r="C105" s="1282" t="e">
        <f>[1]印403!J98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[1]印403!O97</f>
        <v>#REF!</v>
      </c>
      <c r="N105" s="672"/>
      <c r="O105" s="1479"/>
      <c r="P105" s="1480"/>
      <c r="Q105" s="1480"/>
      <c r="R105" s="1481"/>
      <c r="S105" s="1485"/>
    </row>
    <row r="106" spans="1:19" ht="15" hidden="1" customHeight="1">
      <c r="A106" s="1216"/>
      <c r="B106" s="881" t="s">
        <v>43</v>
      </c>
      <c r="C106" s="1282" t="e">
        <f>[1]印403!J99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[1]印403!O98</f>
        <v>#REF!</v>
      </c>
      <c r="N106" s="672"/>
      <c r="O106" s="1479"/>
      <c r="P106" s="1480"/>
      <c r="Q106" s="1480"/>
      <c r="R106" s="1481"/>
      <c r="S106" s="1485"/>
    </row>
    <row r="107" spans="1:19" ht="15" hidden="1" customHeight="1">
      <c r="A107" s="1165"/>
      <c r="B107" s="881" t="s">
        <v>43</v>
      </c>
      <c r="C107" s="1282" t="e">
        <f>[1]印403!J100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[1]印403!O99</f>
        <v>#REF!</v>
      </c>
      <c r="N107" s="672"/>
      <c r="O107" s="1482"/>
      <c r="P107" s="1483"/>
      <c r="Q107" s="1483"/>
      <c r="R107" s="1484"/>
      <c r="S107" s="1486"/>
    </row>
    <row r="108" spans="1:19" ht="6" customHeight="1">
      <c r="A108" s="248"/>
      <c r="C108" s="249"/>
    </row>
    <row r="109" spans="1:19" ht="6" customHeight="1" thickBot="1">
      <c r="A109" s="248"/>
      <c r="C109" s="249"/>
    </row>
    <row r="110" spans="1:19" ht="15" customHeight="1" thickTop="1">
      <c r="A110" s="1472" t="s">
        <v>30</v>
      </c>
      <c r="B110" s="1473"/>
      <c r="C110" s="1473"/>
      <c r="D110" s="1473"/>
      <c r="E110" s="376">
        <v>1097400</v>
      </c>
      <c r="F110" s="75" t="s">
        <v>64</v>
      </c>
      <c r="G110" s="1472" t="s">
        <v>31</v>
      </c>
      <c r="H110" s="1473"/>
      <c r="I110" s="1473"/>
      <c r="J110" s="1473"/>
      <c r="K110" s="1473"/>
      <c r="L110" s="377">
        <v>570000</v>
      </c>
      <c r="M110" s="75" t="s">
        <v>64</v>
      </c>
      <c r="N110" s="1472" t="s">
        <v>32</v>
      </c>
      <c r="O110" s="1473"/>
      <c r="P110" s="1473"/>
      <c r="Q110" s="377">
        <v>1745000</v>
      </c>
      <c r="R110" s="75" t="s">
        <v>64</v>
      </c>
      <c r="S110" s="75"/>
    </row>
    <row r="111" spans="1:19" ht="15" customHeight="1" thickBot="1">
      <c r="A111" s="1474" t="s">
        <v>66</v>
      </c>
      <c r="B111" s="1475"/>
      <c r="C111" s="1475"/>
      <c r="D111" s="1475"/>
      <c r="E111" s="674">
        <f>(106+37)*1000</f>
        <v>143000</v>
      </c>
      <c r="G111" s="1474" t="s">
        <v>66</v>
      </c>
      <c r="H111" s="1475"/>
      <c r="I111" s="1475"/>
      <c r="J111" s="1475"/>
      <c r="K111" s="1475"/>
      <c r="L111" s="674">
        <v>0</v>
      </c>
      <c r="N111" s="1474" t="s">
        <v>33</v>
      </c>
      <c r="O111" s="1475"/>
      <c r="P111" s="1475"/>
      <c r="Q111" s="674">
        <f>(43+60+82+50)*500</f>
        <v>117500</v>
      </c>
      <c r="R111" s="75"/>
      <c r="S111" s="75"/>
    </row>
    <row r="112" spans="1:19" ht="15" customHeight="1" thickTop="1" thickBot="1">
      <c r="A112" s="1487" t="s">
        <v>34</v>
      </c>
      <c r="B112" s="1488"/>
      <c r="C112" s="1488"/>
      <c r="D112" s="1488"/>
      <c r="E112" s="378">
        <f>E110+E111</f>
        <v>1240400</v>
      </c>
      <c r="F112" s="75" t="s">
        <v>64</v>
      </c>
      <c r="G112" s="1487" t="s">
        <v>35</v>
      </c>
      <c r="H112" s="1488"/>
      <c r="I112" s="1488"/>
      <c r="J112" s="1488"/>
      <c r="K112" s="1488"/>
      <c r="L112" s="379">
        <f>L110+L111</f>
        <v>570000</v>
      </c>
      <c r="M112" s="75" t="s">
        <v>64</v>
      </c>
      <c r="N112" s="1487" t="s">
        <v>36</v>
      </c>
      <c r="O112" s="1488"/>
      <c r="P112" s="1488"/>
      <c r="Q112" s="379">
        <f>Q110+Q111</f>
        <v>1862500</v>
      </c>
      <c r="R112" s="75" t="s">
        <v>64</v>
      </c>
      <c r="S112" s="75"/>
    </row>
    <row r="113" spans="1:20" ht="15" customHeight="1" thickTop="1" thickBot="1">
      <c r="E113" s="252">
        <f>印401!M64</f>
        <v>0</v>
      </c>
      <c r="L113" s="675" t="e">
        <f>#REF!</f>
        <v>#REF!</v>
      </c>
      <c r="O113" s="75"/>
      <c r="P113" s="75"/>
      <c r="Q113" s="675" t="e">
        <f>#REF!</f>
        <v>#REF!</v>
      </c>
      <c r="R113" s="75"/>
      <c r="S113" s="75"/>
    </row>
    <row r="114" spans="1:20" ht="15" customHeight="1" thickBot="1">
      <c r="A114" s="676" t="s">
        <v>37</v>
      </c>
      <c r="B114" s="677"/>
      <c r="C114" s="677"/>
      <c r="D114" s="678"/>
      <c r="E114" s="253">
        <f>印401!P64</f>
        <v>0</v>
      </c>
      <c r="F114" s="75" t="s">
        <v>64</v>
      </c>
      <c r="G114" s="676" t="s">
        <v>38</v>
      </c>
      <c r="H114" s="677"/>
      <c r="I114" s="677"/>
      <c r="J114" s="677"/>
      <c r="K114" s="677"/>
      <c r="L114" s="384" t="e">
        <f>#REF!</f>
        <v>#REF!</v>
      </c>
      <c r="M114" s="75" t="s">
        <v>64</v>
      </c>
      <c r="N114" s="676" t="s">
        <v>39</v>
      </c>
      <c r="O114" s="677"/>
      <c r="P114" s="677"/>
      <c r="Q114" s="384" t="e">
        <f>#REF!</f>
        <v>#REF!</v>
      </c>
      <c r="R114" s="75" t="s">
        <v>64</v>
      </c>
      <c r="S114" s="75"/>
    </row>
    <row r="115" spans="1:20" ht="3" customHeight="1" thickBot="1">
      <c r="J115" s="255"/>
      <c r="K115" s="256"/>
    </row>
    <row r="116" spans="1:20" ht="15" customHeight="1" thickTop="1">
      <c r="B116" s="1509" t="s">
        <v>69</v>
      </c>
      <c r="C116" s="1510"/>
      <c r="D116" s="1511" t="s">
        <v>305</v>
      </c>
      <c r="E116" s="1512"/>
      <c r="F116" s="1489" t="s">
        <v>306</v>
      </c>
      <c r="G116" s="1490"/>
      <c r="H116" s="1491" t="s">
        <v>307</v>
      </c>
      <c r="I116" s="1492"/>
      <c r="J116" s="1492"/>
      <c r="K116" s="1493"/>
      <c r="L116" s="1472" t="s">
        <v>657</v>
      </c>
      <c r="M116" s="1473"/>
      <c r="N116" s="1473"/>
      <c r="O116" s="377">
        <v>3301000</v>
      </c>
      <c r="P116" s="75" t="s">
        <v>64</v>
      </c>
      <c r="Q116" s="1496" t="s">
        <v>65</v>
      </c>
      <c r="R116" s="1497"/>
      <c r="S116" s="385">
        <v>34272549</v>
      </c>
    </row>
    <row r="117" spans="1:20" ht="15" customHeight="1" thickBot="1">
      <c r="B117" s="1498" t="s">
        <v>308</v>
      </c>
      <c r="C117" s="1499"/>
      <c r="D117" s="1500" t="e">
        <f>總表!D20</f>
        <v>#REF!</v>
      </c>
      <c r="E117" s="1501"/>
      <c r="F117" s="1502">
        <f>總表!E20</f>
        <v>1316871</v>
      </c>
      <c r="G117" s="1503"/>
      <c r="H117" s="1504" t="e">
        <f>(D117-F117)/D117</f>
        <v>#REF!</v>
      </c>
      <c r="I117" s="1505"/>
      <c r="J117" s="1505"/>
      <c r="K117" s="1506"/>
      <c r="L117" s="1474" t="s">
        <v>33</v>
      </c>
      <c r="M117" s="1475"/>
      <c r="N117" s="1475"/>
      <c r="O117" s="674">
        <f>(198+41)*1000</f>
        <v>239000</v>
      </c>
      <c r="P117" s="75"/>
      <c r="Q117" s="1507" t="s">
        <v>67</v>
      </c>
      <c r="R117" s="1508"/>
      <c r="S117" s="386" t="e">
        <f>SUM(L49:L84,L87:L96)</f>
        <v>#REF!</v>
      </c>
    </row>
    <row r="118" spans="1:20" ht="15" customHeight="1" thickTop="1" thickBot="1">
      <c r="B118" s="1513" t="s">
        <v>309</v>
      </c>
      <c r="C118" s="1514"/>
      <c r="D118" s="1515" t="e">
        <f>總表!C43</f>
        <v>#REF!</v>
      </c>
      <c r="E118" s="1516"/>
      <c r="F118" s="1502" t="e">
        <f>總表!F43</f>
        <v>#REF!</v>
      </c>
      <c r="G118" s="1503"/>
      <c r="H118" s="1504" t="e">
        <f>(D118-F118)/D118</f>
        <v>#REF!</v>
      </c>
      <c r="I118" s="1505"/>
      <c r="J118" s="1505"/>
      <c r="K118" s="1506"/>
      <c r="L118" s="1487" t="s">
        <v>658</v>
      </c>
      <c r="M118" s="1488"/>
      <c r="N118" s="1488"/>
      <c r="O118" s="379">
        <f>O116+O117</f>
        <v>3540000</v>
      </c>
      <c r="P118" s="75" t="s">
        <v>64</v>
      </c>
      <c r="Q118" s="1494" t="s">
        <v>68</v>
      </c>
      <c r="R118" s="1495"/>
      <c r="S118" s="387" t="e">
        <f>S116+S117</f>
        <v>#REF!</v>
      </c>
    </row>
    <row r="119" spans="1:20" ht="14.1" customHeight="1" thickTop="1" thickBot="1">
      <c r="B119" s="250" t="s">
        <v>310</v>
      </c>
      <c r="C119" s="250"/>
      <c r="D119" s="250"/>
      <c r="E119" s="233"/>
      <c r="O119" s="675" t="e">
        <f>#REF!</f>
        <v>#REF!</v>
      </c>
      <c r="P119" s="75"/>
      <c r="Q119" s="75"/>
      <c r="R119" s="254" t="e">
        <f>總表!E43+總表!E52</f>
        <v>#REF!</v>
      </c>
      <c r="S119" s="254" t="e">
        <f>R119-S118</f>
        <v>#REF!</v>
      </c>
    </row>
    <row r="120" spans="1:20" ht="17.25" customHeight="1" thickBot="1">
      <c r="B120" s="250" t="s">
        <v>40</v>
      </c>
      <c r="C120" s="233"/>
      <c r="D120" s="233"/>
      <c r="E120" s="233"/>
      <c r="F120" s="233"/>
      <c r="L120" s="676" t="s">
        <v>659</v>
      </c>
      <c r="M120" s="677"/>
      <c r="N120" s="677"/>
      <c r="O120" s="384" t="e">
        <f>#REF!</f>
        <v>#REF!</v>
      </c>
      <c r="P120" s="75" t="s">
        <v>64</v>
      </c>
      <c r="T120" s="233"/>
    </row>
    <row r="121" spans="1:20" ht="15.75" customHeight="1">
      <c r="B121" s="75" t="s">
        <v>41</v>
      </c>
      <c r="N121" s="233"/>
      <c r="S121" s="75"/>
    </row>
  </sheetData>
  <mergeCells count="290">
    <mergeCell ref="S81:S82"/>
    <mergeCell ref="C84:E84"/>
    <mergeCell ref="O84:R84"/>
    <mergeCell ref="C93:G93"/>
    <mergeCell ref="O93:R93"/>
    <mergeCell ref="O87:R87"/>
    <mergeCell ref="C92:G92"/>
    <mergeCell ref="O92:R92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A7:A8"/>
    <mergeCell ref="G7:I7"/>
    <mergeCell ref="K7:M7"/>
    <mergeCell ref="O7:R7"/>
    <mergeCell ref="G8:I8"/>
    <mergeCell ref="K8:M8"/>
    <mergeCell ref="O8:R8"/>
    <mergeCell ref="G6:I6"/>
    <mergeCell ref="K6:M6"/>
    <mergeCell ref="O6:R6"/>
    <mergeCell ref="A11:A12"/>
    <mergeCell ref="G11:I11"/>
    <mergeCell ref="K11:M11"/>
    <mergeCell ref="O11:R11"/>
    <mergeCell ref="G12:I12"/>
    <mergeCell ref="K12:M12"/>
    <mergeCell ref="O12:R12"/>
    <mergeCell ref="A9:A10"/>
    <mergeCell ref="G9:I9"/>
    <mergeCell ref="K9:M9"/>
    <mergeCell ref="O9:R9"/>
    <mergeCell ref="G10:I10"/>
    <mergeCell ref="K10:M10"/>
    <mergeCell ref="O10:R10"/>
    <mergeCell ref="K19:M19"/>
    <mergeCell ref="O19:R19"/>
    <mergeCell ref="A13:A14"/>
    <mergeCell ref="G13:I13"/>
    <mergeCell ref="K13:M13"/>
    <mergeCell ref="O13:R13"/>
    <mergeCell ref="G14:I14"/>
    <mergeCell ref="K14:M14"/>
    <mergeCell ref="O14:R14"/>
    <mergeCell ref="G15:I15"/>
    <mergeCell ref="G17:I17"/>
    <mergeCell ref="O17:R17"/>
    <mergeCell ref="A15:A17"/>
    <mergeCell ref="K16:M17"/>
    <mergeCell ref="K15:M15"/>
    <mergeCell ref="O15:R15"/>
    <mergeCell ref="G16:I16"/>
    <mergeCell ref="O16:R16"/>
    <mergeCell ref="A20:A21"/>
    <mergeCell ref="G20:I20"/>
    <mergeCell ref="K20:M20"/>
    <mergeCell ref="O20:R20"/>
    <mergeCell ref="G21:I21"/>
    <mergeCell ref="K21:M21"/>
    <mergeCell ref="O21:R21"/>
    <mergeCell ref="K22:M22"/>
    <mergeCell ref="O22:R22"/>
    <mergeCell ref="A23:A28"/>
    <mergeCell ref="G23:I23"/>
    <mergeCell ref="K23:M25"/>
    <mergeCell ref="O23:R25"/>
    <mergeCell ref="S23:S25"/>
    <mergeCell ref="G24:I24"/>
    <mergeCell ref="G25:I25"/>
    <mergeCell ref="G26:I26"/>
    <mergeCell ref="K26:M28"/>
    <mergeCell ref="O26:R28"/>
    <mergeCell ref="S26:S28"/>
    <mergeCell ref="G27:I27"/>
    <mergeCell ref="G28:I28"/>
    <mergeCell ref="C29:E29"/>
    <mergeCell ref="O29:R29"/>
    <mergeCell ref="A30:A36"/>
    <mergeCell ref="C30:E30"/>
    <mergeCell ref="M30:M32"/>
    <mergeCell ref="O30:R32"/>
    <mergeCell ref="S30:S32"/>
    <mergeCell ref="C31:E31"/>
    <mergeCell ref="C32:E32"/>
    <mergeCell ref="C33:E33"/>
    <mergeCell ref="M33:M36"/>
    <mergeCell ref="O33:R36"/>
    <mergeCell ref="S33:S36"/>
    <mergeCell ref="C34:E34"/>
    <mergeCell ref="C35:E35"/>
    <mergeCell ref="C36:E36"/>
    <mergeCell ref="A37:A42"/>
    <mergeCell ref="C37:E37"/>
    <mergeCell ref="M37:M39"/>
    <mergeCell ref="O37:R39"/>
    <mergeCell ref="S37:S39"/>
    <mergeCell ref="C38:E38"/>
    <mergeCell ref="C39:E39"/>
    <mergeCell ref="C40:E40"/>
    <mergeCell ref="M40:M42"/>
    <mergeCell ref="O40:R42"/>
    <mergeCell ref="S40:S42"/>
    <mergeCell ref="C41:E41"/>
    <mergeCell ref="C42:E42"/>
    <mergeCell ref="A43:A48"/>
    <mergeCell ref="C43:E43"/>
    <mergeCell ref="M43:M45"/>
    <mergeCell ref="O43:R45"/>
    <mergeCell ref="S43:S45"/>
    <mergeCell ref="C44:E44"/>
    <mergeCell ref="C45:E45"/>
    <mergeCell ref="C46:E46"/>
    <mergeCell ref="M46:M48"/>
    <mergeCell ref="O46:R48"/>
    <mergeCell ref="S46:S48"/>
    <mergeCell ref="C47:E47"/>
    <mergeCell ref="C48:E48"/>
    <mergeCell ref="A49:A50"/>
    <mergeCell ref="C49:E49"/>
    <mergeCell ref="O49:R49"/>
    <mergeCell ref="V49:X49"/>
    <mergeCell ref="C50:E50"/>
    <mergeCell ref="O50:R50"/>
    <mergeCell ref="V50:X50"/>
    <mergeCell ref="A51:A52"/>
    <mergeCell ref="C51:E51"/>
    <mergeCell ref="O51:R51"/>
    <mergeCell ref="C52:E52"/>
    <mergeCell ref="O52:R52"/>
    <mergeCell ref="A53:A54"/>
    <mergeCell ref="C53:E53"/>
    <mergeCell ref="O53:R53"/>
    <mergeCell ref="C54:E54"/>
    <mergeCell ref="O54:R54"/>
    <mergeCell ref="A55:A56"/>
    <mergeCell ref="C55:E55"/>
    <mergeCell ref="O55:R55"/>
    <mergeCell ref="C56:E56"/>
    <mergeCell ref="O56:R56"/>
    <mergeCell ref="A57:A58"/>
    <mergeCell ref="C57:E57"/>
    <mergeCell ref="O57:R57"/>
    <mergeCell ref="C58:E58"/>
    <mergeCell ref="O58:R58"/>
    <mergeCell ref="A59:A60"/>
    <mergeCell ref="C59:E59"/>
    <mergeCell ref="O59:R59"/>
    <mergeCell ref="A61:A62"/>
    <mergeCell ref="C61:E61"/>
    <mergeCell ref="O61:R61"/>
    <mergeCell ref="C62:E62"/>
    <mergeCell ref="O62:R62"/>
    <mergeCell ref="C60:E60"/>
    <mergeCell ref="O60:R60"/>
    <mergeCell ref="A63:A64"/>
    <mergeCell ref="C63:E63"/>
    <mergeCell ref="O63:R63"/>
    <mergeCell ref="C64:E64"/>
    <mergeCell ref="O64:R64"/>
    <mergeCell ref="O65:R65"/>
    <mergeCell ref="A66:A67"/>
    <mergeCell ref="C66:E66"/>
    <mergeCell ref="O66:R66"/>
    <mergeCell ref="C67:E67"/>
    <mergeCell ref="O67:R67"/>
    <mergeCell ref="A68:A69"/>
    <mergeCell ref="C68:E68"/>
    <mergeCell ref="O68:R68"/>
    <mergeCell ref="C69:E69"/>
    <mergeCell ref="O69:R69"/>
    <mergeCell ref="A70:A71"/>
    <mergeCell ref="C70:E70"/>
    <mergeCell ref="O70:R70"/>
    <mergeCell ref="A72:A73"/>
    <mergeCell ref="C72:E72"/>
    <mergeCell ref="O72:R72"/>
    <mergeCell ref="C71:E71"/>
    <mergeCell ref="O71:R71"/>
    <mergeCell ref="C73:E73"/>
    <mergeCell ref="O73:R73"/>
    <mergeCell ref="A74:A75"/>
    <mergeCell ref="C74:E74"/>
    <mergeCell ref="O74:R74"/>
    <mergeCell ref="C75:E75"/>
    <mergeCell ref="O75:R75"/>
    <mergeCell ref="A76:A77"/>
    <mergeCell ref="C76:E76"/>
    <mergeCell ref="O76:R76"/>
    <mergeCell ref="C77:E77"/>
    <mergeCell ref="O77:R77"/>
    <mergeCell ref="A78:A79"/>
    <mergeCell ref="C78:E78"/>
    <mergeCell ref="O78:R78"/>
    <mergeCell ref="C79:E79"/>
    <mergeCell ref="O79:R79"/>
    <mergeCell ref="A80:A82"/>
    <mergeCell ref="C80:E80"/>
    <mergeCell ref="O80:R80"/>
    <mergeCell ref="C81:E81"/>
    <mergeCell ref="O81:R81"/>
    <mergeCell ref="C82:E82"/>
    <mergeCell ref="O82:R82"/>
    <mergeCell ref="A83:A84"/>
    <mergeCell ref="C83:E83"/>
    <mergeCell ref="O83:R83"/>
    <mergeCell ref="O85:R85"/>
    <mergeCell ref="C88:G88"/>
    <mergeCell ref="O88:R88"/>
    <mergeCell ref="C86:G86"/>
    <mergeCell ref="O86:R86"/>
    <mergeCell ref="A87:A88"/>
    <mergeCell ref="C87:G87"/>
    <mergeCell ref="A89:A90"/>
    <mergeCell ref="C89:G89"/>
    <mergeCell ref="O89:R89"/>
    <mergeCell ref="C90:G90"/>
    <mergeCell ref="O90:R90"/>
    <mergeCell ref="A91:A94"/>
    <mergeCell ref="C91:G91"/>
    <mergeCell ref="O91:R91"/>
    <mergeCell ref="C94:G94"/>
    <mergeCell ref="O94:R94"/>
    <mergeCell ref="O95:R95"/>
    <mergeCell ref="C97:G97"/>
    <mergeCell ref="C98:G98"/>
    <mergeCell ref="O98:R98"/>
    <mergeCell ref="O96:R96"/>
    <mergeCell ref="S104:S107"/>
    <mergeCell ref="C105:G105"/>
    <mergeCell ref="C106:G106"/>
    <mergeCell ref="C107:G107"/>
    <mergeCell ref="C96:G96"/>
    <mergeCell ref="S99:S103"/>
    <mergeCell ref="C100:G100"/>
    <mergeCell ref="C101:G101"/>
    <mergeCell ref="C102:G102"/>
    <mergeCell ref="B118:C118"/>
    <mergeCell ref="D118:E118"/>
    <mergeCell ref="F118:G118"/>
    <mergeCell ref="H118:K118"/>
    <mergeCell ref="L118:N118"/>
    <mergeCell ref="Q118:R118"/>
    <mergeCell ref="A111:D111"/>
    <mergeCell ref="G111:K111"/>
    <mergeCell ref="N111:P111"/>
    <mergeCell ref="A112:D112"/>
    <mergeCell ref="G112:K112"/>
    <mergeCell ref="N112:P112"/>
    <mergeCell ref="B116:C116"/>
    <mergeCell ref="D116:E116"/>
    <mergeCell ref="F116:G116"/>
    <mergeCell ref="H116:K116"/>
    <mergeCell ref="L116:N116"/>
    <mergeCell ref="S16:S17"/>
    <mergeCell ref="A18:A19"/>
    <mergeCell ref="G18:I18"/>
    <mergeCell ref="K18:M18"/>
    <mergeCell ref="O18:R18"/>
    <mergeCell ref="G19:I19"/>
    <mergeCell ref="Q116:R116"/>
    <mergeCell ref="B117:C117"/>
    <mergeCell ref="D117:E117"/>
    <mergeCell ref="F117:G117"/>
    <mergeCell ref="H117:K117"/>
    <mergeCell ref="L117:N117"/>
    <mergeCell ref="Q117:R117"/>
    <mergeCell ref="A110:D110"/>
    <mergeCell ref="G110:K110"/>
    <mergeCell ref="N110:P110"/>
    <mergeCell ref="A99:A107"/>
    <mergeCell ref="C99:G99"/>
    <mergeCell ref="O99:R99"/>
    <mergeCell ref="C104:G104"/>
    <mergeCell ref="O104:R107"/>
    <mergeCell ref="C103:G103"/>
    <mergeCell ref="A95:A96"/>
    <mergeCell ref="C95:G95"/>
  </mergeCells>
  <phoneticPr fontId="26" type="noConversion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A124"/>
  <sheetViews>
    <sheetView topLeftCell="I1" workbookViewId="0">
      <selection activeCell="S9" sqref="S9:S10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1139</v>
      </c>
      <c r="O2" s="1319"/>
      <c r="P2" s="1320"/>
      <c r="Q2" s="1318" t="s">
        <v>1140</v>
      </c>
      <c r="R2" s="1320"/>
      <c r="S2" s="642" t="s">
        <v>1138</v>
      </c>
    </row>
    <row r="3" spans="1:23" ht="103.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1141</v>
      </c>
      <c r="O3" s="1319"/>
      <c r="P3" s="1320"/>
      <c r="Q3" s="1318" t="s">
        <v>1142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45251</v>
      </c>
      <c r="D5" s="419" t="s">
        <v>1137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1.1499999999999999</v>
      </c>
      <c r="E9" s="815">
        <v>805</v>
      </c>
      <c r="F9" s="815">
        <f>'102'!O50</f>
        <v>850</v>
      </c>
      <c r="G9" s="1311">
        <f>'102'!K50</f>
        <v>5469</v>
      </c>
      <c r="H9" s="1312"/>
      <c r="I9" s="1313"/>
      <c r="J9" s="814">
        <f>'102'!L50</f>
        <v>0</v>
      </c>
      <c r="K9" s="1524">
        <f>'102'!P50+'102'!P51</f>
        <v>0.98173202614379074</v>
      </c>
      <c r="L9" s="1525"/>
      <c r="M9" s="1526"/>
      <c r="N9" s="820">
        <f>J9/(G9+J9)</f>
        <v>0</v>
      </c>
      <c r="O9" s="1521" t="str">
        <f>'102'!U50</f>
        <v>13:35-13:38改規格0.8*715,無損耗</v>
      </c>
      <c r="P9" s="1522"/>
      <c r="Q9" s="1522"/>
      <c r="R9" s="1523"/>
      <c r="S9" s="1575" t="str">
        <f>'102'!V50</f>
        <v>潘文銅</v>
      </c>
      <c r="U9" s="420" t="s">
        <v>633</v>
      </c>
      <c r="V9" s="880"/>
      <c r="W9" s="880"/>
    </row>
    <row r="10" spans="1:23" ht="17.25" customHeight="1">
      <c r="A10" s="1336"/>
      <c r="B10" s="84" t="s">
        <v>0</v>
      </c>
      <c r="C10" s="850" t="s">
        <v>42</v>
      </c>
      <c r="D10" s="851">
        <v>0.8</v>
      </c>
      <c r="E10" s="815">
        <v>715</v>
      </c>
      <c r="F10" s="815">
        <f>'102'!O51</f>
        <v>750</v>
      </c>
      <c r="G10" s="1311">
        <f>'102'!K51</f>
        <v>4010</v>
      </c>
      <c r="H10" s="1312"/>
      <c r="I10" s="1313"/>
      <c r="J10" s="814">
        <f>'102'!L51</f>
        <v>0</v>
      </c>
      <c r="K10" s="1527"/>
      <c r="L10" s="1528"/>
      <c r="M10" s="1529"/>
      <c r="N10" s="820">
        <f>J10/(G10+J10)</f>
        <v>0</v>
      </c>
      <c r="O10" s="1581" t="str">
        <f>'102'!U51</f>
        <v>19:30最後一支交接班</v>
      </c>
      <c r="P10" s="1582"/>
      <c r="Q10" s="1582"/>
      <c r="R10" s="1583"/>
      <c r="S10" s="1577"/>
      <c r="U10" s="420" t="s">
        <v>633</v>
      </c>
      <c r="V10" s="880"/>
      <c r="W10" s="880"/>
    </row>
    <row r="11" spans="1:23" ht="17.25" customHeight="1">
      <c r="A11" s="1326"/>
      <c r="B11" s="881" t="s">
        <v>43</v>
      </c>
      <c r="C11" s="422" t="s">
        <v>42</v>
      </c>
      <c r="D11" s="421">
        <v>0.8</v>
      </c>
      <c r="E11" s="880">
        <v>715</v>
      </c>
      <c r="F11" s="880">
        <f>'102'!O52</f>
        <v>750</v>
      </c>
      <c r="G11" s="1327">
        <f>'102'!K52</f>
        <v>8020</v>
      </c>
      <c r="H11" s="1328"/>
      <c r="I11" s="1329"/>
      <c r="J11" s="423">
        <f>'102'!L52</f>
        <v>0</v>
      </c>
      <c r="K11" s="1314">
        <f>'102'!P52</f>
        <v>0.89111111111111108</v>
      </c>
      <c r="L11" s="1315"/>
      <c r="M11" s="1316"/>
      <c r="N11" s="820">
        <f>J11/(G11+J11)</f>
        <v>0</v>
      </c>
      <c r="O11" s="1521" t="str">
        <f>'102'!U52</f>
        <v>06:50最後一支交接班</v>
      </c>
      <c r="P11" s="1522"/>
      <c r="Q11" s="1522"/>
      <c r="R11" s="1523"/>
      <c r="S11" s="892" t="str">
        <f>'102'!V52</f>
        <v>阮功體</v>
      </c>
      <c r="U11" s="420" t="s">
        <v>633</v>
      </c>
      <c r="V11" s="880"/>
      <c r="W11" s="880"/>
    </row>
    <row r="12" spans="1:23" ht="17.25" customHeight="1">
      <c r="A12" s="1325" t="s">
        <v>7</v>
      </c>
      <c r="B12" s="84" t="s">
        <v>205</v>
      </c>
      <c r="C12" s="850" t="s">
        <v>44</v>
      </c>
      <c r="D12" s="649" t="s">
        <v>633</v>
      </c>
      <c r="E12" s="815"/>
      <c r="F12" s="815"/>
      <c r="G12" s="1311"/>
      <c r="H12" s="1312"/>
      <c r="I12" s="1313"/>
      <c r="J12" s="814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26"/>
      <c r="B13" s="881" t="s">
        <v>207</v>
      </c>
      <c r="C13" s="422" t="s">
        <v>44</v>
      </c>
      <c r="D13" s="421" t="s">
        <v>633</v>
      </c>
      <c r="E13" s="880"/>
      <c r="F13" s="880"/>
      <c r="G13" s="1327"/>
      <c r="H13" s="1328"/>
      <c r="I13" s="1329"/>
      <c r="J13" s="423"/>
      <c r="K13" s="1314"/>
      <c r="L13" s="1315"/>
      <c r="M13" s="1316"/>
      <c r="N13" s="820"/>
      <c r="O13" s="1308"/>
      <c r="P13" s="1309"/>
      <c r="Q13" s="1309"/>
      <c r="R13" s="1310"/>
      <c r="S13" s="822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851">
        <v>1.2</v>
      </c>
      <c r="E16" s="815">
        <v>715</v>
      </c>
      <c r="F16" s="815">
        <f>'105'!O48</f>
        <v>450</v>
      </c>
      <c r="G16" s="1311">
        <f>'105'!K48</f>
        <v>5007</v>
      </c>
      <c r="H16" s="1312"/>
      <c r="I16" s="1313"/>
      <c r="J16" s="814">
        <f>'105'!L48</f>
        <v>0</v>
      </c>
      <c r="K16" s="1330">
        <f>'105'!P48</f>
        <v>0.92722222222222217</v>
      </c>
      <c r="L16" s="1331"/>
      <c r="M16" s="1332"/>
      <c r="N16" s="871">
        <f>J16/(G16+J16)</f>
        <v>0</v>
      </c>
      <c r="O16" s="1333" t="str">
        <f>'105'!U48</f>
        <v>20:06最後一支交接班</v>
      </c>
      <c r="P16" s="1334"/>
      <c r="Q16" s="1334"/>
      <c r="R16" s="1335"/>
      <c r="S16" s="860" t="str">
        <f>'105'!V48</f>
        <v>史豐銘</v>
      </c>
    </row>
    <row r="17" spans="1:19" ht="17.25" customHeight="1">
      <c r="A17" s="1102"/>
      <c r="B17" s="881" t="s">
        <v>43</v>
      </c>
      <c r="C17" s="422" t="s">
        <v>44</v>
      </c>
      <c r="D17" s="421">
        <v>1.2</v>
      </c>
      <c r="E17" s="880">
        <v>715</v>
      </c>
      <c r="F17" s="880">
        <f>'105'!O49</f>
        <v>450</v>
      </c>
      <c r="G17" s="1327">
        <f>'105'!K49</f>
        <v>4995</v>
      </c>
      <c r="H17" s="1328"/>
      <c r="I17" s="1329"/>
      <c r="J17" s="423">
        <f>'105'!L49</f>
        <v>0</v>
      </c>
      <c r="K17" s="1330">
        <f>'105'!P49</f>
        <v>0.92500000000000004</v>
      </c>
      <c r="L17" s="1331"/>
      <c r="M17" s="1332"/>
      <c r="N17" s="871">
        <f>J17/(G17+J17)</f>
        <v>0</v>
      </c>
      <c r="O17" s="1333" t="str">
        <f>'105'!U49</f>
        <v>07:55最後一支交接班</v>
      </c>
      <c r="P17" s="1334"/>
      <c r="Q17" s="1334"/>
      <c r="R17" s="1335"/>
      <c r="S17" s="860" t="str">
        <f>'105'!V49</f>
        <v>阮宏山</v>
      </c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1.34</v>
      </c>
      <c r="E18" s="815">
        <v>805</v>
      </c>
      <c r="F18" s="815">
        <f>'106'!O50</f>
        <v>1185</v>
      </c>
      <c r="G18" s="1311">
        <f>'106'!K50</f>
        <v>13123</v>
      </c>
      <c r="H18" s="1312"/>
      <c r="I18" s="1313"/>
      <c r="J18" s="814">
        <f>'106'!L50</f>
        <v>0</v>
      </c>
      <c r="K18" s="1330">
        <f>'106'!P50</f>
        <v>0.92285513361462723</v>
      </c>
      <c r="L18" s="1331"/>
      <c r="M18" s="1332"/>
      <c r="N18" s="871">
        <f>J18/(G18+J18)</f>
        <v>0</v>
      </c>
      <c r="O18" s="1364" t="str">
        <f>'106'!U50</f>
        <v>19:20最後一支交接班</v>
      </c>
      <c r="P18" s="1365"/>
      <c r="Q18" s="1365"/>
      <c r="R18" s="1366"/>
      <c r="S18" s="822" t="str">
        <f>'106'!V50</f>
        <v>黎文中.林子維</v>
      </c>
    </row>
    <row r="19" spans="1:19" ht="17.25" customHeight="1">
      <c r="A19" s="1371"/>
      <c r="B19" s="881" t="s">
        <v>43</v>
      </c>
      <c r="C19" s="422" t="s">
        <v>42</v>
      </c>
      <c r="D19" s="421">
        <v>1.34</v>
      </c>
      <c r="E19" s="880">
        <v>805</v>
      </c>
      <c r="F19" s="880">
        <f>'106'!O51</f>
        <v>1185</v>
      </c>
      <c r="G19" s="1327">
        <f>'106'!K51</f>
        <v>7642</v>
      </c>
      <c r="H19" s="1328"/>
      <c r="I19" s="1329"/>
      <c r="J19" s="423">
        <f>'106'!L51</f>
        <v>0</v>
      </c>
      <c r="K19" s="1541">
        <f>'106'!P51+'106'!P52</f>
        <v>0.92130801687763708</v>
      </c>
      <c r="L19" s="1542"/>
      <c r="M19" s="1543"/>
      <c r="N19" s="871">
        <f>J19/(G19+J19)</f>
        <v>0</v>
      </c>
      <c r="O19" s="1348" t="str">
        <f>'106'!U51</f>
        <v>02:10-02:12改規格1.2*805,無損耗</v>
      </c>
      <c r="P19" s="1349"/>
      <c r="Q19" s="1349"/>
      <c r="R19" s="1350"/>
      <c r="S19" s="1517" t="str">
        <f>'106'!V51</f>
        <v>黃隨貴.盧宇昇</v>
      </c>
    </row>
    <row r="20" spans="1:19" ht="17.25" customHeight="1">
      <c r="A20" s="1562"/>
      <c r="B20" s="881" t="s">
        <v>43</v>
      </c>
      <c r="C20" s="422" t="s">
        <v>42</v>
      </c>
      <c r="D20" s="421">
        <v>1.2</v>
      </c>
      <c r="E20" s="880">
        <v>805</v>
      </c>
      <c r="F20" s="880">
        <f>'106'!O52</f>
        <v>1185</v>
      </c>
      <c r="G20" s="1327">
        <f>'106'!K52</f>
        <v>5459</v>
      </c>
      <c r="H20" s="1328"/>
      <c r="I20" s="1329"/>
      <c r="J20" s="423">
        <f>'106'!L52</f>
        <v>0</v>
      </c>
      <c r="K20" s="1544"/>
      <c r="L20" s="1545"/>
      <c r="M20" s="1546"/>
      <c r="N20" s="871">
        <f>J20/(G20+J20)</f>
        <v>0</v>
      </c>
      <c r="O20" s="1367" t="str">
        <f>'106'!U52</f>
        <v>07:10最後一支交接班</v>
      </c>
      <c r="P20" s="1368"/>
      <c r="Q20" s="1368"/>
      <c r="R20" s="1369"/>
      <c r="S20" s="1518"/>
    </row>
    <row r="21" spans="1:19" ht="17.25" customHeight="1">
      <c r="A21" s="1362" t="s">
        <v>418</v>
      </c>
      <c r="B21" s="84" t="s">
        <v>205</v>
      </c>
      <c r="C21" s="850" t="s">
        <v>44</v>
      </c>
      <c r="D21" s="649" t="s">
        <v>633</v>
      </c>
      <c r="E21" s="815"/>
      <c r="F21" s="815"/>
      <c r="G21" s="1311"/>
      <c r="H21" s="1312"/>
      <c r="I21" s="1313"/>
      <c r="J21" s="814"/>
      <c r="K21" s="1314"/>
      <c r="L21" s="1315"/>
      <c r="M21" s="1316"/>
      <c r="N21" s="871"/>
      <c r="O21" s="1364"/>
      <c r="P21" s="1365"/>
      <c r="Q21" s="1365"/>
      <c r="R21" s="1366"/>
      <c r="S21" s="822"/>
    </row>
    <row r="22" spans="1:19" ht="17.25" customHeight="1">
      <c r="A22" s="1363"/>
      <c r="B22" s="881" t="s">
        <v>43</v>
      </c>
      <c r="C22" s="422" t="s">
        <v>44</v>
      </c>
      <c r="D22" s="421" t="s">
        <v>633</v>
      </c>
      <c r="E22" s="880"/>
      <c r="F22" s="880"/>
      <c r="G22" s="1327"/>
      <c r="H22" s="1328"/>
      <c r="I22" s="1329"/>
      <c r="J22" s="423"/>
      <c r="K22" s="1314"/>
      <c r="L22" s="1315"/>
      <c r="M22" s="1316"/>
      <c r="N22" s="871"/>
      <c r="O22" s="1364"/>
      <c r="P22" s="1365"/>
      <c r="Q22" s="1365"/>
      <c r="R22" s="1366"/>
      <c r="S22" s="822"/>
    </row>
    <row r="23" spans="1:19" ht="17.25" customHeight="1">
      <c r="A23" s="843"/>
      <c r="B23" s="841"/>
      <c r="C23" s="850"/>
      <c r="D23" s="851"/>
      <c r="E23" s="815"/>
      <c r="F23" s="815"/>
      <c r="G23" s="832" t="s">
        <v>666</v>
      </c>
      <c r="H23" s="838"/>
      <c r="I23" s="833">
        <f>SUM(G7:I22)</f>
        <v>53725</v>
      </c>
      <c r="J23" s="833">
        <f>SUM(J7:J22)</f>
        <v>0</v>
      </c>
      <c r="K23" s="1314"/>
      <c r="L23" s="1315"/>
      <c r="M23" s="1316"/>
      <c r="N23" s="647"/>
      <c r="O23" s="1372"/>
      <c r="P23" s="1373"/>
      <c r="Q23" s="1373"/>
      <c r="R23" s="1374"/>
      <c r="S23" s="812"/>
    </row>
    <row r="24" spans="1:19" ht="20.100000000000001" hidden="1" customHeight="1">
      <c r="A24" s="1400" t="s">
        <v>10</v>
      </c>
      <c r="B24" s="84" t="s">
        <v>205</v>
      </c>
      <c r="C24" s="648" t="s">
        <v>44</v>
      </c>
      <c r="D24" s="649">
        <v>2.35</v>
      </c>
      <c r="E24" s="85">
        <v>800</v>
      </c>
      <c r="F24" s="85"/>
      <c r="G24" s="1401"/>
      <c r="H24" s="1401"/>
      <c r="I24" s="1401"/>
      <c r="J24" s="650"/>
      <c r="K24" s="1402"/>
      <c r="L24" s="1403"/>
      <c r="M24" s="1404"/>
      <c r="N24" s="647" t="e">
        <f t="shared" ref="N24:N29" si="0">J24/(G24+J24)</f>
        <v>#DIV/0!</v>
      </c>
      <c r="O24" s="1348"/>
      <c r="P24" s="1349"/>
      <c r="Q24" s="1349"/>
      <c r="R24" s="1350"/>
      <c r="S24" s="1414"/>
    </row>
    <row r="25" spans="1:19" ht="20.100000000000001" hidden="1" customHeight="1">
      <c r="A25" s="1400"/>
      <c r="B25" s="84" t="s">
        <v>0</v>
      </c>
      <c r="C25" s="648" t="s">
        <v>44</v>
      </c>
      <c r="D25" s="649">
        <v>1.85</v>
      </c>
      <c r="E25" s="85">
        <v>800</v>
      </c>
      <c r="F25" s="85"/>
      <c r="G25" s="1401"/>
      <c r="H25" s="1401"/>
      <c r="I25" s="1401"/>
      <c r="J25" s="650"/>
      <c r="K25" s="1405"/>
      <c r="L25" s="1406"/>
      <c r="M25" s="1407"/>
      <c r="N25" s="647" t="e">
        <f t="shared" si="0"/>
        <v>#DIV/0!</v>
      </c>
      <c r="O25" s="1411"/>
      <c r="P25" s="1412"/>
      <c r="Q25" s="1412"/>
      <c r="R25" s="1413"/>
      <c r="S25" s="1415"/>
    </row>
    <row r="26" spans="1:19" ht="20.100000000000001" hidden="1" customHeight="1">
      <c r="A26" s="1400"/>
      <c r="B26" s="84" t="s">
        <v>205</v>
      </c>
      <c r="C26" s="648" t="s">
        <v>44</v>
      </c>
      <c r="D26" s="649"/>
      <c r="E26" s="85"/>
      <c r="F26" s="85"/>
      <c r="G26" s="1401"/>
      <c r="H26" s="1401"/>
      <c r="I26" s="1401"/>
      <c r="J26" s="650"/>
      <c r="K26" s="1408"/>
      <c r="L26" s="1409"/>
      <c r="M26" s="1410"/>
      <c r="N26" s="647" t="e">
        <f t="shared" si="0"/>
        <v>#DIV/0!</v>
      </c>
      <c r="O26" s="1367"/>
      <c r="P26" s="1368"/>
      <c r="Q26" s="1368"/>
      <c r="R26" s="1369"/>
      <c r="S26" s="141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2.35</v>
      </c>
      <c r="E27" s="880">
        <v>800</v>
      </c>
      <c r="F27" s="880"/>
      <c r="G27" s="1358"/>
      <c r="H27" s="1358"/>
      <c r="I27" s="1358"/>
      <c r="J27" s="423"/>
      <c r="K27" s="1402"/>
      <c r="L27" s="1403"/>
      <c r="M27" s="1404"/>
      <c r="N27" s="647" t="e">
        <f t="shared" si="0"/>
        <v>#DIV/0!</v>
      </c>
      <c r="O27" s="1348"/>
      <c r="P27" s="1349"/>
      <c r="Q27" s="1349"/>
      <c r="R27" s="1350"/>
      <c r="S27" s="1375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1.75</v>
      </c>
      <c r="E28" s="880">
        <v>715</v>
      </c>
      <c r="F28" s="880"/>
      <c r="G28" s="1358"/>
      <c r="H28" s="1358"/>
      <c r="I28" s="1358"/>
      <c r="J28" s="423"/>
      <c r="K28" s="1405"/>
      <c r="L28" s="1406"/>
      <c r="M28" s="1407"/>
      <c r="N28" s="647" t="e">
        <f t="shared" si="0"/>
        <v>#DIV/0!</v>
      </c>
      <c r="O28" s="1411"/>
      <c r="P28" s="1412"/>
      <c r="Q28" s="1412"/>
      <c r="R28" s="1413"/>
      <c r="S28" s="1376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1.6</v>
      </c>
      <c r="E29" s="880">
        <v>715</v>
      </c>
      <c r="F29" s="880"/>
      <c r="G29" s="1358"/>
      <c r="H29" s="1358"/>
      <c r="I29" s="1358"/>
      <c r="J29" s="423"/>
      <c r="K29" s="1408"/>
      <c r="L29" s="1409"/>
      <c r="M29" s="1410"/>
      <c r="N29" s="647" t="e">
        <f t="shared" si="0"/>
        <v>#DIV/0!</v>
      </c>
      <c r="O29" s="1367"/>
      <c r="P29" s="1368"/>
      <c r="Q29" s="1368"/>
      <c r="R29" s="1369"/>
      <c r="S29" s="1377"/>
    </row>
    <row r="30" spans="1:19" s="76" customFormat="1" ht="31.7" customHeight="1">
      <c r="A30" s="56" t="s">
        <v>212</v>
      </c>
      <c r="B30" s="388" t="s">
        <v>193</v>
      </c>
      <c r="C30" s="1378" t="s">
        <v>11</v>
      </c>
      <c r="D30" s="1379"/>
      <c r="E30" s="1380"/>
      <c r="F30" s="409" t="s">
        <v>12</v>
      </c>
      <c r="G30" s="409" t="s">
        <v>13</v>
      </c>
      <c r="H30" s="410" t="s">
        <v>215</v>
      </c>
      <c r="I30" s="411" t="s">
        <v>14</v>
      </c>
      <c r="J30" s="412" t="s">
        <v>15</v>
      </c>
      <c r="K30" s="651" t="s">
        <v>16</v>
      </c>
      <c r="L30" s="652" t="s">
        <v>60</v>
      </c>
      <c r="M30" s="653" t="s">
        <v>17</v>
      </c>
      <c r="N30" s="652" t="s">
        <v>18</v>
      </c>
      <c r="O30" s="1381" t="s">
        <v>29</v>
      </c>
      <c r="P30" s="1381"/>
      <c r="Q30" s="1381"/>
      <c r="R30" s="1381"/>
      <c r="S30" s="383" t="s">
        <v>4</v>
      </c>
    </row>
    <row r="31" spans="1:19" s="132" customFormat="1" ht="16.5" hidden="1" customHeight="1">
      <c r="A31" s="1126" t="s">
        <v>19</v>
      </c>
      <c r="B31" s="134" t="s">
        <v>0</v>
      </c>
      <c r="C31" s="1382"/>
      <c r="D31" s="1383"/>
      <c r="E31" s="1384"/>
      <c r="F31" s="380"/>
      <c r="G31" s="246">
        <f>SUM(G9:G29)</f>
        <v>53725</v>
      </c>
      <c r="H31" s="95"/>
      <c r="I31" s="844" t="e">
        <f>SUM(#REF!)</f>
        <v>#REF!</v>
      </c>
      <c r="J31" s="390"/>
      <c r="K31" s="390"/>
      <c r="L31" s="389"/>
      <c r="M31" s="1385"/>
      <c r="N31" s="654"/>
      <c r="O31" s="1388"/>
      <c r="P31" s="1389"/>
      <c r="Q31" s="1389"/>
      <c r="R31" s="1390"/>
      <c r="S31" s="1397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6"/>
      <c r="N32" s="654"/>
      <c r="O32" s="1391"/>
      <c r="P32" s="1392"/>
      <c r="Q32" s="1392"/>
      <c r="R32" s="1393"/>
      <c r="S32" s="1398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7"/>
      <c r="N33" s="654"/>
      <c r="O33" s="1394"/>
      <c r="P33" s="1395"/>
      <c r="Q33" s="1395"/>
      <c r="R33" s="1396"/>
      <c r="S33" s="1399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5"/>
      <c r="N34" s="654"/>
      <c r="O34" s="1388"/>
      <c r="P34" s="1389"/>
      <c r="Q34" s="1389"/>
      <c r="R34" s="1390"/>
      <c r="S34" s="1420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7"/>
      <c r="N37" s="654"/>
      <c r="O37" s="1394"/>
      <c r="P37" s="1395"/>
      <c r="Q37" s="1395"/>
      <c r="R37" s="1396"/>
      <c r="S37" s="1422"/>
    </row>
    <row r="38" spans="1:19" ht="18" hidden="1" customHeight="1">
      <c r="A38" s="1426" t="s">
        <v>61</v>
      </c>
      <c r="B38" s="84" t="s">
        <v>205</v>
      </c>
      <c r="C38" s="1382"/>
      <c r="D38" s="1383"/>
      <c r="E38" s="1384"/>
      <c r="F38" s="380"/>
      <c r="G38" s="245"/>
      <c r="H38" s="85"/>
      <c r="I38" s="85"/>
      <c r="J38" s="656"/>
      <c r="K38" s="392"/>
      <c r="L38" s="251"/>
      <c r="M38" s="1385"/>
      <c r="N38" s="428"/>
      <c r="O38" s="1388"/>
      <c r="P38" s="1389"/>
      <c r="Q38" s="1389"/>
      <c r="R38" s="1390"/>
      <c r="S38" s="1423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6"/>
      <c r="N39" s="654"/>
      <c r="O39" s="1391"/>
      <c r="P39" s="1392"/>
      <c r="Q39" s="1392"/>
      <c r="R39" s="1393"/>
      <c r="S39" s="1424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7"/>
      <c r="N40" s="654"/>
      <c r="O40" s="1394"/>
      <c r="P40" s="1395"/>
      <c r="Q40" s="1395"/>
      <c r="R40" s="1396"/>
      <c r="S40" s="1425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5"/>
      <c r="N41" s="654"/>
      <c r="O41" s="1388"/>
      <c r="P41" s="1389"/>
      <c r="Q41" s="1389"/>
      <c r="R41" s="1390"/>
      <c r="S41" s="1420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6"/>
      <c r="N42" s="654"/>
      <c r="O42" s="1391"/>
      <c r="P42" s="1392"/>
      <c r="Q42" s="1392"/>
      <c r="R42" s="1393"/>
      <c r="S42" s="1421"/>
    </row>
    <row r="43" spans="1:19" ht="18" hidden="1" customHeight="1">
      <c r="A43" s="1426"/>
      <c r="B43" s="381" t="s">
        <v>207</v>
      </c>
      <c r="C43" s="1417"/>
      <c r="D43" s="1418"/>
      <c r="E43" s="1419"/>
      <c r="F43" s="657"/>
      <c r="G43" s="243"/>
      <c r="H43" s="114"/>
      <c r="I43" s="114"/>
      <c r="J43" s="655"/>
      <c r="K43" s="391"/>
      <c r="L43" s="240"/>
      <c r="M43" s="1387"/>
      <c r="N43" s="428"/>
      <c r="O43" s="1394"/>
      <c r="P43" s="1395"/>
      <c r="Q43" s="1395"/>
      <c r="R43" s="1396"/>
      <c r="S43" s="1422"/>
    </row>
    <row r="44" spans="1:19" ht="18" hidden="1" customHeight="1">
      <c r="A44" s="1260" t="s">
        <v>20</v>
      </c>
      <c r="B44" s="84" t="s">
        <v>205</v>
      </c>
      <c r="C44" s="1382"/>
      <c r="D44" s="1383"/>
      <c r="E44" s="1384"/>
      <c r="F44" s="380"/>
      <c r="G44" s="245"/>
      <c r="H44" s="85"/>
      <c r="I44" s="85"/>
      <c r="J44" s="656"/>
      <c r="K44" s="393"/>
      <c r="L44" s="251"/>
      <c r="M44" s="1385"/>
      <c r="N44" s="428"/>
      <c r="O44" s="1388"/>
      <c r="P44" s="1389"/>
      <c r="Q44" s="1389"/>
      <c r="R44" s="1390"/>
      <c r="S44" s="1423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6"/>
      <c r="N45" s="654"/>
      <c r="O45" s="1391"/>
      <c r="P45" s="1392"/>
      <c r="Q45" s="1392"/>
      <c r="R45" s="1393"/>
      <c r="S45" s="1424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7"/>
      <c r="N46" s="654"/>
      <c r="O46" s="1394"/>
      <c r="P46" s="1395"/>
      <c r="Q46" s="1395"/>
      <c r="R46" s="1396"/>
      <c r="S46" s="1425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5"/>
      <c r="N47" s="654"/>
      <c r="O47" s="1388"/>
      <c r="P47" s="1389"/>
      <c r="Q47" s="1389"/>
      <c r="R47" s="1390"/>
      <c r="S47" s="1420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6"/>
      <c r="N48" s="654"/>
      <c r="O48" s="1391"/>
      <c r="P48" s="1392"/>
      <c r="Q48" s="1392"/>
      <c r="R48" s="1393"/>
      <c r="S48" s="1421"/>
    </row>
    <row r="49" spans="1:24" ht="15.75" hidden="1" customHeight="1">
      <c r="A49" s="1260"/>
      <c r="B49" s="381" t="s">
        <v>207</v>
      </c>
      <c r="C49" s="1417"/>
      <c r="D49" s="1418"/>
      <c r="E49" s="1419"/>
      <c r="F49" s="657"/>
      <c r="G49" s="243"/>
      <c r="H49" s="114"/>
      <c r="I49" s="114"/>
      <c r="J49" s="655"/>
      <c r="K49" s="391"/>
      <c r="L49" s="240"/>
      <c r="M49" s="1387"/>
      <c r="N49" s="428"/>
      <c r="O49" s="1394"/>
      <c r="P49" s="1395"/>
      <c r="Q49" s="1395"/>
      <c r="R49" s="1396"/>
      <c r="S49" s="1422"/>
    </row>
    <row r="50" spans="1:24" ht="17.25" customHeight="1">
      <c r="A50" s="1126" t="s">
        <v>21</v>
      </c>
      <c r="B50" s="84" t="s">
        <v>0</v>
      </c>
      <c r="C50" s="1427" t="e">
        <f>#REF!</f>
        <v>#REF!</v>
      </c>
      <c r="D50" s="1427"/>
      <c r="E50" s="1427"/>
      <c r="F50" s="827" t="s">
        <v>899</v>
      </c>
      <c r="G50" s="828" t="e">
        <f>#REF!</f>
        <v>#REF!</v>
      </c>
      <c r="H50" s="815"/>
      <c r="I50" s="827">
        <v>3</v>
      </c>
      <c r="J50" s="828" t="e">
        <f>#REF!</f>
        <v>#REF!</v>
      </c>
      <c r="K50" s="828" t="e">
        <f>#REF!</f>
        <v>#REF!</v>
      </c>
      <c r="L50" s="828" t="e">
        <f>#REF!</f>
        <v>#REF!</v>
      </c>
      <c r="M50" s="661" t="e">
        <f>#REF!</f>
        <v>#REF!</v>
      </c>
      <c r="N50" s="662" t="e">
        <f>#REF!</f>
        <v>#REF!</v>
      </c>
      <c r="O50" s="1361" t="e">
        <f>#REF!</f>
        <v>#REF!</v>
      </c>
      <c r="P50" s="1361"/>
      <c r="Q50" s="1361"/>
      <c r="R50" s="1361"/>
      <c r="S50" s="822" t="e">
        <f>#REF!</f>
        <v>#REF!</v>
      </c>
      <c r="V50" s="1382" t="s">
        <v>633</v>
      </c>
      <c r="W50" s="1383"/>
      <c r="X50" s="1384"/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899</v>
      </c>
      <c r="G51" s="660" t="e">
        <f>#REF!</f>
        <v>#REF!</v>
      </c>
      <c r="H51" s="880"/>
      <c r="I51" s="418">
        <v>3</v>
      </c>
      <c r="J51" s="660" t="e">
        <f>#REF!</f>
        <v>#REF!</v>
      </c>
      <c r="K51" s="660" t="e">
        <f>#REF!</f>
        <v>#REF!</v>
      </c>
      <c r="L51" s="660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17.25" customHeight="1">
      <c r="A52" s="1126" t="s">
        <v>22</v>
      </c>
      <c r="B52" s="84" t="s">
        <v>0</v>
      </c>
      <c r="C52" s="1427" t="s">
        <v>633</v>
      </c>
      <c r="D52" s="1427"/>
      <c r="E52" s="1427"/>
      <c r="F52" s="827"/>
      <c r="G52" s="852"/>
      <c r="H52" s="815"/>
      <c r="I52" s="827"/>
      <c r="J52" s="852"/>
      <c r="K52" s="885"/>
      <c r="L52" s="885"/>
      <c r="M52" s="863"/>
      <c r="N52" s="415"/>
      <c r="O52" s="1364"/>
      <c r="P52" s="1365"/>
      <c r="Q52" s="1365"/>
      <c r="R52" s="1366"/>
      <c r="S52" s="821"/>
    </row>
    <row r="53" spans="1:24" ht="17.25" customHeight="1">
      <c r="A53" s="1127"/>
      <c r="B53" s="881" t="s">
        <v>43</v>
      </c>
      <c r="C53" s="1360" t="s">
        <v>633</v>
      </c>
      <c r="D53" s="1360"/>
      <c r="E53" s="1360"/>
      <c r="F53" s="418"/>
      <c r="G53" s="840"/>
      <c r="H53" s="880"/>
      <c r="I53" s="418"/>
      <c r="J53" s="840"/>
      <c r="K53" s="890"/>
      <c r="L53" s="890"/>
      <c r="M53" s="863"/>
      <c r="N53" s="415"/>
      <c r="O53" s="1364"/>
      <c r="P53" s="1365"/>
      <c r="Q53" s="1365"/>
      <c r="R53" s="1366"/>
      <c r="S53" s="821"/>
    </row>
    <row r="54" spans="1:24" ht="17.25" customHeight="1">
      <c r="A54" s="1428" t="s">
        <v>23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865"/>
      <c r="N54" s="662"/>
      <c r="O54" s="1364"/>
      <c r="P54" s="1365"/>
      <c r="Q54" s="1365"/>
      <c r="R54" s="1366"/>
      <c r="S54" s="822"/>
    </row>
    <row r="55" spans="1:24" ht="17.25" customHeight="1">
      <c r="A55" s="1563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865"/>
      <c r="N55" s="662"/>
      <c r="O55" s="1364"/>
      <c r="P55" s="1365"/>
      <c r="Q55" s="1365"/>
      <c r="R55" s="1366"/>
      <c r="S55" s="822"/>
    </row>
    <row r="56" spans="1:24" ht="17.25" customHeight="1">
      <c r="A56" s="1126" t="s">
        <v>24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661"/>
      <c r="N56" s="662"/>
      <c r="O56" s="1361"/>
      <c r="P56" s="1361"/>
      <c r="Q56" s="1361"/>
      <c r="R56" s="1361"/>
      <c r="S56" s="877"/>
    </row>
    <row r="57" spans="1:24" ht="17.25" customHeight="1">
      <c r="A57" s="1127"/>
      <c r="B57" s="381" t="s">
        <v>43</v>
      </c>
      <c r="C57" s="1360" t="s">
        <v>633</v>
      </c>
      <c r="D57" s="1360"/>
      <c r="E57" s="1360"/>
      <c r="F57" s="418"/>
      <c r="G57" s="660"/>
      <c r="H57" s="880"/>
      <c r="I57" s="418"/>
      <c r="J57" s="660"/>
      <c r="K57" s="660"/>
      <c r="L57" s="660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126" t="s">
        <v>634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7"/>
      <c r="O58" s="1430"/>
      <c r="P58" s="1431"/>
      <c r="Q58" s="1431"/>
      <c r="R58" s="1432"/>
      <c r="S58" s="822"/>
    </row>
    <row r="59" spans="1:24" ht="17.25" customHeight="1">
      <c r="A59" s="1127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7"/>
      <c r="O59" s="1430"/>
      <c r="P59" s="1431"/>
      <c r="Q59" s="1431"/>
      <c r="R59" s="1432"/>
      <c r="S59" s="822"/>
    </row>
    <row r="60" spans="1:24" ht="17.25" customHeight="1">
      <c r="A60" s="1126" t="s">
        <v>416</v>
      </c>
      <c r="B60" s="84" t="s">
        <v>0</v>
      </c>
      <c r="C60" s="1427" t="e">
        <f>#REF!</f>
        <v>#REF!</v>
      </c>
      <c r="D60" s="1427"/>
      <c r="E60" s="1427"/>
      <c r="F60" s="827" t="s">
        <v>776</v>
      </c>
      <c r="G60" s="828" t="e">
        <f>#REF!</f>
        <v>#REF!</v>
      </c>
      <c r="H60" s="815"/>
      <c r="I60" s="827">
        <v>3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8" t="e">
        <f>#REF!</f>
        <v>#REF!</v>
      </c>
      <c r="O60" s="1333" t="e">
        <f>#REF!</f>
        <v>#REF!</v>
      </c>
      <c r="P60" s="1334"/>
      <c r="Q60" s="1334"/>
      <c r="R60" s="1335"/>
      <c r="S60" s="895" t="e">
        <f>#REF!</f>
        <v>#REF!</v>
      </c>
    </row>
    <row r="61" spans="1:24" ht="17.25" customHeight="1">
      <c r="A61" s="1189"/>
      <c r="B61" s="381" t="s">
        <v>43</v>
      </c>
      <c r="C61" s="1360" t="e">
        <f>#REF!</f>
        <v>#REF!</v>
      </c>
      <c r="D61" s="1360"/>
      <c r="E61" s="1360"/>
      <c r="F61" s="418" t="s">
        <v>776</v>
      </c>
      <c r="G61" s="660" t="e">
        <f>#REF!</f>
        <v>#REF!</v>
      </c>
      <c r="H61" s="880"/>
      <c r="I61" s="418">
        <v>3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8" t="e">
        <f>#REF!</f>
        <v>#REF!</v>
      </c>
      <c r="O61" s="1333" t="e">
        <f>#REF!</f>
        <v>#REF!</v>
      </c>
      <c r="P61" s="1334"/>
      <c r="Q61" s="1334"/>
      <c r="R61" s="1335"/>
      <c r="S61" s="855" t="e">
        <f>#REF!</f>
        <v>#REF!</v>
      </c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6" t="s">
        <v>636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21"/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 t="e">
        <f>SUM(K50:K65)</f>
        <v>#REF!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17.25" customHeight="1">
      <c r="A67" s="1568" t="s">
        <v>25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437"/>
      <c r="P67" s="1438"/>
      <c r="Q67" s="1438"/>
      <c r="R67" s="1439"/>
      <c r="S67" s="876"/>
    </row>
    <row r="68" spans="1:79" ht="17.25" customHeight="1">
      <c r="A68" s="157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76"/>
    </row>
    <row r="69" spans="1:79" ht="17.25" customHeight="1">
      <c r="A69" s="1126" t="s">
        <v>62</v>
      </c>
      <c r="B69" s="84" t="s">
        <v>0</v>
      </c>
      <c r="C69" s="1427" t="e">
        <f>#REF!</f>
        <v>#REF!</v>
      </c>
      <c r="D69" s="1427"/>
      <c r="E69" s="1427"/>
      <c r="F69" s="827" t="s">
        <v>731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415" t="e">
        <f>#REF!</f>
        <v>#REF!</v>
      </c>
      <c r="O69" s="1549" t="e">
        <f>#REF!</f>
        <v>#REF!</v>
      </c>
      <c r="P69" s="1550"/>
      <c r="Q69" s="1550"/>
      <c r="R69" s="1551"/>
      <c r="S69" s="893" t="e">
        <f>#REF!</f>
        <v>#REF!</v>
      </c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189"/>
      <c r="B70" s="381" t="s">
        <v>43</v>
      </c>
      <c r="C70" s="1360" t="e">
        <f>#REF!</f>
        <v>#REF!</v>
      </c>
      <c r="D70" s="1360"/>
      <c r="E70" s="1360"/>
      <c r="F70" s="418" t="s">
        <v>731</v>
      </c>
      <c r="G70" s="660" t="e">
        <f>#REF!</f>
        <v>#REF!</v>
      </c>
      <c r="H70" s="880"/>
      <c r="I70" s="418">
        <v>3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893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35.25" customHeight="1">
      <c r="A71" s="1126" t="s">
        <v>640</v>
      </c>
      <c r="B71" s="84" t="s">
        <v>0</v>
      </c>
      <c r="C71" s="1427" t="e">
        <f>#REF!</f>
        <v>#REF!</v>
      </c>
      <c r="D71" s="1427"/>
      <c r="E71" s="1427"/>
      <c r="F71" s="827" t="s">
        <v>1153</v>
      </c>
      <c r="G71" s="828" t="e">
        <f>#REF!</f>
        <v>#REF!</v>
      </c>
      <c r="H71" s="815"/>
      <c r="I71" s="827">
        <v>4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17.25" customHeight="1">
      <c r="A72" s="1189"/>
      <c r="B72" s="881" t="s">
        <v>43</v>
      </c>
      <c r="C72" s="1360" t="e">
        <f>#REF!</f>
        <v>#REF!</v>
      </c>
      <c r="D72" s="1360"/>
      <c r="E72" s="1360"/>
      <c r="F72" s="418" t="s">
        <v>1154</v>
      </c>
      <c r="G72" s="660" t="e">
        <f>#REF!</f>
        <v>#REF!</v>
      </c>
      <c r="H72" s="880"/>
      <c r="I72" s="418">
        <v>4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17.25" customHeight="1">
      <c r="A73" s="1440" t="s">
        <v>26</v>
      </c>
      <c r="B73" s="84" t="s">
        <v>0</v>
      </c>
      <c r="C73" s="1427" t="e">
        <f>#REF!</f>
        <v>#REF!</v>
      </c>
      <c r="D73" s="1427"/>
      <c r="E73" s="1427"/>
      <c r="F73" s="827" t="s">
        <v>1153</v>
      </c>
      <c r="G73" s="828" t="e">
        <f>#REF!</f>
        <v>#REF!</v>
      </c>
      <c r="H73" s="815"/>
      <c r="I73" s="827">
        <v>5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1"/>
      <c r="B74" s="881" t="s">
        <v>43</v>
      </c>
      <c r="C74" s="1360" t="e">
        <f>#REF!</f>
        <v>#REF!</v>
      </c>
      <c r="D74" s="1360"/>
      <c r="E74" s="1360"/>
      <c r="F74" s="418" t="s">
        <v>1153</v>
      </c>
      <c r="G74" s="660" t="e">
        <f>#REF!</f>
        <v>#REF!</v>
      </c>
      <c r="H74" s="880"/>
      <c r="I74" s="418">
        <v>5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642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7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816"/>
      <c r="N80" s="415"/>
      <c r="O80" s="1437"/>
      <c r="P80" s="1438"/>
      <c r="Q80" s="1438"/>
      <c r="R80" s="1439"/>
      <c r="S80" s="82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643</v>
      </c>
      <c r="B81" s="84" t="s">
        <v>0</v>
      </c>
      <c r="C81" s="1427" t="e">
        <f>#REF!</f>
        <v>#REF!</v>
      </c>
      <c r="D81" s="1427"/>
      <c r="E81" s="1427"/>
      <c r="F81" s="827" t="s">
        <v>735</v>
      </c>
      <c r="G81" s="828" t="e">
        <f>#REF!</f>
        <v>#REF!</v>
      </c>
      <c r="H81" s="815"/>
      <c r="I81" s="827">
        <v>9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659" t="e">
        <f>#REF!</f>
        <v>#REF!</v>
      </c>
      <c r="N81" s="415" t="e">
        <f>#REF!</f>
        <v>#REF!</v>
      </c>
      <c r="O81" s="1554"/>
      <c r="P81" s="1555"/>
      <c r="Q81" s="1555"/>
      <c r="R81" s="1556"/>
      <c r="S81" s="877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89"/>
      <c r="B82" s="881" t="s">
        <v>43</v>
      </c>
      <c r="C82" s="1360" t="e">
        <f>#REF!</f>
        <v>#REF!</v>
      </c>
      <c r="D82" s="1360"/>
      <c r="E82" s="1360"/>
      <c r="F82" s="418" t="s">
        <v>735</v>
      </c>
      <c r="G82" s="660" t="e">
        <f>#REF!</f>
        <v>#REF!</v>
      </c>
      <c r="H82" s="880"/>
      <c r="I82" s="418">
        <v>4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659" t="e">
        <f>#REF!</f>
        <v>#REF!</v>
      </c>
      <c r="N82" s="415" t="e">
        <f>#REF!</f>
        <v>#REF!</v>
      </c>
      <c r="O82" s="1554" t="e">
        <f>#REF!</f>
        <v>#REF!</v>
      </c>
      <c r="P82" s="1555"/>
      <c r="Q82" s="1555"/>
      <c r="R82" s="1556"/>
      <c r="S82" s="1517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89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4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596" t="e">
        <f>#REF!</f>
        <v>#REF!</v>
      </c>
      <c r="P83" s="1597"/>
      <c r="Q83" s="1597"/>
      <c r="R83" s="1598"/>
      <c r="S83" s="1518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6" t="s">
        <v>651</v>
      </c>
      <c r="B84" s="84" t="s">
        <v>0</v>
      </c>
      <c r="C84" s="1427" t="e">
        <f>#REF!</f>
        <v>#REF!</v>
      </c>
      <c r="D84" s="1427"/>
      <c r="E84" s="1427"/>
      <c r="F84" s="827" t="s">
        <v>828</v>
      </c>
      <c r="G84" s="828" t="e">
        <f>#REF!</f>
        <v>#REF!</v>
      </c>
      <c r="H84" s="815"/>
      <c r="I84" s="827">
        <v>5</v>
      </c>
      <c r="J84" s="828" t="e">
        <f>#REF!</f>
        <v>#REF!</v>
      </c>
      <c r="K84" s="828" t="e">
        <f>#REF!</f>
        <v>#REF!</v>
      </c>
      <c r="L84" s="828" t="e">
        <f>#REF!</f>
        <v>#REF!</v>
      </c>
      <c r="M84" s="659" t="e">
        <f>#REF!</f>
        <v>#REF!</v>
      </c>
      <c r="N84" s="415" t="e">
        <f>#REF!</f>
        <v>#REF!</v>
      </c>
      <c r="O84" s="1554" t="e">
        <f>#REF!</f>
        <v>#REF!</v>
      </c>
      <c r="P84" s="1555"/>
      <c r="Q84" s="1555"/>
      <c r="R84" s="1556"/>
      <c r="S84" s="1552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89"/>
      <c r="B85" s="84" t="s">
        <v>0</v>
      </c>
      <c r="C85" s="1427" t="e">
        <f>#REF!</f>
        <v>#REF!</v>
      </c>
      <c r="D85" s="1427"/>
      <c r="E85" s="1427"/>
      <c r="F85" s="827" t="s">
        <v>828</v>
      </c>
      <c r="G85" s="828" t="e">
        <f>#REF!</f>
        <v>#REF!</v>
      </c>
      <c r="H85" s="815"/>
      <c r="I85" s="827">
        <v>5</v>
      </c>
      <c r="J85" s="828" t="e">
        <f>#REF!</f>
        <v>#REF!</v>
      </c>
      <c r="K85" s="828" t="e">
        <f>#REF!</f>
        <v>#REF!</v>
      </c>
      <c r="L85" s="828" t="e">
        <f>#REF!</f>
        <v>#REF!</v>
      </c>
      <c r="M85" s="659" t="e">
        <f>#REF!</f>
        <v>#REF!</v>
      </c>
      <c r="N85" s="415" t="e">
        <f>#REF!</f>
        <v>#REF!</v>
      </c>
      <c r="O85" s="1549" t="e">
        <f>#REF!</f>
        <v>#REF!</v>
      </c>
      <c r="P85" s="1550"/>
      <c r="Q85" s="1550"/>
      <c r="R85" s="1551"/>
      <c r="S85" s="155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1127"/>
      <c r="B86" s="881" t="s">
        <v>43</v>
      </c>
      <c r="C86" s="1360" t="e">
        <f>#REF!</f>
        <v>#REF!</v>
      </c>
      <c r="D86" s="1360"/>
      <c r="E86" s="1360"/>
      <c r="F86" s="418" t="s">
        <v>828</v>
      </c>
      <c r="G86" s="660" t="e">
        <f>#REF!</f>
        <v>#REF!</v>
      </c>
      <c r="H86" s="880"/>
      <c r="I86" s="418">
        <v>12</v>
      </c>
      <c r="J86" s="660" t="e">
        <f>#REF!</f>
        <v>#REF!</v>
      </c>
      <c r="K86" s="660" t="e">
        <f>#REF!</f>
        <v>#REF!</v>
      </c>
      <c r="L86" s="660" t="e">
        <f>#REF!</f>
        <v>#REF!</v>
      </c>
      <c r="M86" s="659" t="e">
        <f>#REF!</f>
        <v>#REF!</v>
      </c>
      <c r="N86" s="415" t="e">
        <f>#REF!</f>
        <v>#REF!</v>
      </c>
      <c r="O86" s="1437" t="e">
        <f>#REF!</f>
        <v>#REF!</v>
      </c>
      <c r="P86" s="1438"/>
      <c r="Q86" s="1438"/>
      <c r="R86" s="1439"/>
      <c r="S86" s="823" t="e">
        <f>#REF!</f>
        <v>#REF!</v>
      </c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ht="17.25" customHeight="1">
      <c r="A87" s="837"/>
      <c r="B87" s="841"/>
      <c r="C87" s="882"/>
      <c r="D87" s="883"/>
      <c r="E87" s="883"/>
      <c r="F87" s="845"/>
      <c r="G87" s="846"/>
      <c r="H87" s="815"/>
      <c r="I87" s="827"/>
      <c r="J87" s="834" t="s">
        <v>666</v>
      </c>
      <c r="K87" s="847" t="e">
        <f>SUM(K67:K86)</f>
        <v>#REF!</v>
      </c>
      <c r="L87" s="829"/>
      <c r="M87" s="659"/>
      <c r="N87" s="415"/>
      <c r="O87" s="1437"/>
      <c r="P87" s="1438"/>
      <c r="Q87" s="1438"/>
      <c r="R87" s="1439"/>
      <c r="S87" s="862"/>
      <c r="T87" s="793"/>
      <c r="U87" s="793"/>
      <c r="V87" s="793"/>
      <c r="W87" s="793"/>
      <c r="X87" s="793"/>
      <c r="Y87" s="793"/>
      <c r="Z87" s="793"/>
      <c r="AA87" s="793"/>
      <c r="AB87" s="793"/>
      <c r="AC87" s="793"/>
      <c r="AD87" s="793"/>
      <c r="AE87" s="793"/>
      <c r="AF87" s="793"/>
      <c r="AG87" s="793"/>
      <c r="AH87" s="793"/>
      <c r="AI87" s="793"/>
      <c r="AJ87" s="793"/>
      <c r="AK87" s="793"/>
      <c r="AL87" s="793"/>
      <c r="AM87" s="793"/>
      <c r="AN87" s="793"/>
      <c r="AO87" s="793"/>
      <c r="AP87" s="793"/>
      <c r="AQ87" s="793"/>
      <c r="AR87" s="793"/>
      <c r="AS87" s="793"/>
      <c r="AT87" s="793"/>
      <c r="AU87" s="793"/>
      <c r="AV87" s="793"/>
      <c r="AW87" s="793"/>
      <c r="AX87" s="793"/>
      <c r="AY87" s="793"/>
      <c r="AZ87" s="793"/>
      <c r="BA87" s="793"/>
      <c r="BB87" s="793"/>
      <c r="BC87" s="793"/>
      <c r="BD87" s="793"/>
      <c r="BE87" s="793"/>
      <c r="BF87" s="793"/>
      <c r="BG87" s="793"/>
      <c r="BH87" s="793"/>
      <c r="BI87" s="793"/>
      <c r="BJ87" s="793"/>
      <c r="BK87" s="793"/>
      <c r="BL87" s="793"/>
      <c r="BM87" s="793"/>
      <c r="BN87" s="793"/>
      <c r="BO87" s="793"/>
      <c r="BP87" s="793"/>
      <c r="BQ87" s="793"/>
      <c r="BR87" s="793"/>
      <c r="BS87" s="793"/>
      <c r="BT87" s="793"/>
      <c r="BU87" s="793"/>
      <c r="BV87" s="793"/>
      <c r="BW87" s="793"/>
      <c r="BX87" s="793"/>
      <c r="BY87" s="793"/>
      <c r="BZ87" s="793"/>
      <c r="CA87" s="793"/>
    </row>
    <row r="88" spans="1:79" s="76" customFormat="1" ht="39" customHeight="1">
      <c r="A88" s="400" t="s">
        <v>63</v>
      </c>
      <c r="B88" s="400" t="s">
        <v>193</v>
      </c>
      <c r="C88" s="1445" t="s">
        <v>11</v>
      </c>
      <c r="D88" s="1446"/>
      <c r="E88" s="1446"/>
      <c r="F88" s="1446"/>
      <c r="G88" s="1447"/>
      <c r="H88" s="242" t="s">
        <v>216</v>
      </c>
      <c r="I88" s="242" t="s">
        <v>12</v>
      </c>
      <c r="J88" s="242" t="s">
        <v>13</v>
      </c>
      <c r="K88" s="405" t="s">
        <v>218</v>
      </c>
      <c r="L88" s="416" t="s">
        <v>60</v>
      </c>
      <c r="M88" s="257" t="s">
        <v>28</v>
      </c>
      <c r="N88" s="257" t="s">
        <v>45</v>
      </c>
      <c r="O88" s="1448" t="s">
        <v>29</v>
      </c>
      <c r="P88" s="1449"/>
      <c r="Q88" s="1449"/>
      <c r="R88" s="1450"/>
      <c r="S88" s="417" t="s">
        <v>57</v>
      </c>
    </row>
    <row r="89" spans="1:79" ht="18" customHeight="1">
      <c r="A89" s="1199">
        <v>401</v>
      </c>
      <c r="B89" s="84" t="s">
        <v>0</v>
      </c>
      <c r="C89" s="1290">
        <f>印401!I45</f>
        <v>0</v>
      </c>
      <c r="D89" s="1290"/>
      <c r="E89" s="1290"/>
      <c r="F89" s="1290"/>
      <c r="G89" s="1290"/>
      <c r="H89" s="849"/>
      <c r="I89" s="849">
        <f>印401!R45</f>
        <v>0</v>
      </c>
      <c r="J89" s="852">
        <f>印401!S45</f>
        <v>0</v>
      </c>
      <c r="K89" s="872">
        <f>印401!L45</f>
        <v>0</v>
      </c>
      <c r="L89" s="873">
        <f>印401!N45</f>
        <v>0</v>
      </c>
      <c r="M89" s="852">
        <f>印401!P45</f>
        <v>0</v>
      </c>
      <c r="N89" s="853">
        <f>印401!Q45</f>
        <v>0</v>
      </c>
      <c r="O89" s="1451"/>
      <c r="P89" s="1452"/>
      <c r="Q89" s="1452"/>
      <c r="R89" s="1453"/>
      <c r="S89" s="874">
        <f>印401!AB45</f>
        <v>0</v>
      </c>
    </row>
    <row r="90" spans="1:79" ht="18" customHeight="1">
      <c r="A90" s="1216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461">
        <v>402</v>
      </c>
      <c r="B91" s="84" t="s">
        <v>205</v>
      </c>
      <c r="C91" s="1290" t="s">
        <v>633</v>
      </c>
      <c r="D91" s="1290"/>
      <c r="E91" s="1290"/>
      <c r="F91" s="1290"/>
      <c r="G91" s="1290"/>
      <c r="H91" s="849"/>
      <c r="I91" s="849"/>
      <c r="J91" s="852"/>
      <c r="K91" s="872"/>
      <c r="L91" s="873"/>
      <c r="M91" s="852"/>
      <c r="N91" s="853"/>
      <c r="O91" s="1451"/>
      <c r="P91" s="1452"/>
      <c r="Q91" s="1452"/>
      <c r="R91" s="1453"/>
      <c r="S91" s="874"/>
    </row>
    <row r="92" spans="1:79" ht="18" customHeight="1">
      <c r="A92" s="1462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30"/>
      <c r="M92" s="840"/>
      <c r="N92" s="672"/>
      <c r="O92" s="1455"/>
      <c r="P92" s="1456"/>
      <c r="Q92" s="1456"/>
      <c r="R92" s="1457"/>
      <c r="S92" s="810"/>
    </row>
    <row r="93" spans="1:79" ht="17.25" customHeight="1">
      <c r="A93" s="1466">
        <v>403</v>
      </c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533"/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533"/>
      <c r="B96" s="881" t="s">
        <v>43</v>
      </c>
      <c r="C96" s="1454" t="s">
        <v>633</v>
      </c>
      <c r="D96" s="1454"/>
      <c r="E96" s="1454"/>
      <c r="F96" s="1454"/>
      <c r="G96" s="1454"/>
      <c r="H96" s="664"/>
      <c r="I96" s="664"/>
      <c r="J96" s="840"/>
      <c r="K96" s="424"/>
      <c r="L96" s="840"/>
      <c r="M96" s="840"/>
      <c r="N96" s="672"/>
      <c r="O96" s="1455"/>
      <c r="P96" s="1456"/>
      <c r="Q96" s="1456"/>
      <c r="R96" s="1457"/>
      <c r="S96" s="810"/>
    </row>
    <row r="97" spans="1:19" ht="18" customHeight="1">
      <c r="A97" s="1199">
        <v>405</v>
      </c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216"/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165"/>
      <c r="B99" s="881" t="s">
        <v>43</v>
      </c>
      <c r="C99" s="1454" t="s">
        <v>633</v>
      </c>
      <c r="D99" s="1454"/>
      <c r="E99" s="1454"/>
      <c r="F99" s="1454"/>
      <c r="G99" s="1454"/>
      <c r="H99" s="664"/>
      <c r="I99" s="664"/>
      <c r="J99" s="840"/>
      <c r="K99" s="424"/>
      <c r="L99" s="840"/>
      <c r="M99" s="840"/>
      <c r="N99" s="672"/>
      <c r="O99" s="1455"/>
      <c r="P99" s="1456"/>
      <c r="Q99" s="1456"/>
      <c r="R99" s="1457"/>
      <c r="S99" s="810"/>
    </row>
    <row r="100" spans="1:19" ht="18" customHeight="1">
      <c r="A100" s="314"/>
      <c r="B100" s="841"/>
      <c r="C100" s="1458"/>
      <c r="D100" s="1459"/>
      <c r="E100" s="1459"/>
      <c r="F100" s="1459"/>
      <c r="G100" s="1460"/>
      <c r="H100" s="849"/>
      <c r="I100" s="849"/>
      <c r="J100" s="834" t="s">
        <v>666</v>
      </c>
      <c r="K100" s="835" t="e">
        <f>SUM(K89:K99)</f>
        <v>#REF!</v>
      </c>
      <c r="L100" s="852"/>
      <c r="M100" s="852"/>
      <c r="N100" s="853"/>
      <c r="O100" s="886"/>
      <c r="P100" s="887"/>
      <c r="Q100" s="887"/>
      <c r="R100" s="888"/>
      <c r="S100" s="854"/>
    </row>
    <row r="101" spans="1:19" s="76" customFormat="1" ht="31.7" hidden="1" customHeight="1">
      <c r="A101" s="400" t="s">
        <v>425</v>
      </c>
      <c r="B101" s="400" t="s">
        <v>193</v>
      </c>
      <c r="C101" s="1282" t="e">
        <f>[1]印403!J91</f>
        <v>#REF!</v>
      </c>
      <c r="D101" s="1283"/>
      <c r="E101" s="1283"/>
      <c r="F101" s="1283"/>
      <c r="G101" s="1468"/>
      <c r="H101" s="242" t="s">
        <v>216</v>
      </c>
      <c r="I101" s="242" t="s">
        <v>12</v>
      </c>
      <c r="J101" s="242" t="s">
        <v>13</v>
      </c>
      <c r="K101" s="405" t="s">
        <v>218</v>
      </c>
      <c r="L101" s="427" t="s">
        <v>60</v>
      </c>
      <c r="M101" s="399" t="e">
        <f>[1]印403!O90</f>
        <v>#REF!</v>
      </c>
      <c r="N101" s="257" t="s">
        <v>45</v>
      </c>
      <c r="O101" s="1448" t="s">
        <v>29</v>
      </c>
      <c r="P101" s="1449"/>
      <c r="Q101" s="1449"/>
      <c r="R101" s="1450"/>
      <c r="S101" s="417" t="s">
        <v>57</v>
      </c>
    </row>
    <row r="102" spans="1:19" ht="15" hidden="1" customHeight="1">
      <c r="A102" s="1199" t="s">
        <v>426</v>
      </c>
      <c r="B102" s="84" t="s">
        <v>205</v>
      </c>
      <c r="C102" s="1282" t="e">
        <f>[1]印403!J92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[1]印403!O91</f>
        <v>#REF!</v>
      </c>
      <c r="N102" s="399"/>
      <c r="O102" s="1469"/>
      <c r="P102" s="1245"/>
      <c r="Q102" s="1245"/>
      <c r="R102" s="1246"/>
      <c r="S102" s="1470"/>
    </row>
    <row r="103" spans="1:19" ht="13.7" hidden="1" customHeight="1">
      <c r="A103" s="1216"/>
      <c r="B103" s="84" t="s">
        <v>205</v>
      </c>
      <c r="C103" s="1282" t="e">
        <f>[1]印403!J93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[1]印403!O92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[1]印403!J94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[1]印403!O93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[1]印403!J95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[1]印403!O94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[1]印403!J96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[1]印403!O95</f>
        <v>#REF!</v>
      </c>
      <c r="N106" s="425"/>
      <c r="O106" s="669"/>
      <c r="P106" s="670"/>
      <c r="Q106" s="670"/>
      <c r="R106" s="671"/>
      <c r="S106" s="1471"/>
    </row>
    <row r="107" spans="1:19" ht="16.5" hidden="1" customHeight="1">
      <c r="A107" s="1216"/>
      <c r="B107" s="881" t="s">
        <v>43</v>
      </c>
      <c r="C107" s="1282" t="e">
        <f>[1]印403!J97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[1]印403!O96</f>
        <v>#REF!</v>
      </c>
      <c r="N107" s="672"/>
      <c r="O107" s="1476"/>
      <c r="P107" s="1477"/>
      <c r="Q107" s="1477"/>
      <c r="R107" s="1478"/>
      <c r="S107" s="1485"/>
    </row>
    <row r="108" spans="1:19" ht="15" hidden="1" customHeight="1">
      <c r="A108" s="1216"/>
      <c r="B108" s="881" t="s">
        <v>43</v>
      </c>
      <c r="C108" s="1282" t="e">
        <f>[1]印403!J98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[1]印403!O97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216"/>
      <c r="B109" s="881" t="s">
        <v>43</v>
      </c>
      <c r="C109" s="1282" t="e">
        <f>[1]印403!J99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[1]印403!O98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165"/>
      <c r="B110" s="881" t="s">
        <v>43</v>
      </c>
      <c r="C110" s="1282" t="e">
        <f>[1]印403!J100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[1]印403!O99</f>
        <v>#REF!</v>
      </c>
      <c r="N110" s="672"/>
      <c r="O110" s="1482"/>
      <c r="P110" s="1483"/>
      <c r="Q110" s="1483"/>
      <c r="R110" s="1484"/>
      <c r="S110" s="1486"/>
    </row>
    <row r="111" spans="1:19" ht="6" customHeight="1">
      <c r="A111" s="248"/>
      <c r="C111" s="249"/>
    </row>
    <row r="112" spans="1:19" ht="6" customHeight="1" thickBot="1">
      <c r="A112" s="248"/>
      <c r="C112" s="249"/>
    </row>
    <row r="113" spans="1:20" ht="15" customHeight="1" thickTop="1">
      <c r="A113" s="1472" t="s">
        <v>30</v>
      </c>
      <c r="B113" s="1473"/>
      <c r="C113" s="1473"/>
      <c r="D113" s="1473"/>
      <c r="E113" s="376">
        <v>1240400</v>
      </c>
      <c r="F113" s="75" t="s">
        <v>64</v>
      </c>
      <c r="G113" s="1472" t="s">
        <v>31</v>
      </c>
      <c r="H113" s="1473"/>
      <c r="I113" s="1473"/>
      <c r="J113" s="1473"/>
      <c r="K113" s="1473"/>
      <c r="L113" s="377">
        <v>570000</v>
      </c>
      <c r="M113" s="75" t="s">
        <v>64</v>
      </c>
      <c r="N113" s="1472" t="s">
        <v>32</v>
      </c>
      <c r="O113" s="1473"/>
      <c r="P113" s="1473"/>
      <c r="Q113" s="377">
        <v>1862500</v>
      </c>
      <c r="R113" s="75" t="s">
        <v>64</v>
      </c>
      <c r="S113" s="75"/>
    </row>
    <row r="114" spans="1:20" ht="15" customHeight="1" thickBot="1">
      <c r="A114" s="1474" t="s">
        <v>66</v>
      </c>
      <c r="B114" s="1475"/>
      <c r="C114" s="1475"/>
      <c r="D114" s="1475"/>
      <c r="E114" s="674">
        <f>153*1000</f>
        <v>153000</v>
      </c>
      <c r="G114" s="1474" t="s">
        <v>66</v>
      </c>
      <c r="H114" s="1475"/>
      <c r="I114" s="1475"/>
      <c r="J114" s="1475"/>
      <c r="K114" s="1475"/>
      <c r="L114" s="674">
        <v>0</v>
      </c>
      <c r="N114" s="1474" t="s">
        <v>33</v>
      </c>
      <c r="O114" s="1475"/>
      <c r="P114" s="1475"/>
      <c r="Q114" s="674">
        <f>((18+180)*500)+(10*1000)</f>
        <v>109000</v>
      </c>
      <c r="R114" s="75"/>
      <c r="S114" s="75"/>
    </row>
    <row r="115" spans="1:20" ht="15" customHeight="1" thickTop="1" thickBot="1">
      <c r="A115" s="1487" t="s">
        <v>34</v>
      </c>
      <c r="B115" s="1488"/>
      <c r="C115" s="1488"/>
      <c r="D115" s="1488"/>
      <c r="E115" s="378">
        <f>E113+E114</f>
        <v>1393400</v>
      </c>
      <c r="F115" s="75" t="s">
        <v>64</v>
      </c>
      <c r="G115" s="1487" t="s">
        <v>35</v>
      </c>
      <c r="H115" s="1488"/>
      <c r="I115" s="1488"/>
      <c r="J115" s="1488"/>
      <c r="K115" s="1488"/>
      <c r="L115" s="379">
        <f>L113+L114</f>
        <v>570000</v>
      </c>
      <c r="M115" s="75" t="s">
        <v>64</v>
      </c>
      <c r="N115" s="1487" t="s">
        <v>36</v>
      </c>
      <c r="O115" s="1488"/>
      <c r="P115" s="1488"/>
      <c r="Q115" s="379">
        <f>Q113+Q114</f>
        <v>1971500</v>
      </c>
      <c r="R115" s="75" t="s">
        <v>64</v>
      </c>
      <c r="S115" s="75"/>
    </row>
    <row r="116" spans="1:20" ht="15" customHeight="1" thickTop="1" thickBot="1">
      <c r="E116" s="252">
        <f>印401!M64</f>
        <v>0</v>
      </c>
      <c r="L116" s="675" t="e">
        <f>#REF!</f>
        <v>#REF!</v>
      </c>
      <c r="O116" s="75"/>
      <c r="P116" s="75"/>
      <c r="Q116" s="675" t="e">
        <f>#REF!</f>
        <v>#REF!</v>
      </c>
      <c r="R116" s="75"/>
      <c r="S116" s="75"/>
    </row>
    <row r="117" spans="1:20" ht="15" customHeight="1" thickBot="1">
      <c r="A117" s="676" t="s">
        <v>37</v>
      </c>
      <c r="B117" s="677"/>
      <c r="C117" s="677"/>
      <c r="D117" s="678"/>
      <c r="E117" s="253">
        <f>印401!P64</f>
        <v>0</v>
      </c>
      <c r="F117" s="75" t="s">
        <v>64</v>
      </c>
      <c r="G117" s="676" t="s">
        <v>38</v>
      </c>
      <c r="H117" s="677"/>
      <c r="I117" s="677"/>
      <c r="J117" s="677"/>
      <c r="K117" s="677"/>
      <c r="L117" s="384" t="e">
        <f>#REF!</f>
        <v>#REF!</v>
      </c>
      <c r="M117" s="75" t="s">
        <v>64</v>
      </c>
      <c r="N117" s="676" t="s">
        <v>39</v>
      </c>
      <c r="O117" s="677"/>
      <c r="P117" s="677"/>
      <c r="Q117" s="384" t="e">
        <f>#REF!</f>
        <v>#REF!</v>
      </c>
      <c r="R117" s="75" t="s">
        <v>64</v>
      </c>
      <c r="S117" s="75"/>
    </row>
    <row r="118" spans="1:20" ht="3" customHeight="1" thickBot="1">
      <c r="J118" s="255"/>
      <c r="K118" s="256"/>
    </row>
    <row r="119" spans="1:20" ht="15" customHeight="1" thickTop="1">
      <c r="B119" s="1509" t="s">
        <v>69</v>
      </c>
      <c r="C119" s="1510"/>
      <c r="D119" s="1511" t="s">
        <v>305</v>
      </c>
      <c r="E119" s="1512"/>
      <c r="F119" s="1489" t="s">
        <v>306</v>
      </c>
      <c r="G119" s="1490"/>
      <c r="H119" s="1491" t="s">
        <v>307</v>
      </c>
      <c r="I119" s="1492"/>
      <c r="J119" s="1492"/>
      <c r="K119" s="1493"/>
      <c r="L119" s="1472" t="s">
        <v>657</v>
      </c>
      <c r="M119" s="1473"/>
      <c r="N119" s="1473"/>
      <c r="O119" s="377">
        <v>3540000</v>
      </c>
      <c r="P119" s="75" t="s">
        <v>64</v>
      </c>
      <c r="Q119" s="1496" t="s">
        <v>65</v>
      </c>
      <c r="R119" s="1497"/>
      <c r="S119" s="385">
        <v>36561871</v>
      </c>
    </row>
    <row r="120" spans="1:20" ht="15" customHeight="1" thickBot="1">
      <c r="B120" s="1498" t="s">
        <v>308</v>
      </c>
      <c r="C120" s="1499"/>
      <c r="D120" s="1500" t="e">
        <f>總表!D20</f>
        <v>#REF!</v>
      </c>
      <c r="E120" s="1501"/>
      <c r="F120" s="1502">
        <f>總表!E20</f>
        <v>1316871</v>
      </c>
      <c r="G120" s="1503"/>
      <c r="H120" s="1504" t="e">
        <f>(D120-F120)/D120</f>
        <v>#REF!</v>
      </c>
      <c r="I120" s="1505"/>
      <c r="J120" s="1505"/>
      <c r="K120" s="1506"/>
      <c r="L120" s="1474" t="s">
        <v>33</v>
      </c>
      <c r="M120" s="1475"/>
      <c r="N120" s="1475"/>
      <c r="O120" s="674">
        <f>(50+209)*1000</f>
        <v>259000</v>
      </c>
      <c r="P120" s="75"/>
      <c r="Q120" s="1507" t="s">
        <v>67</v>
      </c>
      <c r="R120" s="1508"/>
      <c r="S120" s="386" t="e">
        <f>SUM(L50:L86,L89:L99)</f>
        <v>#REF!</v>
      </c>
    </row>
    <row r="121" spans="1:20" ht="15" customHeight="1" thickTop="1" thickBot="1">
      <c r="B121" s="1513" t="s">
        <v>309</v>
      </c>
      <c r="C121" s="1514"/>
      <c r="D121" s="1515" t="e">
        <f>總表!C43</f>
        <v>#REF!</v>
      </c>
      <c r="E121" s="1516"/>
      <c r="F121" s="1502" t="e">
        <f>總表!F43</f>
        <v>#REF!</v>
      </c>
      <c r="G121" s="1503"/>
      <c r="H121" s="1504" t="e">
        <f>(D121-F121)/D121</f>
        <v>#REF!</v>
      </c>
      <c r="I121" s="1505"/>
      <c r="J121" s="1505"/>
      <c r="K121" s="1506"/>
      <c r="L121" s="1487" t="s">
        <v>658</v>
      </c>
      <c r="M121" s="1488"/>
      <c r="N121" s="1488"/>
      <c r="O121" s="379">
        <f>O119+O120</f>
        <v>3799000</v>
      </c>
      <c r="P121" s="75" t="s">
        <v>64</v>
      </c>
      <c r="Q121" s="1494" t="s">
        <v>68</v>
      </c>
      <c r="R121" s="1495"/>
      <c r="S121" s="387" t="e">
        <f>S119+S120</f>
        <v>#REF!</v>
      </c>
    </row>
    <row r="122" spans="1:20" ht="14.1" customHeight="1" thickTop="1" thickBot="1">
      <c r="B122" s="250" t="s">
        <v>310</v>
      </c>
      <c r="C122" s="250"/>
      <c r="D122" s="250"/>
      <c r="E122" s="233"/>
      <c r="O122" s="675" t="e">
        <f>#REF!</f>
        <v>#REF!</v>
      </c>
      <c r="P122" s="75"/>
      <c r="Q122" s="75"/>
      <c r="R122" s="254" t="e">
        <f>總表!E43+總表!E52</f>
        <v>#REF!</v>
      </c>
      <c r="S122" s="254" t="e">
        <f>R122-S121</f>
        <v>#REF!</v>
      </c>
    </row>
    <row r="123" spans="1:20" ht="17.25" customHeight="1" thickBot="1">
      <c r="B123" s="250" t="s">
        <v>40</v>
      </c>
      <c r="C123" s="233"/>
      <c r="D123" s="233"/>
      <c r="E123" s="233"/>
      <c r="F123" s="233"/>
      <c r="L123" s="676" t="s">
        <v>659</v>
      </c>
      <c r="M123" s="677"/>
      <c r="N123" s="677"/>
      <c r="O123" s="384" t="e">
        <f>#REF!</f>
        <v>#REF!</v>
      </c>
      <c r="P123" s="75" t="s">
        <v>64</v>
      </c>
      <c r="T123" s="233"/>
    </row>
    <row r="124" spans="1:20" ht="15.75" customHeight="1">
      <c r="B124" s="75" t="s">
        <v>41</v>
      </c>
      <c r="N124" s="233"/>
      <c r="S124" s="75"/>
    </row>
  </sheetData>
  <mergeCells count="298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O14:R14"/>
    <mergeCell ref="G15:I15"/>
    <mergeCell ref="K15:M15"/>
    <mergeCell ref="O15:R15"/>
    <mergeCell ref="G17:I17"/>
    <mergeCell ref="K17:M17"/>
    <mergeCell ref="O17:R17"/>
    <mergeCell ref="G20:I20"/>
    <mergeCell ref="O20:R20"/>
    <mergeCell ref="G18:I18"/>
    <mergeCell ref="K18:M18"/>
    <mergeCell ref="O18:R18"/>
    <mergeCell ref="G19:I19"/>
    <mergeCell ref="O19:R19"/>
    <mergeCell ref="A18:A20"/>
    <mergeCell ref="K19:M20"/>
    <mergeCell ref="A50:A51"/>
    <mergeCell ref="S82:S83"/>
    <mergeCell ref="C83:E83"/>
    <mergeCell ref="K23:M23"/>
    <mergeCell ref="O23:R23"/>
    <mergeCell ref="A24:A29"/>
    <mergeCell ref="C85:E85"/>
    <mergeCell ref="O85:R85"/>
    <mergeCell ref="S84:S85"/>
    <mergeCell ref="A21:A22"/>
    <mergeCell ref="G21:I21"/>
    <mergeCell ref="K21:M21"/>
    <mergeCell ref="O21:R21"/>
    <mergeCell ref="G22:I22"/>
    <mergeCell ref="K22:M22"/>
    <mergeCell ref="O22:R22"/>
    <mergeCell ref="G24:I24"/>
    <mergeCell ref="K24:M26"/>
    <mergeCell ref="O24:R26"/>
    <mergeCell ref="S24:S26"/>
    <mergeCell ref="G25:I25"/>
    <mergeCell ref="G26:I26"/>
    <mergeCell ref="A31:A37"/>
    <mergeCell ref="C31:E31"/>
    <mergeCell ref="M31:M33"/>
    <mergeCell ref="O31:R33"/>
    <mergeCell ref="S31:S33"/>
    <mergeCell ref="C32:E32"/>
    <mergeCell ref="C33:E33"/>
    <mergeCell ref="C34:E34"/>
    <mergeCell ref="M34:M37"/>
    <mergeCell ref="O34:R37"/>
    <mergeCell ref="S34:S37"/>
    <mergeCell ref="C35:E35"/>
    <mergeCell ref="C36:E36"/>
    <mergeCell ref="C37:E37"/>
    <mergeCell ref="A38:A43"/>
    <mergeCell ref="C38:E38"/>
    <mergeCell ref="M38:M40"/>
    <mergeCell ref="O38:R40"/>
    <mergeCell ref="S38:S40"/>
    <mergeCell ref="C39:E39"/>
    <mergeCell ref="C40:E40"/>
    <mergeCell ref="C41:E41"/>
    <mergeCell ref="M41:M43"/>
    <mergeCell ref="O41:R43"/>
    <mergeCell ref="S41:S43"/>
    <mergeCell ref="C42:E42"/>
    <mergeCell ref="C43:E43"/>
    <mergeCell ref="A44:A49"/>
    <mergeCell ref="C44:E44"/>
    <mergeCell ref="M44:M46"/>
    <mergeCell ref="O44:R46"/>
    <mergeCell ref="S44:S46"/>
    <mergeCell ref="C45:E45"/>
    <mergeCell ref="C46:E46"/>
    <mergeCell ref="S47:S49"/>
    <mergeCell ref="C48:E48"/>
    <mergeCell ref="C49:E49"/>
    <mergeCell ref="A60:A61"/>
    <mergeCell ref="C60:E60"/>
    <mergeCell ref="O60:R60"/>
    <mergeCell ref="C61:E61"/>
    <mergeCell ref="O61:R61"/>
    <mergeCell ref="C55:E55"/>
    <mergeCell ref="O55:R55"/>
    <mergeCell ref="C82:E82"/>
    <mergeCell ref="O82:R82"/>
    <mergeCell ref="A58:A59"/>
    <mergeCell ref="C58:E58"/>
    <mergeCell ref="O58:R58"/>
    <mergeCell ref="C59:E59"/>
    <mergeCell ref="O59:R59"/>
    <mergeCell ref="A62:A63"/>
    <mergeCell ref="C62:E62"/>
    <mergeCell ref="O62:R62"/>
    <mergeCell ref="C63:E63"/>
    <mergeCell ref="O63:R63"/>
    <mergeCell ref="A69:A70"/>
    <mergeCell ref="C69:E69"/>
    <mergeCell ref="O69:R69"/>
    <mergeCell ref="C70:E70"/>
    <mergeCell ref="O70:R70"/>
    <mergeCell ref="A52:A53"/>
    <mergeCell ref="C52:E52"/>
    <mergeCell ref="O52:R52"/>
    <mergeCell ref="C53:E53"/>
    <mergeCell ref="O53:R53"/>
    <mergeCell ref="A54:A55"/>
    <mergeCell ref="C54:E54"/>
    <mergeCell ref="O54:R54"/>
    <mergeCell ref="A56:A57"/>
    <mergeCell ref="C56:E56"/>
    <mergeCell ref="O56:R56"/>
    <mergeCell ref="C57:E57"/>
    <mergeCell ref="O57:R57"/>
    <mergeCell ref="A64:A65"/>
    <mergeCell ref="C64:E64"/>
    <mergeCell ref="O64:R64"/>
    <mergeCell ref="C65:E65"/>
    <mergeCell ref="O65:R65"/>
    <mergeCell ref="O66:R66"/>
    <mergeCell ref="A67:A68"/>
    <mergeCell ref="C67:E67"/>
    <mergeCell ref="O67:R67"/>
    <mergeCell ref="C68:E68"/>
    <mergeCell ref="O68:R68"/>
    <mergeCell ref="A71:A72"/>
    <mergeCell ref="C71:E71"/>
    <mergeCell ref="O71:R71"/>
    <mergeCell ref="C72:E72"/>
    <mergeCell ref="O72:R72"/>
    <mergeCell ref="A73:A74"/>
    <mergeCell ref="C73:E73"/>
    <mergeCell ref="O73:R73"/>
    <mergeCell ref="C74:E74"/>
    <mergeCell ref="O74:R74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9:A80"/>
    <mergeCell ref="C79:E79"/>
    <mergeCell ref="O79:R79"/>
    <mergeCell ref="C80:E80"/>
    <mergeCell ref="O80:R80"/>
    <mergeCell ref="C84:E84"/>
    <mergeCell ref="O84:R84"/>
    <mergeCell ref="A84:A86"/>
    <mergeCell ref="C86:E86"/>
    <mergeCell ref="O86:R86"/>
    <mergeCell ref="O83:R83"/>
    <mergeCell ref="A81:A83"/>
    <mergeCell ref="C81:E81"/>
    <mergeCell ref="O81:R81"/>
    <mergeCell ref="A89:A90"/>
    <mergeCell ref="C89:G89"/>
    <mergeCell ref="O89:R89"/>
    <mergeCell ref="A91:A92"/>
    <mergeCell ref="C91:G91"/>
    <mergeCell ref="O91:R91"/>
    <mergeCell ref="C92:G92"/>
    <mergeCell ref="O92:R92"/>
    <mergeCell ref="O87:R87"/>
    <mergeCell ref="C88:G88"/>
    <mergeCell ref="O88:R88"/>
    <mergeCell ref="C90:G90"/>
    <mergeCell ref="O90:R90"/>
    <mergeCell ref="C100:G100"/>
    <mergeCell ref="C101:G101"/>
    <mergeCell ref="O101:R101"/>
    <mergeCell ref="A102:A110"/>
    <mergeCell ref="C102:G102"/>
    <mergeCell ref="O102:R102"/>
    <mergeCell ref="C110:G110"/>
    <mergeCell ref="S102:S106"/>
    <mergeCell ref="C103:G103"/>
    <mergeCell ref="C104:G104"/>
    <mergeCell ref="C105:G105"/>
    <mergeCell ref="C106:G106"/>
    <mergeCell ref="C107:G107"/>
    <mergeCell ref="O107:R110"/>
    <mergeCell ref="S107:S110"/>
    <mergeCell ref="C108:G108"/>
    <mergeCell ref="C109:G109"/>
    <mergeCell ref="A113:D113"/>
    <mergeCell ref="G113:K113"/>
    <mergeCell ref="N113:P113"/>
    <mergeCell ref="A114:D114"/>
    <mergeCell ref="G114:K114"/>
    <mergeCell ref="N114:P114"/>
    <mergeCell ref="A115:D115"/>
    <mergeCell ref="G115:K115"/>
    <mergeCell ref="N115:P115"/>
    <mergeCell ref="B121:C121"/>
    <mergeCell ref="D121:E121"/>
    <mergeCell ref="F121:G121"/>
    <mergeCell ref="H121:K121"/>
    <mergeCell ref="L121:N121"/>
    <mergeCell ref="Q121:R121"/>
    <mergeCell ref="B119:C119"/>
    <mergeCell ref="D119:E119"/>
    <mergeCell ref="F119:G119"/>
    <mergeCell ref="H119:K119"/>
    <mergeCell ref="L119:N119"/>
    <mergeCell ref="Q119:R119"/>
    <mergeCell ref="B120:C120"/>
    <mergeCell ref="D120:E120"/>
    <mergeCell ref="F120:G120"/>
    <mergeCell ref="H120:K120"/>
    <mergeCell ref="L120:N120"/>
    <mergeCell ref="Q120:R120"/>
    <mergeCell ref="A9:A11"/>
    <mergeCell ref="K9:M10"/>
    <mergeCell ref="S9:S10"/>
    <mergeCell ref="G16:I16"/>
    <mergeCell ref="K16:M16"/>
    <mergeCell ref="O16:R16"/>
    <mergeCell ref="A16:A17"/>
    <mergeCell ref="G9:I9"/>
    <mergeCell ref="O9:R9"/>
    <mergeCell ref="G10:I10"/>
    <mergeCell ref="O10:R10"/>
    <mergeCell ref="G11:I11"/>
    <mergeCell ref="K11:M11"/>
    <mergeCell ref="O11:R11"/>
    <mergeCell ref="A12:A13"/>
    <mergeCell ref="G12:I12"/>
    <mergeCell ref="K12:M12"/>
    <mergeCell ref="O12:R12"/>
    <mergeCell ref="G13:I13"/>
    <mergeCell ref="K13:M13"/>
    <mergeCell ref="O13:R13"/>
    <mergeCell ref="A14:A15"/>
    <mergeCell ref="G14:I14"/>
    <mergeCell ref="K14:M14"/>
    <mergeCell ref="S19:S20"/>
    <mergeCell ref="C50:E50"/>
    <mergeCell ref="O50:R50"/>
    <mergeCell ref="V50:X50"/>
    <mergeCell ref="C51:E51"/>
    <mergeCell ref="O51:R51"/>
    <mergeCell ref="V51:X51"/>
    <mergeCell ref="C47:E47"/>
    <mergeCell ref="M47:M49"/>
    <mergeCell ref="O47:R49"/>
    <mergeCell ref="S27:S29"/>
    <mergeCell ref="G28:I28"/>
    <mergeCell ref="G29:I29"/>
    <mergeCell ref="C30:E30"/>
    <mergeCell ref="O30:R30"/>
    <mergeCell ref="G27:I27"/>
    <mergeCell ref="K27:M29"/>
    <mergeCell ref="O27:R29"/>
    <mergeCell ref="A97:A99"/>
    <mergeCell ref="C96:G96"/>
    <mergeCell ref="O96:R96"/>
    <mergeCell ref="C97:G97"/>
    <mergeCell ref="O97:R97"/>
    <mergeCell ref="C98:G98"/>
    <mergeCell ref="O98:R98"/>
    <mergeCell ref="C99:G99"/>
    <mergeCell ref="O99:R99"/>
    <mergeCell ref="A93:A96"/>
    <mergeCell ref="C95:G95"/>
    <mergeCell ref="O95:R95"/>
    <mergeCell ref="C93:G93"/>
    <mergeCell ref="O93:R93"/>
    <mergeCell ref="C94:G94"/>
    <mergeCell ref="O94:R94"/>
  </mergeCells>
  <phoneticPr fontId="26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A126"/>
  <sheetViews>
    <sheetView topLeftCell="K1" workbookViewId="0">
      <selection activeCell="N2" sqref="N2:R2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36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1156</v>
      </c>
      <c r="O2" s="1319"/>
      <c r="P2" s="1320"/>
      <c r="Q2" s="1318" t="s">
        <v>1157</v>
      </c>
      <c r="R2" s="1320"/>
      <c r="S2" s="642" t="s">
        <v>998</v>
      </c>
    </row>
    <row r="3" spans="1:23" ht="90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1158</v>
      </c>
      <c r="O3" s="1319"/>
      <c r="P3" s="1320"/>
      <c r="Q3" s="1318" t="s">
        <v>1159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1160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45252</v>
      </c>
      <c r="D5" s="419" t="s">
        <v>1155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851">
        <v>0.8</v>
      </c>
      <c r="E9" s="815">
        <v>715</v>
      </c>
      <c r="F9" s="815">
        <f>'102'!O53</f>
        <v>750</v>
      </c>
      <c r="G9" s="1311">
        <f>'102'!K53</f>
        <v>9048</v>
      </c>
      <c r="H9" s="1312"/>
      <c r="I9" s="1313"/>
      <c r="J9" s="814">
        <f>'102'!L53</f>
        <v>0</v>
      </c>
      <c r="K9" s="1314">
        <f>'102'!P53</f>
        <v>1.0053333333333334</v>
      </c>
      <c r="L9" s="1315"/>
      <c r="M9" s="1316"/>
      <c r="N9" s="820">
        <f>J9/(G9+J9)</f>
        <v>0</v>
      </c>
      <c r="O9" s="1521" t="str">
        <f>'102'!U53</f>
        <v>19:24最後一支交接班</v>
      </c>
      <c r="P9" s="1522"/>
      <c r="Q9" s="1522"/>
      <c r="R9" s="1523"/>
      <c r="S9" s="892" t="str">
        <f>'102'!V53</f>
        <v>潘文銅</v>
      </c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>
        <v>0.8</v>
      </c>
      <c r="E10" s="880">
        <v>715</v>
      </c>
      <c r="F10" s="880">
        <f>'102'!O54</f>
        <v>750</v>
      </c>
      <c r="G10" s="1327">
        <f>'102'!K54</f>
        <v>3009</v>
      </c>
      <c r="H10" s="1328"/>
      <c r="I10" s="1329"/>
      <c r="J10" s="423">
        <f>'102'!L54</f>
        <v>0</v>
      </c>
      <c r="K10" s="1524">
        <f>'102'!P54+'102'!P55</f>
        <v>0.85866666666666669</v>
      </c>
      <c r="L10" s="1525"/>
      <c r="M10" s="1526"/>
      <c r="N10" s="820">
        <f>J10/(G10+J10)</f>
        <v>0</v>
      </c>
      <c r="O10" s="1521" t="str">
        <f>'102'!U54</f>
        <v>23:45-23:48改規格1.85*715,無損耗</v>
      </c>
      <c r="P10" s="1522"/>
      <c r="Q10" s="1522"/>
      <c r="R10" s="1523"/>
      <c r="S10" s="1575" t="str">
        <f>'102'!V54</f>
        <v>阮功體</v>
      </c>
      <c r="U10" s="420" t="s">
        <v>633</v>
      </c>
      <c r="V10" s="880"/>
      <c r="W10" s="880"/>
    </row>
    <row r="11" spans="1:23" ht="17.25" customHeight="1">
      <c r="A11" s="1326"/>
      <c r="B11" s="881" t="s">
        <v>43</v>
      </c>
      <c r="C11" s="422" t="s">
        <v>42</v>
      </c>
      <c r="D11" s="421">
        <v>1.85</v>
      </c>
      <c r="E11" s="880">
        <v>715</v>
      </c>
      <c r="F11" s="880">
        <f>'102'!O55</f>
        <v>750</v>
      </c>
      <c r="G11" s="1327">
        <f>'102'!K55</f>
        <v>4719</v>
      </c>
      <c r="H11" s="1328"/>
      <c r="I11" s="1329"/>
      <c r="J11" s="423">
        <f>'102'!L55</f>
        <v>0</v>
      </c>
      <c r="K11" s="1527"/>
      <c r="L11" s="1528"/>
      <c r="M11" s="1529"/>
      <c r="N11" s="820">
        <f>J11/(G11+J11)</f>
        <v>0</v>
      </c>
      <c r="O11" s="1581" t="str">
        <f>'102'!U55</f>
        <v>07:01最後一支料桶排空停機,人員安排機台清潔</v>
      </c>
      <c r="P11" s="1582"/>
      <c r="Q11" s="1582"/>
      <c r="R11" s="1583"/>
      <c r="S11" s="1577"/>
      <c r="U11" s="420" t="s">
        <v>633</v>
      </c>
      <c r="V11" s="880"/>
      <c r="W11" s="880"/>
    </row>
    <row r="12" spans="1:23" ht="17.25" customHeight="1">
      <c r="A12" s="1325" t="s">
        <v>7</v>
      </c>
      <c r="B12" s="84" t="s">
        <v>205</v>
      </c>
      <c r="C12" s="850" t="s">
        <v>44</v>
      </c>
      <c r="D12" s="649" t="s">
        <v>633</v>
      </c>
      <c r="E12" s="815"/>
      <c r="F12" s="815"/>
      <c r="G12" s="1311"/>
      <c r="H12" s="1312"/>
      <c r="I12" s="1313"/>
      <c r="J12" s="814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26"/>
      <c r="B13" s="881" t="s">
        <v>207</v>
      </c>
      <c r="C13" s="422" t="s">
        <v>44</v>
      </c>
      <c r="D13" s="421" t="s">
        <v>633</v>
      </c>
      <c r="E13" s="880"/>
      <c r="F13" s="880"/>
      <c r="G13" s="1327"/>
      <c r="H13" s="1328"/>
      <c r="I13" s="1329"/>
      <c r="J13" s="423"/>
      <c r="K13" s="1314"/>
      <c r="L13" s="1315"/>
      <c r="M13" s="1316"/>
      <c r="N13" s="820"/>
      <c r="O13" s="1308"/>
      <c r="P13" s="1309"/>
      <c r="Q13" s="1309"/>
      <c r="R13" s="1310"/>
      <c r="S13" s="822"/>
    </row>
    <row r="14" spans="1:23" ht="17.25" customHeight="1">
      <c r="A14" s="1354" t="s">
        <v>8</v>
      </c>
      <c r="B14" s="84" t="s">
        <v>205</v>
      </c>
      <c r="C14" s="850" t="s">
        <v>44</v>
      </c>
      <c r="D14" s="649" t="s">
        <v>633</v>
      </c>
      <c r="E14" s="856"/>
      <c r="F14" s="815"/>
      <c r="G14" s="1355"/>
      <c r="H14" s="1355"/>
      <c r="I14" s="1355"/>
      <c r="J14" s="814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354"/>
      <c r="B15" s="881" t="s">
        <v>207</v>
      </c>
      <c r="C15" s="422" t="s">
        <v>44</v>
      </c>
      <c r="D15" s="421" t="s">
        <v>633</v>
      </c>
      <c r="E15" s="646"/>
      <c r="F15" s="880"/>
      <c r="G15" s="1358"/>
      <c r="H15" s="1358"/>
      <c r="I15" s="1358"/>
      <c r="J15" s="423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101" t="s">
        <v>9</v>
      </c>
      <c r="B16" s="84" t="s">
        <v>205</v>
      </c>
      <c r="C16" s="850" t="s">
        <v>44</v>
      </c>
      <c r="D16" s="851">
        <v>1.2</v>
      </c>
      <c r="E16" s="815">
        <v>715</v>
      </c>
      <c r="F16" s="815">
        <f>'105'!O50</f>
        <v>450</v>
      </c>
      <c r="G16" s="1311">
        <f>'105'!K50</f>
        <v>4855</v>
      </c>
      <c r="H16" s="1312"/>
      <c r="I16" s="1313"/>
      <c r="J16" s="814">
        <f>'105'!L50</f>
        <v>0</v>
      </c>
      <c r="K16" s="1330">
        <f>'105'!P50</f>
        <v>0.89907407407407403</v>
      </c>
      <c r="L16" s="1331"/>
      <c r="M16" s="1332"/>
      <c r="N16" s="871">
        <f t="shared" ref="N16:N21" si="0">J16/(G16+J16)</f>
        <v>0</v>
      </c>
      <c r="O16" s="1333" t="str">
        <f>'105'!U50</f>
        <v>19:50最後一支交接班</v>
      </c>
      <c r="P16" s="1334"/>
      <c r="Q16" s="1334"/>
      <c r="R16" s="1335"/>
      <c r="S16" s="860" t="str">
        <f>'105'!V50</f>
        <v>史豐銘</v>
      </c>
    </row>
    <row r="17" spans="1:19" ht="17.25" customHeight="1">
      <c r="A17" s="1102"/>
      <c r="B17" s="881" t="s">
        <v>43</v>
      </c>
      <c r="C17" s="422" t="s">
        <v>44</v>
      </c>
      <c r="D17" s="421">
        <v>1.2</v>
      </c>
      <c r="E17" s="880">
        <v>715</v>
      </c>
      <c r="F17" s="880">
        <f>'105'!O51</f>
        <v>450</v>
      </c>
      <c r="G17" s="1327">
        <f>'105'!K51</f>
        <v>4990</v>
      </c>
      <c r="H17" s="1328"/>
      <c r="I17" s="1329"/>
      <c r="J17" s="423">
        <f>'105'!L51</f>
        <v>0</v>
      </c>
      <c r="K17" s="1330">
        <f>'105'!P51</f>
        <v>0.92407407407407405</v>
      </c>
      <c r="L17" s="1331"/>
      <c r="M17" s="1332"/>
      <c r="N17" s="871">
        <f t="shared" si="0"/>
        <v>0</v>
      </c>
      <c r="O17" s="1333" t="str">
        <f>'105'!U51</f>
        <v>07:15最後一支交接班</v>
      </c>
      <c r="P17" s="1334"/>
      <c r="Q17" s="1334"/>
      <c r="R17" s="1335"/>
      <c r="S17" s="860" t="str">
        <f>'105'!V51</f>
        <v>磨文林</v>
      </c>
    </row>
    <row r="18" spans="1:19" ht="17.25" customHeight="1">
      <c r="A18" s="1370" t="s">
        <v>644</v>
      </c>
      <c r="B18" s="84" t="s">
        <v>205</v>
      </c>
      <c r="C18" s="850" t="s">
        <v>42</v>
      </c>
      <c r="D18" s="851">
        <v>1.2</v>
      </c>
      <c r="E18" s="815">
        <v>805</v>
      </c>
      <c r="F18" s="815">
        <f>'106'!O53</f>
        <v>1185</v>
      </c>
      <c r="G18" s="1311">
        <f>'106'!K53</f>
        <v>13119</v>
      </c>
      <c r="H18" s="1312"/>
      <c r="I18" s="1313"/>
      <c r="J18" s="814">
        <f>'106'!L53</f>
        <v>0</v>
      </c>
      <c r="K18" s="1330">
        <f>'106'!P53</f>
        <v>0.92257383966244721</v>
      </c>
      <c r="L18" s="1331"/>
      <c r="M18" s="1332"/>
      <c r="N18" s="871">
        <f t="shared" si="0"/>
        <v>0</v>
      </c>
      <c r="O18" s="1364" t="str">
        <f>'106'!U53</f>
        <v>19:20最後一支交接班</v>
      </c>
      <c r="P18" s="1365"/>
      <c r="Q18" s="1365"/>
      <c r="R18" s="1366"/>
      <c r="S18" s="822" t="str">
        <f>'106'!V53</f>
        <v>黎文中.林子維</v>
      </c>
    </row>
    <row r="19" spans="1:19" ht="17.25" customHeight="1">
      <c r="A19" s="1371"/>
      <c r="B19" s="881" t="s">
        <v>43</v>
      </c>
      <c r="C19" s="422" t="s">
        <v>42</v>
      </c>
      <c r="D19" s="421">
        <v>1.2</v>
      </c>
      <c r="E19" s="880">
        <v>805</v>
      </c>
      <c r="F19" s="880">
        <f>'106'!O54</f>
        <v>1185</v>
      </c>
      <c r="G19" s="1327">
        <f>'106'!K54</f>
        <v>2182</v>
      </c>
      <c r="H19" s="1328"/>
      <c r="I19" s="1329"/>
      <c r="J19" s="423">
        <f>'106'!L54</f>
        <v>0</v>
      </c>
      <c r="K19" s="1541">
        <f>'106'!P54+'106'!P55+'106'!P56</f>
        <v>0.91898734177215191</v>
      </c>
      <c r="L19" s="1542"/>
      <c r="M19" s="1543"/>
      <c r="N19" s="871">
        <f t="shared" si="0"/>
        <v>0</v>
      </c>
      <c r="O19" s="1348" t="str">
        <f>'106'!U54</f>
        <v>21:27-21:30改規格1.38*805,無損耗</v>
      </c>
      <c r="P19" s="1349"/>
      <c r="Q19" s="1349"/>
      <c r="R19" s="1350"/>
      <c r="S19" s="1517" t="str">
        <f>'106'!V54</f>
        <v>黃隨貴.盧宇昇</v>
      </c>
    </row>
    <row r="20" spans="1:19" ht="17.25" customHeight="1">
      <c r="A20" s="1371"/>
      <c r="B20" s="881" t="s">
        <v>43</v>
      </c>
      <c r="C20" s="422" t="s">
        <v>42</v>
      </c>
      <c r="D20" s="421">
        <v>1.38</v>
      </c>
      <c r="E20" s="880">
        <v>805</v>
      </c>
      <c r="F20" s="880">
        <f>'106'!O55</f>
        <v>1185</v>
      </c>
      <c r="G20" s="1327">
        <f>'106'!K55</f>
        <v>1691</v>
      </c>
      <c r="H20" s="1328"/>
      <c r="I20" s="1329"/>
      <c r="J20" s="423">
        <f>'106'!L55</f>
        <v>0</v>
      </c>
      <c r="K20" s="1558"/>
      <c r="L20" s="1559"/>
      <c r="M20" s="1560"/>
      <c r="N20" s="871">
        <f t="shared" si="0"/>
        <v>0</v>
      </c>
      <c r="O20" s="1411" t="str">
        <f>'106'!U55</f>
        <v>22:57改規格1.2*805,無損耗</v>
      </c>
      <c r="P20" s="1412"/>
      <c r="Q20" s="1412"/>
      <c r="R20" s="1413"/>
      <c r="S20" s="1561"/>
    </row>
    <row r="21" spans="1:19" ht="17.25" customHeight="1">
      <c r="A21" s="1562"/>
      <c r="B21" s="881" t="s">
        <v>43</v>
      </c>
      <c r="C21" s="422" t="s">
        <v>42</v>
      </c>
      <c r="D21" s="421">
        <v>1.2</v>
      </c>
      <c r="E21" s="880">
        <v>805</v>
      </c>
      <c r="F21" s="880">
        <f>'106'!O56</f>
        <v>1185</v>
      </c>
      <c r="G21" s="1327">
        <f>'106'!K56</f>
        <v>9195</v>
      </c>
      <c r="H21" s="1328"/>
      <c r="I21" s="1329"/>
      <c r="J21" s="423">
        <f>'106'!L56</f>
        <v>0</v>
      </c>
      <c r="K21" s="1544"/>
      <c r="L21" s="1545"/>
      <c r="M21" s="1546"/>
      <c r="N21" s="871">
        <f t="shared" si="0"/>
        <v>0</v>
      </c>
      <c r="O21" s="1411" t="str">
        <f>'106'!U56</f>
        <v>07:22最後一支料桶排空停機,人員安排機台清潔</v>
      </c>
      <c r="P21" s="1412"/>
      <c r="Q21" s="1412"/>
      <c r="R21" s="1413"/>
      <c r="S21" s="1518"/>
    </row>
    <row r="22" spans="1:19" ht="17.25" customHeight="1">
      <c r="A22" s="1362" t="s">
        <v>418</v>
      </c>
      <c r="B22" s="84" t="s">
        <v>205</v>
      </c>
      <c r="C22" s="850" t="s">
        <v>44</v>
      </c>
      <c r="D22" s="649" t="s">
        <v>633</v>
      </c>
      <c r="E22" s="815"/>
      <c r="F22" s="815"/>
      <c r="G22" s="1311"/>
      <c r="H22" s="1312"/>
      <c r="I22" s="1313"/>
      <c r="J22" s="814"/>
      <c r="K22" s="1314"/>
      <c r="L22" s="1315"/>
      <c r="M22" s="1316"/>
      <c r="N22" s="871"/>
      <c r="O22" s="1364"/>
      <c r="P22" s="1365"/>
      <c r="Q22" s="1365"/>
      <c r="R22" s="1366"/>
      <c r="S22" s="822"/>
    </row>
    <row r="23" spans="1:19" ht="17.25" customHeight="1">
      <c r="A23" s="1363"/>
      <c r="B23" s="881" t="s">
        <v>43</v>
      </c>
      <c r="C23" s="422" t="s">
        <v>44</v>
      </c>
      <c r="D23" s="421" t="s">
        <v>633</v>
      </c>
      <c r="E23" s="880"/>
      <c r="F23" s="880"/>
      <c r="G23" s="1327"/>
      <c r="H23" s="1328"/>
      <c r="I23" s="1329"/>
      <c r="J23" s="423"/>
      <c r="K23" s="1314"/>
      <c r="L23" s="1315"/>
      <c r="M23" s="1316"/>
      <c r="N23" s="871"/>
      <c r="O23" s="1364"/>
      <c r="P23" s="1365"/>
      <c r="Q23" s="1365"/>
      <c r="R23" s="1366"/>
      <c r="S23" s="822"/>
    </row>
    <row r="24" spans="1:19" ht="17.25" customHeight="1">
      <c r="A24" s="843"/>
      <c r="B24" s="841"/>
      <c r="C24" s="850"/>
      <c r="D24" s="851"/>
      <c r="E24" s="815"/>
      <c r="F24" s="815"/>
      <c r="G24" s="832" t="s">
        <v>666</v>
      </c>
      <c r="H24" s="838"/>
      <c r="I24" s="833">
        <f>SUM(G7:I23)</f>
        <v>52808</v>
      </c>
      <c r="J24" s="833">
        <f>SUM(J7:J23)</f>
        <v>0</v>
      </c>
      <c r="K24" s="1314"/>
      <c r="L24" s="1315"/>
      <c r="M24" s="1316"/>
      <c r="N24" s="647"/>
      <c r="O24" s="1372"/>
      <c r="P24" s="1373"/>
      <c r="Q24" s="1373"/>
      <c r="R24" s="1374"/>
      <c r="S24" s="812"/>
    </row>
    <row r="25" spans="1:19" ht="20.100000000000001" hidden="1" customHeight="1">
      <c r="A25" s="1400" t="s">
        <v>10</v>
      </c>
      <c r="B25" s="84" t="s">
        <v>205</v>
      </c>
      <c r="C25" s="648" t="s">
        <v>44</v>
      </c>
      <c r="D25" s="649">
        <v>2.35</v>
      </c>
      <c r="E25" s="85">
        <v>800</v>
      </c>
      <c r="F25" s="85"/>
      <c r="G25" s="1401"/>
      <c r="H25" s="1401"/>
      <c r="I25" s="1401"/>
      <c r="J25" s="650"/>
      <c r="K25" s="1402"/>
      <c r="L25" s="1403"/>
      <c r="M25" s="1404"/>
      <c r="N25" s="647" t="e">
        <f t="shared" ref="N25:N30" si="1">J25/(G25+J25)</f>
        <v>#DIV/0!</v>
      </c>
      <c r="O25" s="1348"/>
      <c r="P25" s="1349"/>
      <c r="Q25" s="1349"/>
      <c r="R25" s="1350"/>
      <c r="S25" s="1414"/>
    </row>
    <row r="26" spans="1:19" ht="20.100000000000001" hidden="1" customHeight="1">
      <c r="A26" s="1400"/>
      <c r="B26" s="84" t="s">
        <v>0</v>
      </c>
      <c r="C26" s="648" t="s">
        <v>44</v>
      </c>
      <c r="D26" s="649">
        <v>1.85</v>
      </c>
      <c r="E26" s="85">
        <v>800</v>
      </c>
      <c r="F26" s="85"/>
      <c r="G26" s="1401"/>
      <c r="H26" s="1401"/>
      <c r="I26" s="1401"/>
      <c r="J26" s="650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415"/>
    </row>
    <row r="27" spans="1:19" ht="20.100000000000001" hidden="1" customHeight="1">
      <c r="A27" s="1400"/>
      <c r="B27" s="84" t="s">
        <v>205</v>
      </c>
      <c r="C27" s="648" t="s">
        <v>44</v>
      </c>
      <c r="D27" s="649"/>
      <c r="E27" s="85"/>
      <c r="F27" s="85"/>
      <c r="G27" s="1401"/>
      <c r="H27" s="1401"/>
      <c r="I27" s="1401"/>
      <c r="J27" s="650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41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2.35</v>
      </c>
      <c r="E28" s="880">
        <v>800</v>
      </c>
      <c r="F28" s="880"/>
      <c r="G28" s="1358"/>
      <c r="H28" s="1358"/>
      <c r="I28" s="1358"/>
      <c r="J28" s="423"/>
      <c r="K28" s="1402"/>
      <c r="L28" s="1403"/>
      <c r="M28" s="1404"/>
      <c r="N28" s="647" t="e">
        <f t="shared" si="1"/>
        <v>#DIV/0!</v>
      </c>
      <c r="O28" s="1348"/>
      <c r="P28" s="1349"/>
      <c r="Q28" s="1349"/>
      <c r="R28" s="1350"/>
      <c r="S28" s="1375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1.75</v>
      </c>
      <c r="E29" s="880">
        <v>715</v>
      </c>
      <c r="F29" s="880"/>
      <c r="G29" s="1358"/>
      <c r="H29" s="1358"/>
      <c r="I29" s="1358"/>
      <c r="J29" s="423"/>
      <c r="K29" s="1405"/>
      <c r="L29" s="1406"/>
      <c r="M29" s="1407"/>
      <c r="N29" s="647" t="e">
        <f t="shared" si="1"/>
        <v>#DIV/0!</v>
      </c>
      <c r="O29" s="1411"/>
      <c r="P29" s="1412"/>
      <c r="Q29" s="1412"/>
      <c r="R29" s="1413"/>
      <c r="S29" s="1376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1.6</v>
      </c>
      <c r="E30" s="880">
        <v>715</v>
      </c>
      <c r="F30" s="880"/>
      <c r="G30" s="1358"/>
      <c r="H30" s="1358"/>
      <c r="I30" s="1358"/>
      <c r="J30" s="423"/>
      <c r="K30" s="1408"/>
      <c r="L30" s="1409"/>
      <c r="M30" s="1410"/>
      <c r="N30" s="647" t="e">
        <f t="shared" si="1"/>
        <v>#DIV/0!</v>
      </c>
      <c r="O30" s="1367"/>
      <c r="P30" s="1368"/>
      <c r="Q30" s="1368"/>
      <c r="R30" s="1369"/>
      <c r="S30" s="1377"/>
    </row>
    <row r="31" spans="1:19" s="76" customFormat="1" ht="31.7" customHeight="1">
      <c r="A31" s="56" t="s">
        <v>212</v>
      </c>
      <c r="B31" s="388" t="s">
        <v>193</v>
      </c>
      <c r="C31" s="1378" t="s">
        <v>11</v>
      </c>
      <c r="D31" s="1379"/>
      <c r="E31" s="1380"/>
      <c r="F31" s="409" t="s">
        <v>12</v>
      </c>
      <c r="G31" s="409" t="s">
        <v>13</v>
      </c>
      <c r="H31" s="410" t="s">
        <v>215</v>
      </c>
      <c r="I31" s="411" t="s">
        <v>14</v>
      </c>
      <c r="J31" s="412" t="s">
        <v>15</v>
      </c>
      <c r="K31" s="651" t="s">
        <v>16</v>
      </c>
      <c r="L31" s="652" t="s">
        <v>60</v>
      </c>
      <c r="M31" s="653" t="s">
        <v>17</v>
      </c>
      <c r="N31" s="652" t="s">
        <v>18</v>
      </c>
      <c r="O31" s="1381" t="s">
        <v>29</v>
      </c>
      <c r="P31" s="1381"/>
      <c r="Q31" s="1381"/>
      <c r="R31" s="1381"/>
      <c r="S31" s="383" t="s">
        <v>4</v>
      </c>
    </row>
    <row r="32" spans="1:19" s="132" customFormat="1" ht="16.5" hidden="1" customHeight="1">
      <c r="A32" s="1126" t="s">
        <v>19</v>
      </c>
      <c r="B32" s="134" t="s">
        <v>0</v>
      </c>
      <c r="C32" s="1382"/>
      <c r="D32" s="1383"/>
      <c r="E32" s="1384"/>
      <c r="F32" s="380"/>
      <c r="G32" s="246">
        <f>SUM(G9:G30)</f>
        <v>52808</v>
      </c>
      <c r="H32" s="95"/>
      <c r="I32" s="844" t="e">
        <f>SUM(#REF!)</f>
        <v>#REF!</v>
      </c>
      <c r="J32" s="390"/>
      <c r="K32" s="390"/>
      <c r="L32" s="389"/>
      <c r="M32" s="1385"/>
      <c r="N32" s="654"/>
      <c r="O32" s="1388"/>
      <c r="P32" s="1389"/>
      <c r="Q32" s="1389"/>
      <c r="R32" s="1390"/>
      <c r="S32" s="1397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6"/>
      <c r="N33" s="654"/>
      <c r="O33" s="1391"/>
      <c r="P33" s="1392"/>
      <c r="Q33" s="1392"/>
      <c r="R33" s="1393"/>
      <c r="S33" s="1398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7"/>
      <c r="N34" s="654"/>
      <c r="O34" s="1394"/>
      <c r="P34" s="1395"/>
      <c r="Q34" s="1395"/>
      <c r="R34" s="1396"/>
      <c r="S34" s="1399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5"/>
      <c r="N35" s="654"/>
      <c r="O35" s="1388"/>
      <c r="P35" s="1389"/>
      <c r="Q35" s="1389"/>
      <c r="R35" s="1390"/>
      <c r="S35" s="1420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7"/>
      <c r="N38" s="654"/>
      <c r="O38" s="1394"/>
      <c r="P38" s="1395"/>
      <c r="Q38" s="1395"/>
      <c r="R38" s="1396"/>
      <c r="S38" s="1422"/>
    </row>
    <row r="39" spans="1:19" ht="18" hidden="1" customHeight="1">
      <c r="A39" s="1426" t="s">
        <v>61</v>
      </c>
      <c r="B39" s="84" t="s">
        <v>205</v>
      </c>
      <c r="C39" s="1382"/>
      <c r="D39" s="1383"/>
      <c r="E39" s="1384"/>
      <c r="F39" s="380"/>
      <c r="G39" s="245"/>
      <c r="H39" s="85"/>
      <c r="I39" s="85"/>
      <c r="J39" s="656"/>
      <c r="K39" s="392"/>
      <c r="L39" s="251"/>
      <c r="M39" s="1385"/>
      <c r="N39" s="428"/>
      <c r="O39" s="1388"/>
      <c r="P39" s="1389"/>
      <c r="Q39" s="1389"/>
      <c r="R39" s="1390"/>
      <c r="S39" s="1423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6"/>
      <c r="N40" s="654"/>
      <c r="O40" s="1391"/>
      <c r="P40" s="1392"/>
      <c r="Q40" s="1392"/>
      <c r="R40" s="1393"/>
      <c r="S40" s="1424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7"/>
      <c r="N41" s="654"/>
      <c r="O41" s="1394"/>
      <c r="P41" s="1395"/>
      <c r="Q41" s="1395"/>
      <c r="R41" s="1396"/>
      <c r="S41" s="1425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5"/>
      <c r="N42" s="654"/>
      <c r="O42" s="1388"/>
      <c r="P42" s="1389"/>
      <c r="Q42" s="1389"/>
      <c r="R42" s="1390"/>
      <c r="S42" s="1420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6"/>
      <c r="N43" s="654"/>
      <c r="O43" s="1391"/>
      <c r="P43" s="1392"/>
      <c r="Q43" s="1392"/>
      <c r="R43" s="1393"/>
      <c r="S43" s="1421"/>
    </row>
    <row r="44" spans="1:19" ht="18" hidden="1" customHeight="1">
      <c r="A44" s="1426"/>
      <c r="B44" s="381" t="s">
        <v>207</v>
      </c>
      <c r="C44" s="1417"/>
      <c r="D44" s="1418"/>
      <c r="E44" s="1419"/>
      <c r="F44" s="657"/>
      <c r="G44" s="243"/>
      <c r="H44" s="114"/>
      <c r="I44" s="114"/>
      <c r="J44" s="655"/>
      <c r="K44" s="391"/>
      <c r="L44" s="240"/>
      <c r="M44" s="1387"/>
      <c r="N44" s="428"/>
      <c r="O44" s="1394"/>
      <c r="P44" s="1395"/>
      <c r="Q44" s="1395"/>
      <c r="R44" s="1396"/>
      <c r="S44" s="1422"/>
    </row>
    <row r="45" spans="1:19" ht="18" hidden="1" customHeight="1">
      <c r="A45" s="1260" t="s">
        <v>20</v>
      </c>
      <c r="B45" s="84" t="s">
        <v>205</v>
      </c>
      <c r="C45" s="1382"/>
      <c r="D45" s="1383"/>
      <c r="E45" s="1384"/>
      <c r="F45" s="380"/>
      <c r="G45" s="245"/>
      <c r="H45" s="85"/>
      <c r="I45" s="85"/>
      <c r="J45" s="656"/>
      <c r="K45" s="393"/>
      <c r="L45" s="251"/>
      <c r="M45" s="1385"/>
      <c r="N45" s="428"/>
      <c r="O45" s="1388"/>
      <c r="P45" s="1389"/>
      <c r="Q45" s="1389"/>
      <c r="R45" s="1390"/>
      <c r="S45" s="1423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6"/>
      <c r="N46" s="654"/>
      <c r="O46" s="1391"/>
      <c r="P46" s="1392"/>
      <c r="Q46" s="1392"/>
      <c r="R46" s="1393"/>
      <c r="S46" s="1424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7"/>
      <c r="N47" s="654"/>
      <c r="O47" s="1394"/>
      <c r="P47" s="1395"/>
      <c r="Q47" s="1395"/>
      <c r="R47" s="1396"/>
      <c r="S47" s="1425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5"/>
      <c r="N48" s="654"/>
      <c r="O48" s="1388"/>
      <c r="P48" s="1389"/>
      <c r="Q48" s="1389"/>
      <c r="R48" s="1390"/>
      <c r="S48" s="1420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6"/>
      <c r="N49" s="654"/>
      <c r="O49" s="1391"/>
      <c r="P49" s="1392"/>
      <c r="Q49" s="1392"/>
      <c r="R49" s="1393"/>
      <c r="S49" s="1421"/>
    </row>
    <row r="50" spans="1:24" ht="15.75" hidden="1" customHeight="1">
      <c r="A50" s="1260"/>
      <c r="B50" s="381" t="s">
        <v>207</v>
      </c>
      <c r="C50" s="1417"/>
      <c r="D50" s="1418"/>
      <c r="E50" s="1419"/>
      <c r="F50" s="657"/>
      <c r="G50" s="243"/>
      <c r="H50" s="114"/>
      <c r="I50" s="114"/>
      <c r="J50" s="655"/>
      <c r="K50" s="391"/>
      <c r="L50" s="240"/>
      <c r="M50" s="1387"/>
      <c r="N50" s="428"/>
      <c r="O50" s="1394"/>
      <c r="P50" s="1395"/>
      <c r="Q50" s="1395"/>
      <c r="R50" s="1396"/>
      <c r="S50" s="1422"/>
    </row>
    <row r="51" spans="1:24" ht="17.25" customHeight="1">
      <c r="A51" s="1126" t="s">
        <v>21</v>
      </c>
      <c r="B51" s="84" t="s">
        <v>0</v>
      </c>
      <c r="C51" s="1427" t="e">
        <f>#REF!</f>
        <v>#REF!</v>
      </c>
      <c r="D51" s="1427"/>
      <c r="E51" s="1427"/>
      <c r="F51" s="827" t="s">
        <v>899</v>
      </c>
      <c r="G51" s="828" t="e">
        <f>#REF!</f>
        <v>#REF!</v>
      </c>
      <c r="H51" s="815"/>
      <c r="I51" s="827">
        <v>2</v>
      </c>
      <c r="J51" s="828" t="e">
        <f>#REF!</f>
        <v>#REF!</v>
      </c>
      <c r="K51" s="828" t="e">
        <f>#REF!</f>
        <v>#REF!</v>
      </c>
      <c r="L51" s="828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17.25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899</v>
      </c>
      <c r="G52" s="660" t="e">
        <f>#REF!</f>
        <v>#REF!</v>
      </c>
      <c r="H52" s="880"/>
      <c r="I52" s="418">
        <v>3</v>
      </c>
      <c r="J52" s="660" t="e">
        <f>#REF!</f>
        <v>#REF!</v>
      </c>
      <c r="K52" s="660" t="e">
        <f>#REF!</f>
        <v>#REF!</v>
      </c>
      <c r="L52" s="660" t="e">
        <f>#REF!</f>
        <v>#REF!</v>
      </c>
      <c r="M52" s="661" t="e">
        <f>#REF!</f>
        <v>#REF!</v>
      </c>
      <c r="N52" s="662" t="e">
        <f>#REF!</f>
        <v>#REF!</v>
      </c>
      <c r="O52" s="1361" t="e">
        <f>#REF!</f>
        <v>#REF!</v>
      </c>
      <c r="P52" s="1361"/>
      <c r="Q52" s="1361"/>
      <c r="R52" s="1361"/>
      <c r="S52" s="822" t="e">
        <f>#REF!</f>
        <v>#REF!</v>
      </c>
      <c r="V52" s="1382" t="s">
        <v>633</v>
      </c>
      <c r="W52" s="1383"/>
      <c r="X52" s="1384"/>
    </row>
    <row r="53" spans="1:24" ht="17.25" customHeight="1">
      <c r="A53" s="1126" t="s">
        <v>22</v>
      </c>
      <c r="B53" s="84" t="s">
        <v>0</v>
      </c>
      <c r="C53" s="1427" t="s">
        <v>633</v>
      </c>
      <c r="D53" s="1427"/>
      <c r="E53" s="1427"/>
      <c r="F53" s="827"/>
      <c r="G53" s="852"/>
      <c r="H53" s="815"/>
      <c r="I53" s="827"/>
      <c r="J53" s="852"/>
      <c r="K53" s="885"/>
      <c r="L53" s="885"/>
      <c r="M53" s="863"/>
      <c r="N53" s="415"/>
      <c r="O53" s="1364"/>
      <c r="P53" s="1365"/>
      <c r="Q53" s="1365"/>
      <c r="R53" s="1366"/>
      <c r="S53" s="821"/>
    </row>
    <row r="54" spans="1:24" ht="36" customHeight="1">
      <c r="A54" s="1127"/>
      <c r="B54" s="881" t="s">
        <v>43</v>
      </c>
      <c r="C54" s="1360" t="e">
        <f>#REF!</f>
        <v>#REF!</v>
      </c>
      <c r="D54" s="1360"/>
      <c r="E54" s="1360"/>
      <c r="F54" s="418" t="s">
        <v>1171</v>
      </c>
      <c r="G54" s="840" t="e">
        <f>#REF!</f>
        <v>#REF!</v>
      </c>
      <c r="H54" s="880"/>
      <c r="I54" s="418">
        <v>4</v>
      </c>
      <c r="J54" s="840" t="e">
        <f>#REF!</f>
        <v>#REF!</v>
      </c>
      <c r="K54" s="890" t="e">
        <f>#REF!</f>
        <v>#REF!</v>
      </c>
      <c r="L54" s="890" t="e">
        <f>#REF!</f>
        <v>#REF!</v>
      </c>
      <c r="M54" s="863" t="e">
        <f>#REF!</f>
        <v>#REF!</v>
      </c>
      <c r="N54" s="415" t="e">
        <f>#REF!</f>
        <v>#REF!</v>
      </c>
      <c r="O54" s="1364" t="e">
        <f>#REF!</f>
        <v>#REF!</v>
      </c>
      <c r="P54" s="1365"/>
      <c r="Q54" s="1365"/>
      <c r="R54" s="1366"/>
      <c r="S54" s="821" t="e">
        <f>#REF!</f>
        <v>#REF!</v>
      </c>
    </row>
    <row r="55" spans="1:24" ht="17.25" customHeight="1">
      <c r="A55" s="1428" t="s">
        <v>23</v>
      </c>
      <c r="B55" s="84" t="s">
        <v>0</v>
      </c>
      <c r="C55" s="1427" t="s">
        <v>633</v>
      </c>
      <c r="D55" s="1427"/>
      <c r="E55" s="1427"/>
      <c r="F55" s="827"/>
      <c r="G55" s="828"/>
      <c r="H55" s="815"/>
      <c r="I55" s="827"/>
      <c r="J55" s="828"/>
      <c r="K55" s="828"/>
      <c r="L55" s="828"/>
      <c r="M55" s="865"/>
      <c r="N55" s="662"/>
      <c r="O55" s="1364"/>
      <c r="P55" s="1365"/>
      <c r="Q55" s="1365"/>
      <c r="R55" s="1366"/>
      <c r="S55" s="822"/>
    </row>
    <row r="56" spans="1:24" ht="35.25" customHeight="1">
      <c r="A56" s="1563"/>
      <c r="B56" s="381" t="s">
        <v>43</v>
      </c>
      <c r="C56" s="1360" t="e">
        <f>#REF!</f>
        <v>#REF!</v>
      </c>
      <c r="D56" s="1360"/>
      <c r="E56" s="1360"/>
      <c r="F56" s="418" t="s">
        <v>1172</v>
      </c>
      <c r="G56" s="660" t="e">
        <f>#REF!</f>
        <v>#REF!</v>
      </c>
      <c r="H56" s="880"/>
      <c r="I56" s="418">
        <v>4</v>
      </c>
      <c r="J56" s="660" t="e">
        <f>#REF!</f>
        <v>#REF!</v>
      </c>
      <c r="K56" s="660" t="e">
        <f>#REF!</f>
        <v>#REF!</v>
      </c>
      <c r="L56" s="660" t="e">
        <f>#REF!</f>
        <v>#REF!</v>
      </c>
      <c r="M56" s="865" t="e">
        <f>#REF!</f>
        <v>#REF!</v>
      </c>
      <c r="N56" s="662" t="e">
        <f>#REF!</f>
        <v>#REF!</v>
      </c>
      <c r="O56" s="1364" t="e">
        <f>#REF!</f>
        <v>#REF!</v>
      </c>
      <c r="P56" s="1365"/>
      <c r="Q56" s="1365"/>
      <c r="R56" s="1366"/>
      <c r="S56" s="822" t="e">
        <f>#REF!</f>
        <v>#REF!</v>
      </c>
    </row>
    <row r="57" spans="1:24" ht="17.25" customHeight="1">
      <c r="A57" s="1126" t="s">
        <v>24</v>
      </c>
      <c r="B57" s="84" t="s">
        <v>0</v>
      </c>
      <c r="C57" s="1427" t="s">
        <v>633</v>
      </c>
      <c r="D57" s="1427"/>
      <c r="E57" s="1427"/>
      <c r="F57" s="827"/>
      <c r="G57" s="828"/>
      <c r="H57" s="815"/>
      <c r="I57" s="827"/>
      <c r="J57" s="828"/>
      <c r="K57" s="828"/>
      <c r="L57" s="828"/>
      <c r="M57" s="661"/>
      <c r="N57" s="662"/>
      <c r="O57" s="1361"/>
      <c r="P57" s="1361"/>
      <c r="Q57" s="1361"/>
      <c r="R57" s="1361"/>
      <c r="S57" s="877"/>
    </row>
    <row r="58" spans="1:24" ht="17.25" customHeight="1">
      <c r="A58" s="1127"/>
      <c r="B58" s="381" t="s">
        <v>43</v>
      </c>
      <c r="C58" s="1360" t="s">
        <v>633</v>
      </c>
      <c r="D58" s="1360"/>
      <c r="E58" s="1360"/>
      <c r="F58" s="418"/>
      <c r="G58" s="660"/>
      <c r="H58" s="880"/>
      <c r="I58" s="418"/>
      <c r="J58" s="660"/>
      <c r="K58" s="660"/>
      <c r="L58" s="660"/>
      <c r="M58" s="661"/>
      <c r="N58" s="662"/>
      <c r="O58" s="1361"/>
      <c r="P58" s="1361"/>
      <c r="Q58" s="1361"/>
      <c r="R58" s="1361"/>
      <c r="S58" s="877"/>
    </row>
    <row r="59" spans="1:24" ht="17.25" customHeight="1">
      <c r="A59" s="1126" t="s">
        <v>634</v>
      </c>
      <c r="B59" s="84" t="s">
        <v>0</v>
      </c>
      <c r="C59" s="1427" t="s">
        <v>633</v>
      </c>
      <c r="D59" s="1427"/>
      <c r="E59" s="1427"/>
      <c r="F59" s="827"/>
      <c r="G59" s="828"/>
      <c r="H59" s="815"/>
      <c r="I59" s="827"/>
      <c r="J59" s="828"/>
      <c r="K59" s="828"/>
      <c r="L59" s="828"/>
      <c r="M59" s="816"/>
      <c r="N59" s="817"/>
      <c r="O59" s="1430"/>
      <c r="P59" s="1431"/>
      <c r="Q59" s="1431"/>
      <c r="R59" s="1432"/>
      <c r="S59" s="822"/>
    </row>
    <row r="60" spans="1:24" ht="17.25" customHeight="1">
      <c r="A60" s="1127"/>
      <c r="B60" s="381" t="s">
        <v>43</v>
      </c>
      <c r="C60" s="1360" t="s">
        <v>633</v>
      </c>
      <c r="D60" s="1360"/>
      <c r="E60" s="1360"/>
      <c r="F60" s="418"/>
      <c r="G60" s="660"/>
      <c r="H60" s="880"/>
      <c r="I60" s="418"/>
      <c r="J60" s="660"/>
      <c r="K60" s="660"/>
      <c r="L60" s="660"/>
      <c r="M60" s="816"/>
      <c r="N60" s="817"/>
      <c r="O60" s="1430"/>
      <c r="P60" s="1431"/>
      <c r="Q60" s="1431"/>
      <c r="R60" s="1432"/>
      <c r="S60" s="822"/>
    </row>
    <row r="61" spans="1:24" ht="53.25" customHeight="1">
      <c r="A61" s="1126" t="s">
        <v>416</v>
      </c>
      <c r="B61" s="84" t="s">
        <v>0</v>
      </c>
      <c r="C61" s="1427" t="e">
        <f>#REF!</f>
        <v>#REF!</v>
      </c>
      <c r="D61" s="1427"/>
      <c r="E61" s="1427"/>
      <c r="F61" s="827" t="s">
        <v>776</v>
      </c>
      <c r="G61" s="828" t="e">
        <f>#REF!</f>
        <v>#REF!</v>
      </c>
      <c r="H61" s="815"/>
      <c r="I61" s="827">
        <v>3</v>
      </c>
      <c r="J61" s="828" t="e">
        <f>#REF!</f>
        <v>#REF!</v>
      </c>
      <c r="K61" s="828" t="e">
        <f>#REF!</f>
        <v>#REF!</v>
      </c>
      <c r="L61" s="828" t="e">
        <f>#REF!</f>
        <v>#REF!</v>
      </c>
      <c r="M61" s="816" t="e">
        <f>#REF!</f>
        <v>#REF!</v>
      </c>
      <c r="N61" s="818" t="e">
        <f>#REF!</f>
        <v>#REF!</v>
      </c>
      <c r="O61" s="1333" t="e">
        <f>#REF!</f>
        <v>#REF!</v>
      </c>
      <c r="P61" s="1334"/>
      <c r="Q61" s="1334"/>
      <c r="R61" s="1335"/>
      <c r="S61" s="895" t="e">
        <f>#REF!</f>
        <v>#REF!</v>
      </c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8"/>
      <c r="O62" s="1333"/>
      <c r="P62" s="1334"/>
      <c r="Q62" s="1334"/>
      <c r="R62" s="1335"/>
      <c r="S62" s="855"/>
    </row>
    <row r="63" spans="1:24" ht="17.25" customHeight="1">
      <c r="A63" s="1126" t="s">
        <v>635</v>
      </c>
      <c r="B63" s="84" t="s">
        <v>0</v>
      </c>
      <c r="C63" s="1427" t="s">
        <v>633</v>
      </c>
      <c r="D63" s="1427"/>
      <c r="E63" s="1427"/>
      <c r="F63" s="827"/>
      <c r="G63" s="828"/>
      <c r="H63" s="815"/>
      <c r="I63" s="827"/>
      <c r="J63" s="828"/>
      <c r="K63" s="828"/>
      <c r="L63" s="828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89"/>
      <c r="B64" s="381" t="s">
        <v>43</v>
      </c>
      <c r="C64" s="1360" t="s">
        <v>633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6" t="s">
        <v>636</v>
      </c>
      <c r="B65" s="84" t="s">
        <v>0</v>
      </c>
      <c r="C65" s="1427" t="s">
        <v>633</v>
      </c>
      <c r="D65" s="1427"/>
      <c r="E65" s="1427"/>
      <c r="F65" s="827"/>
      <c r="G65" s="828"/>
      <c r="H65" s="815"/>
      <c r="I65" s="827"/>
      <c r="J65" s="828"/>
      <c r="K65" s="828"/>
      <c r="L65" s="828"/>
      <c r="M65" s="816"/>
      <c r="N65" s="817"/>
      <c r="O65" s="1436"/>
      <c r="P65" s="1436"/>
      <c r="Q65" s="1436"/>
      <c r="R65" s="1436"/>
      <c r="S65" s="848"/>
    </row>
    <row r="66" spans="1:79" ht="17.25" customHeight="1">
      <c r="A66" s="1127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816"/>
      <c r="N66" s="817"/>
      <c r="O66" s="1436"/>
      <c r="P66" s="1436"/>
      <c r="Q66" s="1436"/>
      <c r="R66" s="1436"/>
      <c r="S66" s="821"/>
    </row>
    <row r="67" spans="1:79" ht="17.25" customHeight="1">
      <c r="A67" s="831"/>
      <c r="B67" s="841"/>
      <c r="C67" s="882"/>
      <c r="D67" s="883"/>
      <c r="E67" s="884"/>
      <c r="F67" s="827"/>
      <c r="G67" s="828"/>
      <c r="H67" s="815"/>
      <c r="I67" s="827"/>
      <c r="J67" s="832" t="s">
        <v>666</v>
      </c>
      <c r="K67" s="836" t="e">
        <f>SUM(K51:K66)</f>
        <v>#REF!</v>
      </c>
      <c r="L67" s="839"/>
      <c r="M67" s="816"/>
      <c r="N67" s="817"/>
      <c r="O67" s="1433"/>
      <c r="P67" s="1434"/>
      <c r="Q67" s="1434"/>
      <c r="R67" s="1435"/>
      <c r="S67" s="811"/>
    </row>
    <row r="68" spans="1:79" ht="17.25" customHeight="1">
      <c r="A68" s="1568" t="s">
        <v>25</v>
      </c>
      <c r="B68" s="84" t="s">
        <v>0</v>
      </c>
      <c r="C68" s="1427" t="s">
        <v>633</v>
      </c>
      <c r="D68" s="1427"/>
      <c r="E68" s="1427"/>
      <c r="F68" s="827"/>
      <c r="G68" s="828"/>
      <c r="H68" s="815"/>
      <c r="I68" s="827"/>
      <c r="J68" s="828"/>
      <c r="K68" s="828"/>
      <c r="L68" s="828"/>
      <c r="M68" s="659"/>
      <c r="N68" s="415"/>
      <c r="O68" s="1437"/>
      <c r="P68" s="1438"/>
      <c r="Q68" s="1438"/>
      <c r="R68" s="1439"/>
      <c r="S68" s="876"/>
    </row>
    <row r="69" spans="1:79" ht="35.25" customHeight="1">
      <c r="A69" s="1570"/>
      <c r="B69" s="381" t="s">
        <v>43</v>
      </c>
      <c r="C69" s="1360" t="e">
        <f>#REF!</f>
        <v>#REF!</v>
      </c>
      <c r="D69" s="1360"/>
      <c r="E69" s="1360"/>
      <c r="F69" s="418" t="s">
        <v>1173</v>
      </c>
      <c r="G69" s="660" t="e">
        <f>#REF!</f>
        <v>#REF!</v>
      </c>
      <c r="H69" s="880"/>
      <c r="I69" s="418">
        <v>4</v>
      </c>
      <c r="J69" s="660" t="e">
        <f>#REF!</f>
        <v>#REF!</v>
      </c>
      <c r="K69" s="660" t="e">
        <f>#REF!</f>
        <v>#REF!</v>
      </c>
      <c r="L69" s="660" t="e">
        <f>#REF!</f>
        <v>#REF!</v>
      </c>
      <c r="M69" s="659" t="e">
        <f>#REF!</f>
        <v>#REF!</v>
      </c>
      <c r="N69" s="415" t="e">
        <f>#REF!</f>
        <v>#REF!</v>
      </c>
      <c r="O69" s="1437" t="e">
        <f>#REF!</f>
        <v>#REF!</v>
      </c>
      <c r="P69" s="1438"/>
      <c r="Q69" s="1438"/>
      <c r="R69" s="1439"/>
      <c r="S69" s="876" t="e">
        <f>#REF!</f>
        <v>#REF!</v>
      </c>
    </row>
    <row r="70" spans="1:79" ht="35.25" customHeight="1">
      <c r="A70" s="1126" t="s">
        <v>62</v>
      </c>
      <c r="B70" s="84" t="s">
        <v>0</v>
      </c>
      <c r="C70" s="1427" t="e">
        <f>#REF!</f>
        <v>#REF!</v>
      </c>
      <c r="D70" s="1427"/>
      <c r="E70" s="1427"/>
      <c r="F70" s="827" t="s">
        <v>731</v>
      </c>
      <c r="G70" s="828" t="e">
        <f>#REF!</f>
        <v>#REF!</v>
      </c>
      <c r="H70" s="815"/>
      <c r="I70" s="827">
        <v>3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415" t="e">
        <f>#REF!</f>
        <v>#REF!</v>
      </c>
      <c r="O70" s="1549" t="e">
        <f>#REF!</f>
        <v>#REF!</v>
      </c>
      <c r="P70" s="1550"/>
      <c r="Q70" s="1550"/>
      <c r="R70" s="1551"/>
      <c r="S70" s="893" t="e">
        <f>#REF!</f>
        <v>#REF!</v>
      </c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89"/>
      <c r="B71" s="381" t="s">
        <v>43</v>
      </c>
      <c r="C71" s="1360" t="e">
        <f>#REF!</f>
        <v>#REF!</v>
      </c>
      <c r="D71" s="1360"/>
      <c r="E71" s="1360"/>
      <c r="F71" s="418" t="s">
        <v>731</v>
      </c>
      <c r="G71" s="660" t="e">
        <f>#REF!</f>
        <v>#REF!</v>
      </c>
      <c r="H71" s="880"/>
      <c r="I71" s="418">
        <v>4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415" t="e">
        <f>#REF!</f>
        <v>#REF!</v>
      </c>
      <c r="O71" s="1549" t="e">
        <f>#REF!</f>
        <v>#REF!</v>
      </c>
      <c r="P71" s="1550"/>
      <c r="Q71" s="1550"/>
      <c r="R71" s="1551"/>
      <c r="S71" s="893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126" t="s">
        <v>640</v>
      </c>
      <c r="B72" s="84" t="s">
        <v>0</v>
      </c>
      <c r="C72" s="1427" t="e">
        <f>#REF!</f>
        <v>#REF!</v>
      </c>
      <c r="D72" s="1427"/>
      <c r="E72" s="1427"/>
      <c r="F72" s="827" t="s">
        <v>1174</v>
      </c>
      <c r="G72" s="828" t="e">
        <f>#REF!</f>
        <v>#REF!</v>
      </c>
      <c r="H72" s="815"/>
      <c r="I72" s="827">
        <v>4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34.5" customHeight="1">
      <c r="A73" s="1189"/>
      <c r="B73" s="881" t="s">
        <v>43</v>
      </c>
      <c r="C73" s="1360" t="e">
        <f>#REF!</f>
        <v>#REF!</v>
      </c>
      <c r="D73" s="1360"/>
      <c r="E73" s="1360"/>
      <c r="F73" s="418" t="s">
        <v>1174</v>
      </c>
      <c r="G73" s="660" t="e">
        <f>#REF!</f>
        <v>#REF!</v>
      </c>
      <c r="H73" s="880"/>
      <c r="I73" s="418">
        <v>3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17.25" customHeight="1">
      <c r="A74" s="1440" t="s">
        <v>26</v>
      </c>
      <c r="B74" s="84" t="s">
        <v>0</v>
      </c>
      <c r="C74" s="1427" t="e">
        <f>#REF!</f>
        <v>#REF!</v>
      </c>
      <c r="D74" s="1427"/>
      <c r="E74" s="1427"/>
      <c r="F74" s="827" t="s">
        <v>948</v>
      </c>
      <c r="G74" s="828" t="e">
        <f>#REF!</f>
        <v>#REF!</v>
      </c>
      <c r="H74" s="815"/>
      <c r="I74" s="827">
        <v>5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1"/>
      <c r="B75" s="881" t="s">
        <v>43</v>
      </c>
      <c r="C75" s="1360" t="s">
        <v>633</v>
      </c>
      <c r="D75" s="1360"/>
      <c r="E75" s="1360"/>
      <c r="F75" s="418"/>
      <c r="G75" s="660"/>
      <c r="H75" s="880"/>
      <c r="I75" s="418"/>
      <c r="J75" s="660"/>
      <c r="K75" s="660"/>
      <c r="L75" s="660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27</v>
      </c>
      <c r="B76" s="841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842"/>
      <c r="N77" s="415"/>
      <c r="O77" s="1442"/>
      <c r="P77" s="1443"/>
      <c r="Q77" s="1443"/>
      <c r="R77" s="1444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0" t="s">
        <v>641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54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642</v>
      </c>
      <c r="B80" s="84" t="s">
        <v>0</v>
      </c>
      <c r="C80" s="1427" t="s">
        <v>633</v>
      </c>
      <c r="D80" s="1427"/>
      <c r="E80" s="1427"/>
      <c r="F80" s="827"/>
      <c r="G80" s="828"/>
      <c r="H80" s="815"/>
      <c r="I80" s="827"/>
      <c r="J80" s="828"/>
      <c r="K80" s="828"/>
      <c r="L80" s="828"/>
      <c r="M80" s="816"/>
      <c r="N80" s="415"/>
      <c r="O80" s="1437"/>
      <c r="P80" s="1438"/>
      <c r="Q80" s="1438"/>
      <c r="R80" s="1439"/>
      <c r="S80" s="823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7"/>
      <c r="B81" s="881" t="s">
        <v>43</v>
      </c>
      <c r="C81" s="1360" t="s">
        <v>633</v>
      </c>
      <c r="D81" s="1360"/>
      <c r="E81" s="1360"/>
      <c r="F81" s="418"/>
      <c r="G81" s="660"/>
      <c r="H81" s="880"/>
      <c r="I81" s="418"/>
      <c r="J81" s="660"/>
      <c r="K81" s="660"/>
      <c r="L81" s="660"/>
      <c r="M81" s="816"/>
      <c r="N81" s="415"/>
      <c r="O81" s="1437"/>
      <c r="P81" s="1438"/>
      <c r="Q81" s="1438"/>
      <c r="R81" s="1439"/>
      <c r="S81" s="823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52.5" customHeight="1">
      <c r="A82" s="1126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735</v>
      </c>
      <c r="G82" s="828" t="e">
        <f>#REF!</f>
        <v>#REF!</v>
      </c>
      <c r="H82" s="815"/>
      <c r="I82" s="827">
        <v>6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554" t="e">
        <f>#REF!</f>
        <v>#REF!</v>
      </c>
      <c r="P82" s="1555"/>
      <c r="Q82" s="1555"/>
      <c r="R82" s="1556"/>
      <c r="S82" s="877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36" customHeight="1">
      <c r="A83" s="1127"/>
      <c r="B83" s="881" t="s">
        <v>43</v>
      </c>
      <c r="C83" s="1360" t="e">
        <f>#REF!</f>
        <v>#REF!</v>
      </c>
      <c r="D83" s="1360"/>
      <c r="E83" s="1360"/>
      <c r="F83" s="418" t="s">
        <v>735</v>
      </c>
      <c r="G83" s="660" t="e">
        <f>#REF!</f>
        <v>#REF!</v>
      </c>
      <c r="H83" s="880"/>
      <c r="I83" s="418">
        <v>9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554" t="e">
        <f>#REF!</f>
        <v>#REF!</v>
      </c>
      <c r="P83" s="1555"/>
      <c r="Q83" s="1555"/>
      <c r="R83" s="1556"/>
      <c r="S83" s="877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6" t="s">
        <v>651</v>
      </c>
      <c r="B84" s="84" t="s">
        <v>0</v>
      </c>
      <c r="C84" s="1427" t="e">
        <f>#REF!</f>
        <v>#REF!</v>
      </c>
      <c r="D84" s="1427"/>
      <c r="E84" s="1427"/>
      <c r="F84" s="827" t="s">
        <v>828</v>
      </c>
      <c r="G84" s="828" t="e">
        <f>#REF!</f>
        <v>#REF!</v>
      </c>
      <c r="H84" s="815"/>
      <c r="I84" s="827">
        <v>12</v>
      </c>
      <c r="J84" s="828" t="e">
        <f>#REF!</f>
        <v>#REF!</v>
      </c>
      <c r="K84" s="828" t="e">
        <f>#REF!</f>
        <v>#REF!</v>
      </c>
      <c r="L84" s="828" t="e">
        <f>#REF!</f>
        <v>#REF!</v>
      </c>
      <c r="M84" s="659" t="e">
        <f>#REF!</f>
        <v>#REF!</v>
      </c>
      <c r="N84" s="415" t="e">
        <f>#REF!</f>
        <v>#REF!</v>
      </c>
      <c r="O84" s="1437"/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27"/>
      <c r="B85" s="881" t="s">
        <v>43</v>
      </c>
      <c r="C85" s="1360" t="e">
        <f>#REF!</f>
        <v>#REF!</v>
      </c>
      <c r="D85" s="1360"/>
      <c r="E85" s="1360"/>
      <c r="F85" s="418" t="s">
        <v>828</v>
      </c>
      <c r="G85" s="660" t="e">
        <f>#REF!</f>
        <v>#REF!</v>
      </c>
      <c r="H85" s="880"/>
      <c r="I85" s="418">
        <v>14</v>
      </c>
      <c r="J85" s="660" t="e">
        <f>#REF!</f>
        <v>#REF!</v>
      </c>
      <c r="K85" s="660" t="e">
        <f>#REF!</f>
        <v>#REF!</v>
      </c>
      <c r="L85" s="660" t="e">
        <f>#REF!</f>
        <v>#REF!</v>
      </c>
      <c r="M85" s="659" t="e">
        <f>#REF!</f>
        <v>#REF!</v>
      </c>
      <c r="N85" s="415" t="e">
        <f>#REF!</f>
        <v>#REF!</v>
      </c>
      <c r="O85" s="1437"/>
      <c r="P85" s="1438"/>
      <c r="Q85" s="1438"/>
      <c r="R85" s="1439"/>
      <c r="S85" s="823" t="e">
        <f>#REF!</f>
        <v>#REF!</v>
      </c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SUM(K68:K85)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印401!I46</f>
        <v>0</v>
      </c>
      <c r="D88" s="1290"/>
      <c r="E88" s="1290"/>
      <c r="F88" s="1290"/>
      <c r="G88" s="1290"/>
      <c r="H88" s="849"/>
      <c r="I88" s="849">
        <f>印401!R46</f>
        <v>0</v>
      </c>
      <c r="J88" s="852">
        <f>印401!S46</f>
        <v>0</v>
      </c>
      <c r="K88" s="872">
        <f>印401!L46</f>
        <v>0</v>
      </c>
      <c r="L88" s="873">
        <f>印401!N46</f>
        <v>0</v>
      </c>
      <c r="M88" s="852">
        <f>印401!P46</f>
        <v>0</v>
      </c>
      <c r="N88" s="853">
        <f>印401!Q46</f>
        <v>0</v>
      </c>
      <c r="O88" s="1451"/>
      <c r="P88" s="1452"/>
      <c r="Q88" s="1452"/>
      <c r="R88" s="1453"/>
      <c r="S88" s="874">
        <f>印401!AB46</f>
        <v>0</v>
      </c>
    </row>
    <row r="89" spans="1:79" ht="18" customHeight="1">
      <c r="A89" s="1216"/>
      <c r="B89" s="84" t="s">
        <v>0</v>
      </c>
      <c r="C89" s="1290">
        <f>印401!I47</f>
        <v>0</v>
      </c>
      <c r="D89" s="1290"/>
      <c r="E89" s="1290"/>
      <c r="F89" s="1290"/>
      <c r="G89" s="1290"/>
      <c r="H89" s="849"/>
      <c r="I89" s="849">
        <f>印401!R47</f>
        <v>0</v>
      </c>
      <c r="J89" s="852">
        <f>印401!S47</f>
        <v>0</v>
      </c>
      <c r="K89" s="872">
        <f>印401!L47</f>
        <v>0</v>
      </c>
      <c r="L89" s="873">
        <f>印401!N47</f>
        <v>0</v>
      </c>
      <c r="M89" s="852">
        <f>印401!P47</f>
        <v>0</v>
      </c>
      <c r="N89" s="853">
        <f>印401!Q47</f>
        <v>0</v>
      </c>
      <c r="O89" s="1451"/>
      <c r="P89" s="1452"/>
      <c r="Q89" s="1452"/>
      <c r="R89" s="1453"/>
      <c r="S89" s="874">
        <f>印401!AB47</f>
        <v>0</v>
      </c>
    </row>
    <row r="90" spans="1:79" ht="18" customHeight="1">
      <c r="A90" s="1165"/>
      <c r="B90" s="881" t="s">
        <v>43</v>
      </c>
      <c r="C90" s="1454" t="e">
        <f>印401!#REF!</f>
        <v>#REF!</v>
      </c>
      <c r="D90" s="1454"/>
      <c r="E90" s="1454"/>
      <c r="F90" s="1454"/>
      <c r="G90" s="1454"/>
      <c r="H90" s="664"/>
      <c r="I90" s="664" t="e">
        <f>印401!#REF!</f>
        <v>#REF!</v>
      </c>
      <c r="J90" s="840" t="e">
        <f>印401!#REF!</f>
        <v>#REF!</v>
      </c>
      <c r="K90" s="424" t="e">
        <f>印401!#REF!</f>
        <v>#REF!</v>
      </c>
      <c r="L90" s="830" t="e">
        <f>印401!#REF!</f>
        <v>#REF!</v>
      </c>
      <c r="M90" s="840" t="e">
        <f>印401!#REF!</f>
        <v>#REF!</v>
      </c>
      <c r="N90" s="672" t="e">
        <f>印401!#REF!</f>
        <v>#REF!</v>
      </c>
      <c r="O90" s="1455"/>
      <c r="P90" s="1456"/>
      <c r="Q90" s="1456"/>
      <c r="R90" s="1457"/>
      <c r="S90" s="810" t="e">
        <f>印401!#REF!</f>
        <v>#REF!</v>
      </c>
    </row>
    <row r="91" spans="1:79" ht="18" customHeight="1">
      <c r="A91" s="1461">
        <v>402</v>
      </c>
      <c r="B91" s="84" t="s">
        <v>205</v>
      </c>
      <c r="C91" s="1290" t="s">
        <v>633</v>
      </c>
      <c r="D91" s="1290"/>
      <c r="E91" s="1290"/>
      <c r="F91" s="1290"/>
      <c r="G91" s="1290"/>
      <c r="H91" s="849"/>
      <c r="I91" s="849"/>
      <c r="J91" s="852"/>
      <c r="K91" s="872"/>
      <c r="L91" s="873"/>
      <c r="M91" s="852"/>
      <c r="N91" s="853"/>
      <c r="O91" s="1451"/>
      <c r="P91" s="1452"/>
      <c r="Q91" s="1452"/>
      <c r="R91" s="1453"/>
      <c r="S91" s="874"/>
    </row>
    <row r="92" spans="1:79" ht="18" customHeight="1">
      <c r="A92" s="1462"/>
      <c r="B92" s="881" t="s">
        <v>43</v>
      </c>
      <c r="C92" s="1454" t="s">
        <v>633</v>
      </c>
      <c r="D92" s="1454"/>
      <c r="E92" s="1454"/>
      <c r="F92" s="1454"/>
      <c r="G92" s="1454"/>
      <c r="H92" s="664"/>
      <c r="I92" s="664"/>
      <c r="J92" s="840"/>
      <c r="K92" s="424"/>
      <c r="L92" s="830"/>
      <c r="M92" s="840"/>
      <c r="N92" s="672"/>
      <c r="O92" s="1455"/>
      <c r="P92" s="1456"/>
      <c r="Q92" s="1456"/>
      <c r="R92" s="1457"/>
      <c r="S92" s="810"/>
    </row>
    <row r="93" spans="1:79" ht="17.25" customHeight="1">
      <c r="A93" s="1466">
        <v>403</v>
      </c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533"/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533"/>
      <c r="B96" s="24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7.25" customHeight="1">
      <c r="A97" s="1467"/>
      <c r="B97" s="881" t="s">
        <v>43</v>
      </c>
      <c r="C97" s="1454" t="s">
        <v>633</v>
      </c>
      <c r="D97" s="1454"/>
      <c r="E97" s="1454"/>
      <c r="F97" s="1454"/>
      <c r="G97" s="1454"/>
      <c r="H97" s="664"/>
      <c r="I97" s="664"/>
      <c r="J97" s="840"/>
      <c r="K97" s="424"/>
      <c r="L97" s="840"/>
      <c r="M97" s="840"/>
      <c r="N97" s="672"/>
      <c r="O97" s="1455"/>
      <c r="P97" s="1456"/>
      <c r="Q97" s="1456"/>
      <c r="R97" s="1457"/>
      <c r="S97" s="810"/>
    </row>
    <row r="98" spans="1:19" ht="18" customHeight="1">
      <c r="A98" s="1199">
        <v>405</v>
      </c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216"/>
      <c r="B99" s="84" t="s">
        <v>0</v>
      </c>
      <c r="C99" s="1290" t="e">
        <f>#REF!</f>
        <v>#REF!</v>
      </c>
      <c r="D99" s="1290"/>
      <c r="E99" s="1290"/>
      <c r="F99" s="1290"/>
      <c r="G99" s="1290"/>
      <c r="H99" s="849"/>
      <c r="I99" s="849" t="e">
        <f>#REF!</f>
        <v>#REF!</v>
      </c>
      <c r="J99" s="852" t="e">
        <f>#REF!</f>
        <v>#REF!</v>
      </c>
      <c r="K99" s="872" t="e">
        <f>#REF!</f>
        <v>#REF!</v>
      </c>
      <c r="L99" s="852" t="e">
        <f>#REF!</f>
        <v>#REF!</v>
      </c>
      <c r="M99" s="852" t="e">
        <f>#REF!</f>
        <v>#REF!</v>
      </c>
      <c r="N99" s="853" t="e">
        <f>#REF!</f>
        <v>#REF!</v>
      </c>
      <c r="O99" s="1451"/>
      <c r="P99" s="1452"/>
      <c r="Q99" s="1452"/>
      <c r="R99" s="1453"/>
      <c r="S99" s="874" t="e">
        <f>#REF!</f>
        <v>#REF!</v>
      </c>
    </row>
    <row r="100" spans="1:19" ht="18" customHeight="1">
      <c r="A100" s="1216"/>
      <c r="B100" s="84" t="s">
        <v>0</v>
      </c>
      <c r="C100" s="1290" t="e">
        <f>#REF!</f>
        <v>#REF!</v>
      </c>
      <c r="D100" s="1290"/>
      <c r="E100" s="1290"/>
      <c r="F100" s="1290"/>
      <c r="G100" s="1290"/>
      <c r="H100" s="849"/>
      <c r="I100" s="849" t="e">
        <f>#REF!</f>
        <v>#REF!</v>
      </c>
      <c r="J100" s="852" t="e">
        <f>#REF!</f>
        <v>#REF!</v>
      </c>
      <c r="K100" s="872" t="e">
        <f>#REF!</f>
        <v>#REF!</v>
      </c>
      <c r="L100" s="852" t="e">
        <f>#REF!</f>
        <v>#REF!</v>
      </c>
      <c r="M100" s="852" t="e">
        <f>#REF!</f>
        <v>#REF!</v>
      </c>
      <c r="N100" s="853" t="e">
        <f>#REF!</f>
        <v>#REF!</v>
      </c>
      <c r="O100" s="1451"/>
      <c r="P100" s="1452"/>
      <c r="Q100" s="1452"/>
      <c r="R100" s="1453"/>
      <c r="S100" s="874" t="e">
        <f>#REF!</f>
        <v>#REF!</v>
      </c>
    </row>
    <row r="101" spans="1:19" ht="18" customHeight="1">
      <c r="A101" s="1165"/>
      <c r="B101" s="881" t="s">
        <v>43</v>
      </c>
      <c r="C101" s="1454" t="e">
        <f>#REF!</f>
        <v>#REF!</v>
      </c>
      <c r="D101" s="1454"/>
      <c r="E101" s="1454"/>
      <c r="F101" s="1454"/>
      <c r="G101" s="1454"/>
      <c r="H101" s="664"/>
      <c r="I101" s="664" t="e">
        <f>#REF!</f>
        <v>#REF!</v>
      </c>
      <c r="J101" s="840" t="e">
        <f>#REF!</f>
        <v>#REF!</v>
      </c>
      <c r="K101" s="424" t="e">
        <f>#REF!</f>
        <v>#REF!</v>
      </c>
      <c r="L101" s="840" t="e">
        <f>#REF!</f>
        <v>#REF!</v>
      </c>
      <c r="M101" s="840" t="e">
        <f>#REF!</f>
        <v>#REF!</v>
      </c>
      <c r="N101" s="672" t="e">
        <f>#REF!</f>
        <v>#REF!</v>
      </c>
      <c r="O101" s="1455"/>
      <c r="P101" s="1456"/>
      <c r="Q101" s="1456"/>
      <c r="R101" s="1457"/>
      <c r="S101" s="810" t="e">
        <f>#REF!</f>
        <v>#REF!</v>
      </c>
    </row>
    <row r="102" spans="1:19" ht="18" customHeight="1">
      <c r="A102" s="314"/>
      <c r="B102" s="841"/>
      <c r="C102" s="1458"/>
      <c r="D102" s="1459"/>
      <c r="E102" s="1459"/>
      <c r="F102" s="1459"/>
      <c r="G102" s="1460"/>
      <c r="H102" s="849"/>
      <c r="I102" s="849"/>
      <c r="J102" s="834" t="s">
        <v>666</v>
      </c>
      <c r="K102" s="835" t="e">
        <f>SUM(K88:K101)</f>
        <v>#REF!</v>
      </c>
      <c r="L102" s="1599" t="s">
        <v>1175</v>
      </c>
      <c r="M102" s="1600"/>
      <c r="N102" s="1601"/>
      <c r="O102" s="886"/>
      <c r="P102" s="887"/>
      <c r="Q102" s="887"/>
      <c r="R102" s="888"/>
      <c r="S102" s="854"/>
    </row>
    <row r="103" spans="1:19" s="76" customFormat="1" ht="31.7" hidden="1" customHeight="1">
      <c r="A103" s="400" t="s">
        <v>425</v>
      </c>
      <c r="B103" s="400" t="s">
        <v>193</v>
      </c>
      <c r="C103" s="1282" t="e">
        <f>[1]印403!J91</f>
        <v>#REF!</v>
      </c>
      <c r="D103" s="1283"/>
      <c r="E103" s="1283"/>
      <c r="F103" s="1283"/>
      <c r="G103" s="1468"/>
      <c r="H103" s="242" t="s">
        <v>216</v>
      </c>
      <c r="I103" s="242" t="s">
        <v>12</v>
      </c>
      <c r="J103" s="242" t="s">
        <v>13</v>
      </c>
      <c r="K103" s="405" t="s">
        <v>218</v>
      </c>
      <c r="L103" s="427" t="s">
        <v>60</v>
      </c>
      <c r="M103" s="399" t="e">
        <f>[1]印403!O90</f>
        <v>#REF!</v>
      </c>
      <c r="N103" s="257" t="s">
        <v>45</v>
      </c>
      <c r="O103" s="1448" t="s">
        <v>29</v>
      </c>
      <c r="P103" s="1449"/>
      <c r="Q103" s="1449"/>
      <c r="R103" s="1450"/>
      <c r="S103" s="417" t="s">
        <v>57</v>
      </c>
    </row>
    <row r="104" spans="1:19" ht="15" hidden="1" customHeight="1">
      <c r="A104" s="1199" t="s">
        <v>426</v>
      </c>
      <c r="B104" s="84" t="s">
        <v>205</v>
      </c>
      <c r="C104" s="1282" t="e">
        <f>[1]印403!J92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[1]印403!O91</f>
        <v>#REF!</v>
      </c>
      <c r="N104" s="399"/>
      <c r="O104" s="1469"/>
      <c r="P104" s="1245"/>
      <c r="Q104" s="1245"/>
      <c r="R104" s="1246"/>
      <c r="S104" s="1470"/>
    </row>
    <row r="105" spans="1:19" ht="13.7" hidden="1" customHeight="1">
      <c r="A105" s="1216"/>
      <c r="B105" s="84" t="s">
        <v>205</v>
      </c>
      <c r="C105" s="1282" t="e">
        <f>[1]印403!J93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[1]印403!O92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[1]印403!J94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[1]印403!O93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[1]印403!J95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[1]印403!O94</f>
        <v>#REF!</v>
      </c>
      <c r="N107" s="425"/>
      <c r="O107" s="666"/>
      <c r="P107" s="667"/>
      <c r="Q107" s="667"/>
      <c r="R107" s="668"/>
      <c r="S107" s="1471"/>
    </row>
    <row r="108" spans="1:19" ht="15" hidden="1" customHeight="1">
      <c r="A108" s="1216"/>
      <c r="B108" s="84" t="s">
        <v>205</v>
      </c>
      <c r="C108" s="1282" t="e">
        <f>[1]印403!J96</f>
        <v>#REF!</v>
      </c>
      <c r="D108" s="1283"/>
      <c r="E108" s="1283"/>
      <c r="F108" s="1283"/>
      <c r="G108" s="1468"/>
      <c r="H108" s="663"/>
      <c r="I108" s="663"/>
      <c r="J108" s="399"/>
      <c r="K108" s="665"/>
      <c r="L108" s="673"/>
      <c r="M108" s="399" t="e">
        <f>[1]印403!O95</f>
        <v>#REF!</v>
      </c>
      <c r="N108" s="425"/>
      <c r="O108" s="669"/>
      <c r="P108" s="670"/>
      <c r="Q108" s="670"/>
      <c r="R108" s="671"/>
      <c r="S108" s="1471"/>
    </row>
    <row r="109" spans="1:19" ht="16.5" hidden="1" customHeight="1">
      <c r="A109" s="1216"/>
      <c r="B109" s="881" t="s">
        <v>43</v>
      </c>
      <c r="C109" s="1282" t="e">
        <f>[1]印403!J97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[1]印403!O96</f>
        <v>#REF!</v>
      </c>
      <c r="N109" s="672"/>
      <c r="O109" s="1476"/>
      <c r="P109" s="1477"/>
      <c r="Q109" s="1477"/>
      <c r="R109" s="1478"/>
      <c r="S109" s="1485"/>
    </row>
    <row r="110" spans="1:19" ht="15" hidden="1" customHeight="1">
      <c r="A110" s="1216"/>
      <c r="B110" s="881" t="s">
        <v>43</v>
      </c>
      <c r="C110" s="1282" t="e">
        <f>[1]印403!J98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[1]印403!O97</f>
        <v>#REF!</v>
      </c>
      <c r="N110" s="672"/>
      <c r="O110" s="1479"/>
      <c r="P110" s="1480"/>
      <c r="Q110" s="1480"/>
      <c r="R110" s="1481"/>
      <c r="S110" s="1485"/>
    </row>
    <row r="111" spans="1:19" ht="15" hidden="1" customHeight="1">
      <c r="A111" s="1216"/>
      <c r="B111" s="881" t="s">
        <v>43</v>
      </c>
      <c r="C111" s="1282" t="e">
        <f>[1]印403!J99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[1]印403!O98</f>
        <v>#REF!</v>
      </c>
      <c r="N111" s="672"/>
      <c r="O111" s="1479"/>
      <c r="P111" s="1480"/>
      <c r="Q111" s="1480"/>
      <c r="R111" s="1481"/>
      <c r="S111" s="1485"/>
    </row>
    <row r="112" spans="1:19" ht="15" hidden="1" customHeight="1">
      <c r="A112" s="1165"/>
      <c r="B112" s="881" t="s">
        <v>43</v>
      </c>
      <c r="C112" s="1282" t="e">
        <f>[1]印403!J100</f>
        <v>#REF!</v>
      </c>
      <c r="D112" s="1283"/>
      <c r="E112" s="1283"/>
      <c r="F112" s="1283"/>
      <c r="G112" s="1468"/>
      <c r="H112" s="664"/>
      <c r="I112" s="664"/>
      <c r="J112" s="840"/>
      <c r="K112" s="424"/>
      <c r="L112" s="426"/>
      <c r="M112" s="399" t="e">
        <f>[1]印403!O99</f>
        <v>#REF!</v>
      </c>
      <c r="N112" s="672"/>
      <c r="O112" s="1482"/>
      <c r="P112" s="1483"/>
      <c r="Q112" s="1483"/>
      <c r="R112" s="1484"/>
      <c r="S112" s="1486"/>
    </row>
    <row r="113" spans="1:20" ht="6" customHeight="1">
      <c r="A113" s="248"/>
      <c r="C113" s="249"/>
    </row>
    <row r="114" spans="1:20" ht="6" customHeight="1" thickBot="1">
      <c r="A114" s="248"/>
      <c r="C114" s="249"/>
    </row>
    <row r="115" spans="1:20" ht="15" customHeight="1" thickTop="1">
      <c r="A115" s="1472" t="s">
        <v>30</v>
      </c>
      <c r="B115" s="1473"/>
      <c r="C115" s="1473"/>
      <c r="D115" s="1473"/>
      <c r="E115" s="376">
        <v>1393400</v>
      </c>
      <c r="F115" s="75" t="s">
        <v>64</v>
      </c>
      <c r="G115" s="1472" t="s">
        <v>31</v>
      </c>
      <c r="H115" s="1473"/>
      <c r="I115" s="1473"/>
      <c r="J115" s="1473"/>
      <c r="K115" s="1473"/>
      <c r="L115" s="377">
        <v>570000</v>
      </c>
      <c r="M115" s="75" t="s">
        <v>64</v>
      </c>
      <c r="N115" s="1472" t="s">
        <v>32</v>
      </c>
      <c r="O115" s="1473"/>
      <c r="P115" s="1473"/>
      <c r="Q115" s="377">
        <v>1971500</v>
      </c>
      <c r="R115" s="75" t="s">
        <v>64</v>
      </c>
      <c r="S115" s="75"/>
    </row>
    <row r="116" spans="1:20" ht="15" customHeight="1" thickBot="1">
      <c r="A116" s="1474" t="s">
        <v>66</v>
      </c>
      <c r="B116" s="1475"/>
      <c r="C116" s="1475"/>
      <c r="D116" s="1475"/>
      <c r="E116" s="674">
        <f>(61+20+11)*1000</f>
        <v>92000</v>
      </c>
      <c r="G116" s="1474" t="s">
        <v>66</v>
      </c>
      <c r="H116" s="1475"/>
      <c r="I116" s="1475"/>
      <c r="J116" s="1475"/>
      <c r="K116" s="1475"/>
      <c r="L116" s="674">
        <v>0</v>
      </c>
      <c r="N116" s="1474" t="s">
        <v>33</v>
      </c>
      <c r="O116" s="1475"/>
      <c r="P116" s="1475"/>
      <c r="Q116" s="674">
        <f>(61+20+11)*1000</f>
        <v>92000</v>
      </c>
      <c r="R116" s="75"/>
      <c r="S116" s="75"/>
    </row>
    <row r="117" spans="1:20" ht="15" customHeight="1" thickTop="1" thickBot="1">
      <c r="A117" s="1487" t="s">
        <v>34</v>
      </c>
      <c r="B117" s="1488"/>
      <c r="C117" s="1488"/>
      <c r="D117" s="1488"/>
      <c r="E117" s="378">
        <f>E115+E116</f>
        <v>1485400</v>
      </c>
      <c r="F117" s="75" t="s">
        <v>64</v>
      </c>
      <c r="G117" s="1487" t="s">
        <v>35</v>
      </c>
      <c r="H117" s="1488"/>
      <c r="I117" s="1488"/>
      <c r="J117" s="1488"/>
      <c r="K117" s="1488"/>
      <c r="L117" s="379">
        <f>L115+L116</f>
        <v>570000</v>
      </c>
      <c r="M117" s="75" t="s">
        <v>64</v>
      </c>
      <c r="N117" s="1487" t="s">
        <v>36</v>
      </c>
      <c r="O117" s="1488"/>
      <c r="P117" s="1488"/>
      <c r="Q117" s="379">
        <f>Q115+Q116</f>
        <v>2063500</v>
      </c>
      <c r="R117" s="75" t="s">
        <v>64</v>
      </c>
      <c r="S117" s="75"/>
    </row>
    <row r="118" spans="1:20" ht="15" customHeight="1" thickTop="1" thickBot="1">
      <c r="E118" s="252">
        <f>印401!M64</f>
        <v>0</v>
      </c>
      <c r="L118" s="675" t="e">
        <f>#REF!</f>
        <v>#REF!</v>
      </c>
      <c r="O118" s="75"/>
      <c r="P118" s="75"/>
      <c r="Q118" s="675" t="e">
        <f>#REF!</f>
        <v>#REF!</v>
      </c>
      <c r="R118" s="75"/>
      <c r="S118" s="75"/>
    </row>
    <row r="119" spans="1:20" ht="15" customHeight="1" thickBot="1">
      <c r="A119" s="676" t="s">
        <v>37</v>
      </c>
      <c r="B119" s="677"/>
      <c r="C119" s="677"/>
      <c r="D119" s="678"/>
      <c r="E119" s="253">
        <f>印401!P64</f>
        <v>0</v>
      </c>
      <c r="F119" s="75" t="s">
        <v>64</v>
      </c>
      <c r="G119" s="676" t="s">
        <v>38</v>
      </c>
      <c r="H119" s="677"/>
      <c r="I119" s="677"/>
      <c r="J119" s="677"/>
      <c r="K119" s="677"/>
      <c r="L119" s="384" t="e">
        <f>#REF!</f>
        <v>#REF!</v>
      </c>
      <c r="M119" s="75" t="s">
        <v>64</v>
      </c>
      <c r="N119" s="676" t="s">
        <v>39</v>
      </c>
      <c r="O119" s="677"/>
      <c r="P119" s="677"/>
      <c r="Q119" s="384" t="e">
        <f>#REF!</f>
        <v>#REF!</v>
      </c>
      <c r="R119" s="75" t="s">
        <v>64</v>
      </c>
      <c r="S119" s="75"/>
    </row>
    <row r="120" spans="1:20" ht="3" customHeight="1" thickBot="1">
      <c r="J120" s="255"/>
      <c r="K120" s="256"/>
    </row>
    <row r="121" spans="1:20" ht="15" customHeight="1" thickTop="1">
      <c r="B121" s="1509" t="s">
        <v>69</v>
      </c>
      <c r="C121" s="1510"/>
      <c r="D121" s="1511" t="s">
        <v>305</v>
      </c>
      <c r="E121" s="1512"/>
      <c r="F121" s="1489" t="s">
        <v>306</v>
      </c>
      <c r="G121" s="1490"/>
      <c r="H121" s="1491" t="s">
        <v>307</v>
      </c>
      <c r="I121" s="1492"/>
      <c r="J121" s="1492"/>
      <c r="K121" s="1493"/>
      <c r="L121" s="1472" t="s">
        <v>657</v>
      </c>
      <c r="M121" s="1473"/>
      <c r="N121" s="1473"/>
      <c r="O121" s="377">
        <v>3799000</v>
      </c>
      <c r="P121" s="75" t="s">
        <v>64</v>
      </c>
      <c r="Q121" s="1496" t="s">
        <v>65</v>
      </c>
      <c r="R121" s="1497"/>
      <c r="S121" s="385">
        <v>38965001</v>
      </c>
    </row>
    <row r="122" spans="1:20" ht="15" customHeight="1" thickBot="1">
      <c r="B122" s="1498" t="s">
        <v>308</v>
      </c>
      <c r="C122" s="1499"/>
      <c r="D122" s="1500" t="e">
        <f>總表!D20</f>
        <v>#REF!</v>
      </c>
      <c r="E122" s="1501"/>
      <c r="F122" s="1502">
        <f>總表!E20</f>
        <v>1316871</v>
      </c>
      <c r="G122" s="1503"/>
      <c r="H122" s="1504" t="e">
        <f>(D122-F122)/D122</f>
        <v>#REF!</v>
      </c>
      <c r="I122" s="1505"/>
      <c r="J122" s="1505"/>
      <c r="K122" s="1506"/>
      <c r="L122" s="1474" t="s">
        <v>33</v>
      </c>
      <c r="M122" s="1475"/>
      <c r="N122" s="1475"/>
      <c r="O122" s="674">
        <f>(30+50+50)*1000</f>
        <v>130000</v>
      </c>
      <c r="P122" s="75"/>
      <c r="Q122" s="1507" t="s">
        <v>67</v>
      </c>
      <c r="R122" s="1508"/>
      <c r="S122" s="386" t="e">
        <f>SUM(L51:L85,L88:L101)</f>
        <v>#REF!</v>
      </c>
    </row>
    <row r="123" spans="1:20" ht="15" customHeight="1" thickTop="1" thickBot="1">
      <c r="B123" s="1513" t="s">
        <v>309</v>
      </c>
      <c r="C123" s="1514"/>
      <c r="D123" s="1515" t="e">
        <f>總表!C43</f>
        <v>#REF!</v>
      </c>
      <c r="E123" s="1516"/>
      <c r="F123" s="1502" t="e">
        <f>總表!F43</f>
        <v>#REF!</v>
      </c>
      <c r="G123" s="1503"/>
      <c r="H123" s="1504" t="e">
        <f>(D123-F123)/D123</f>
        <v>#REF!</v>
      </c>
      <c r="I123" s="1505"/>
      <c r="J123" s="1505"/>
      <c r="K123" s="1506"/>
      <c r="L123" s="1487" t="s">
        <v>658</v>
      </c>
      <c r="M123" s="1488"/>
      <c r="N123" s="1488"/>
      <c r="O123" s="379">
        <f>O121+O122</f>
        <v>3929000</v>
      </c>
      <c r="P123" s="75" t="s">
        <v>64</v>
      </c>
      <c r="Q123" s="1494" t="s">
        <v>68</v>
      </c>
      <c r="R123" s="1495"/>
      <c r="S123" s="387" t="e">
        <f>S121+S122</f>
        <v>#REF!</v>
      </c>
    </row>
    <row r="124" spans="1:20" ht="14.1" customHeight="1" thickTop="1" thickBot="1">
      <c r="B124" s="250" t="s">
        <v>310</v>
      </c>
      <c r="C124" s="250"/>
      <c r="D124" s="250"/>
      <c r="E124" s="233"/>
      <c r="O124" s="675" t="e">
        <f>#REF!</f>
        <v>#REF!</v>
      </c>
      <c r="P124" s="75"/>
      <c r="Q124" s="75"/>
      <c r="R124" s="254" t="e">
        <f>總表!E43+總表!E52</f>
        <v>#REF!</v>
      </c>
      <c r="S124" s="254" t="e">
        <f>R124-S123</f>
        <v>#REF!</v>
      </c>
    </row>
    <row r="125" spans="1:20" ht="17.25" customHeight="1" thickBot="1">
      <c r="B125" s="250" t="s">
        <v>40</v>
      </c>
      <c r="C125" s="233"/>
      <c r="D125" s="233"/>
      <c r="E125" s="233"/>
      <c r="F125" s="233"/>
      <c r="L125" s="676" t="s">
        <v>659</v>
      </c>
      <c r="M125" s="677"/>
      <c r="N125" s="677"/>
      <c r="O125" s="384" t="e">
        <f>#REF!</f>
        <v>#REF!</v>
      </c>
      <c r="P125" s="75" t="s">
        <v>64</v>
      </c>
      <c r="T125" s="233"/>
    </row>
    <row r="126" spans="1:20" ht="15.75" customHeight="1">
      <c r="B126" s="75" t="s">
        <v>41</v>
      </c>
      <c r="N126" s="233"/>
      <c r="S126" s="75"/>
    </row>
  </sheetData>
  <mergeCells count="301">
    <mergeCell ref="C97:G97"/>
    <mergeCell ref="O97:R97"/>
    <mergeCell ref="A93:A97"/>
    <mergeCell ref="C98:G98"/>
    <mergeCell ref="O98:R98"/>
    <mergeCell ref="A88:A90"/>
    <mergeCell ref="C93:G93"/>
    <mergeCell ref="O93:R93"/>
    <mergeCell ref="C94:G94"/>
    <mergeCell ref="O94:R94"/>
    <mergeCell ref="C95:G95"/>
    <mergeCell ref="O95:R95"/>
    <mergeCell ref="C90:G90"/>
    <mergeCell ref="O90:R90"/>
    <mergeCell ref="A91:A92"/>
    <mergeCell ref="C91:G91"/>
    <mergeCell ref="O91:R91"/>
    <mergeCell ref="C92:G92"/>
    <mergeCell ref="O92:R92"/>
    <mergeCell ref="A9:A11"/>
    <mergeCell ref="K10:M11"/>
    <mergeCell ref="S10:S11"/>
    <mergeCell ref="A16:A17"/>
    <mergeCell ref="G16:I16"/>
    <mergeCell ref="K16:M16"/>
    <mergeCell ref="O16:R16"/>
    <mergeCell ref="G17:I17"/>
    <mergeCell ref="G9:I9"/>
    <mergeCell ref="K9:M9"/>
    <mergeCell ref="O9:R9"/>
    <mergeCell ref="G10:I10"/>
    <mergeCell ref="O10:R10"/>
    <mergeCell ref="K17:M17"/>
    <mergeCell ref="O17:R17"/>
    <mergeCell ref="G11:I11"/>
    <mergeCell ref="O11:R11"/>
    <mergeCell ref="A14:A15"/>
    <mergeCell ref="G14:I14"/>
    <mergeCell ref="K14:M14"/>
    <mergeCell ref="O14:R14"/>
    <mergeCell ref="G15:I15"/>
    <mergeCell ref="K15:M15"/>
    <mergeCell ref="O15:R15"/>
    <mergeCell ref="B123:C123"/>
    <mergeCell ref="D123:E123"/>
    <mergeCell ref="F123:G123"/>
    <mergeCell ref="H123:K123"/>
    <mergeCell ref="L123:N123"/>
    <mergeCell ref="Q123:R123"/>
    <mergeCell ref="Q121:R121"/>
    <mergeCell ref="B122:C122"/>
    <mergeCell ref="D122:E122"/>
    <mergeCell ref="F122:G122"/>
    <mergeCell ref="H122:K122"/>
    <mergeCell ref="L122:N122"/>
    <mergeCell ref="Q122:R122"/>
    <mergeCell ref="A117:D117"/>
    <mergeCell ref="G117:K117"/>
    <mergeCell ref="N117:P117"/>
    <mergeCell ref="B121:C121"/>
    <mergeCell ref="D121:E121"/>
    <mergeCell ref="F121:G121"/>
    <mergeCell ref="H121:K121"/>
    <mergeCell ref="L121:N121"/>
    <mergeCell ref="A115:D115"/>
    <mergeCell ref="G115:K115"/>
    <mergeCell ref="N115:P115"/>
    <mergeCell ref="A116:D116"/>
    <mergeCell ref="G116:K116"/>
    <mergeCell ref="N116:P116"/>
    <mergeCell ref="S104:S108"/>
    <mergeCell ref="C105:G105"/>
    <mergeCell ref="C106:G106"/>
    <mergeCell ref="C107:G107"/>
    <mergeCell ref="C108:G108"/>
    <mergeCell ref="C109:G109"/>
    <mergeCell ref="O109:R112"/>
    <mergeCell ref="S109:S112"/>
    <mergeCell ref="C110:G110"/>
    <mergeCell ref="C111:G111"/>
    <mergeCell ref="C102:G102"/>
    <mergeCell ref="C103:G103"/>
    <mergeCell ref="O103:R103"/>
    <mergeCell ref="A104:A112"/>
    <mergeCell ref="C104:G104"/>
    <mergeCell ref="O104:R104"/>
    <mergeCell ref="C112:G112"/>
    <mergeCell ref="L102:N102"/>
    <mergeCell ref="C99:G99"/>
    <mergeCell ref="O99:R99"/>
    <mergeCell ref="C100:G100"/>
    <mergeCell ref="O100:R100"/>
    <mergeCell ref="C101:G101"/>
    <mergeCell ref="O101:R101"/>
    <mergeCell ref="A98:A101"/>
    <mergeCell ref="O86:R86"/>
    <mergeCell ref="C87:G87"/>
    <mergeCell ref="O87:R87"/>
    <mergeCell ref="C84:E84"/>
    <mergeCell ref="C96:G96"/>
    <mergeCell ref="O96:R96"/>
    <mergeCell ref="C88:G88"/>
    <mergeCell ref="O88:R88"/>
    <mergeCell ref="C89:G89"/>
    <mergeCell ref="O89:R89"/>
    <mergeCell ref="O84:R84"/>
    <mergeCell ref="A84:A85"/>
    <mergeCell ref="O76:R76"/>
    <mergeCell ref="C77:E77"/>
    <mergeCell ref="O77:R77"/>
    <mergeCell ref="A78:A79"/>
    <mergeCell ref="C78:E78"/>
    <mergeCell ref="O78:R78"/>
    <mergeCell ref="C79:E79"/>
    <mergeCell ref="O79:R79"/>
    <mergeCell ref="C85:E85"/>
    <mergeCell ref="O85:R85"/>
    <mergeCell ref="C75:E75"/>
    <mergeCell ref="A74:A75"/>
    <mergeCell ref="C74:E74"/>
    <mergeCell ref="O74:R74"/>
    <mergeCell ref="O75:R75"/>
    <mergeCell ref="C82:E82"/>
    <mergeCell ref="O82:R82"/>
    <mergeCell ref="A82:A83"/>
    <mergeCell ref="A76:A77"/>
    <mergeCell ref="C76:E76"/>
    <mergeCell ref="A80:A81"/>
    <mergeCell ref="C80:E80"/>
    <mergeCell ref="O80:R80"/>
    <mergeCell ref="C81:E81"/>
    <mergeCell ref="O81:R81"/>
    <mergeCell ref="A68:A69"/>
    <mergeCell ref="C68:E68"/>
    <mergeCell ref="O68:R68"/>
    <mergeCell ref="C69:E69"/>
    <mergeCell ref="O69:R69"/>
    <mergeCell ref="A72:A73"/>
    <mergeCell ref="C72:E72"/>
    <mergeCell ref="O72:R72"/>
    <mergeCell ref="C73:E73"/>
    <mergeCell ref="O73:R73"/>
    <mergeCell ref="A70:A71"/>
    <mergeCell ref="C70:E70"/>
    <mergeCell ref="O70:R70"/>
    <mergeCell ref="C71:E71"/>
    <mergeCell ref="O71:R71"/>
    <mergeCell ref="A65:A66"/>
    <mergeCell ref="C65:E65"/>
    <mergeCell ref="O65:R65"/>
    <mergeCell ref="C66:E66"/>
    <mergeCell ref="O66:R66"/>
    <mergeCell ref="O67:R67"/>
    <mergeCell ref="C62:E62"/>
    <mergeCell ref="A63:A64"/>
    <mergeCell ref="C63:E63"/>
    <mergeCell ref="O63:R63"/>
    <mergeCell ref="C64:E64"/>
    <mergeCell ref="O64:R64"/>
    <mergeCell ref="A61:A62"/>
    <mergeCell ref="C61:E61"/>
    <mergeCell ref="O61:R61"/>
    <mergeCell ref="O62:R62"/>
    <mergeCell ref="A57:A58"/>
    <mergeCell ref="C57:E57"/>
    <mergeCell ref="O57:R57"/>
    <mergeCell ref="C58:E58"/>
    <mergeCell ref="O58:R58"/>
    <mergeCell ref="A59:A60"/>
    <mergeCell ref="C59:E59"/>
    <mergeCell ref="O59:R59"/>
    <mergeCell ref="C60:E60"/>
    <mergeCell ref="O60:R60"/>
    <mergeCell ref="A53:A54"/>
    <mergeCell ref="C53:E53"/>
    <mergeCell ref="O53:R53"/>
    <mergeCell ref="C54:E54"/>
    <mergeCell ref="O54:R54"/>
    <mergeCell ref="A55:A56"/>
    <mergeCell ref="C55:E55"/>
    <mergeCell ref="O55:R55"/>
    <mergeCell ref="C56:E56"/>
    <mergeCell ref="O56:R56"/>
    <mergeCell ref="C48:E48"/>
    <mergeCell ref="M48:M50"/>
    <mergeCell ref="O48:R50"/>
    <mergeCell ref="A45:A50"/>
    <mergeCell ref="C46:E46"/>
    <mergeCell ref="S48:S50"/>
    <mergeCell ref="C49:E49"/>
    <mergeCell ref="C50:E50"/>
    <mergeCell ref="S42:S44"/>
    <mergeCell ref="C43:E43"/>
    <mergeCell ref="C44:E44"/>
    <mergeCell ref="C45:E45"/>
    <mergeCell ref="M45:M47"/>
    <mergeCell ref="O45:R47"/>
    <mergeCell ref="S45:S47"/>
    <mergeCell ref="C47:E47"/>
    <mergeCell ref="A39:A44"/>
    <mergeCell ref="C39:E39"/>
    <mergeCell ref="M39:M41"/>
    <mergeCell ref="O39:R41"/>
    <mergeCell ref="S39:S41"/>
    <mergeCell ref="C40:E40"/>
    <mergeCell ref="C41:E41"/>
    <mergeCell ref="C42:E42"/>
    <mergeCell ref="A32:A38"/>
    <mergeCell ref="C32:E32"/>
    <mergeCell ref="M32:M34"/>
    <mergeCell ref="O32:R34"/>
    <mergeCell ref="C36:E36"/>
    <mergeCell ref="C37:E37"/>
    <mergeCell ref="O25:R27"/>
    <mergeCell ref="S25:S27"/>
    <mergeCell ref="G26:I26"/>
    <mergeCell ref="G27:I27"/>
    <mergeCell ref="S32:S34"/>
    <mergeCell ref="C33:E33"/>
    <mergeCell ref="C34:E34"/>
    <mergeCell ref="C35:E35"/>
    <mergeCell ref="M35:M38"/>
    <mergeCell ref="O35:R38"/>
    <mergeCell ref="S35:S38"/>
    <mergeCell ref="C38:E38"/>
    <mergeCell ref="C31:E31"/>
    <mergeCell ref="O31:R31"/>
    <mergeCell ref="V51:X51"/>
    <mergeCell ref="C52:E52"/>
    <mergeCell ref="O52:R52"/>
    <mergeCell ref="V52:X52"/>
    <mergeCell ref="K18:M18"/>
    <mergeCell ref="O18:R18"/>
    <mergeCell ref="G19:I19"/>
    <mergeCell ref="O19:R19"/>
    <mergeCell ref="G20:I20"/>
    <mergeCell ref="O20:R20"/>
    <mergeCell ref="K19:M21"/>
    <mergeCell ref="O21:R21"/>
    <mergeCell ref="G28:I28"/>
    <mergeCell ref="K28:M30"/>
    <mergeCell ref="O28:R30"/>
    <mergeCell ref="G30:I30"/>
    <mergeCell ref="G21:I21"/>
    <mergeCell ref="G22:I22"/>
    <mergeCell ref="K22:M22"/>
    <mergeCell ref="O22:R22"/>
    <mergeCell ref="G23:I23"/>
    <mergeCell ref="K23:M23"/>
    <mergeCell ref="O23:R23"/>
    <mergeCell ref="G18:I18"/>
    <mergeCell ref="A12:A13"/>
    <mergeCell ref="G12:I12"/>
    <mergeCell ref="K12:M12"/>
    <mergeCell ref="O12:R12"/>
    <mergeCell ref="G13:I13"/>
    <mergeCell ref="K13:M13"/>
    <mergeCell ref="O13:R13"/>
    <mergeCell ref="S19:S21"/>
    <mergeCell ref="C83:E83"/>
    <mergeCell ref="O83:R83"/>
    <mergeCell ref="K24:M24"/>
    <mergeCell ref="O24:R24"/>
    <mergeCell ref="S28:S30"/>
    <mergeCell ref="G29:I29"/>
    <mergeCell ref="K25:M27"/>
    <mergeCell ref="A51:A52"/>
    <mergeCell ref="C51:E51"/>
    <mergeCell ref="O51:R51"/>
    <mergeCell ref="A18:A21"/>
    <mergeCell ref="A22:A23"/>
    <mergeCell ref="M42:M44"/>
    <mergeCell ref="A25:A30"/>
    <mergeCell ref="G25:I25"/>
    <mergeCell ref="O42:R44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A124"/>
  <sheetViews>
    <sheetView topLeftCell="L99" workbookViewId="0">
      <selection activeCell="S121" sqref="S121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5.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1187</v>
      </c>
      <c r="O2" s="1319"/>
      <c r="P2" s="1320"/>
      <c r="Q2" s="1318" t="s">
        <v>830</v>
      </c>
      <c r="R2" s="1320"/>
      <c r="S2" s="642" t="s">
        <v>998</v>
      </c>
    </row>
    <row r="3" spans="1:23" ht="90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1177</v>
      </c>
      <c r="O3" s="1319"/>
      <c r="P3" s="1320"/>
      <c r="Q3" s="1318" t="s">
        <v>1178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1179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45253</v>
      </c>
      <c r="D5" s="419" t="s">
        <v>1176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1186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521"/>
      <c r="P9" s="1522"/>
      <c r="Q9" s="1522"/>
      <c r="R9" s="1523"/>
      <c r="S9" s="892"/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524"/>
      <c r="L10" s="1525"/>
      <c r="M10" s="1526"/>
      <c r="N10" s="820"/>
      <c r="O10" s="1521"/>
      <c r="P10" s="1522"/>
      <c r="Q10" s="1522"/>
      <c r="R10" s="1523"/>
      <c r="S10" s="875"/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 t="s">
        <v>633</v>
      </c>
      <c r="E11" s="815"/>
      <c r="F11" s="815"/>
      <c r="G11" s="1311"/>
      <c r="H11" s="1312"/>
      <c r="I11" s="1313"/>
      <c r="J11" s="814"/>
      <c r="K11" s="1314"/>
      <c r="L11" s="1315"/>
      <c r="M11" s="1316"/>
      <c r="N11" s="820"/>
      <c r="O11" s="1308"/>
      <c r="P11" s="1309"/>
      <c r="Q11" s="1309"/>
      <c r="R11" s="1310"/>
      <c r="S11" s="822"/>
    </row>
    <row r="12" spans="1:23" ht="17.25" customHeight="1">
      <c r="A12" s="1326"/>
      <c r="B12" s="881" t="s">
        <v>207</v>
      </c>
      <c r="C12" s="422" t="s">
        <v>44</v>
      </c>
      <c r="D12" s="421" t="s">
        <v>633</v>
      </c>
      <c r="E12" s="880"/>
      <c r="F12" s="880"/>
      <c r="G12" s="1327"/>
      <c r="H12" s="1328"/>
      <c r="I12" s="1329"/>
      <c r="J12" s="423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71"/>
      <c r="O17" s="1364"/>
      <c r="P17" s="1365"/>
      <c r="Q17" s="1365"/>
      <c r="R17" s="1366"/>
      <c r="S17" s="822"/>
    </row>
    <row r="18" spans="1:19" ht="17.25" customHeight="1">
      <c r="A18" s="1371"/>
      <c r="B18" s="881" t="s">
        <v>43</v>
      </c>
      <c r="C18" s="422" t="s">
        <v>42</v>
      </c>
      <c r="D18" s="421" t="s">
        <v>633</v>
      </c>
      <c r="E18" s="880"/>
      <c r="F18" s="880"/>
      <c r="G18" s="1327"/>
      <c r="H18" s="1328"/>
      <c r="I18" s="1329"/>
      <c r="J18" s="423"/>
      <c r="K18" s="1541"/>
      <c r="L18" s="1542"/>
      <c r="M18" s="1543"/>
      <c r="N18" s="871"/>
      <c r="O18" s="1348"/>
      <c r="P18" s="1349"/>
      <c r="Q18" s="1349"/>
      <c r="R18" s="1350"/>
      <c r="S18" s="877"/>
    </row>
    <row r="19" spans="1:19" ht="17.25" customHeight="1">
      <c r="A19" s="1362" t="s">
        <v>418</v>
      </c>
      <c r="B19" s="84" t="s">
        <v>205</v>
      </c>
      <c r="C19" s="850" t="s">
        <v>44</v>
      </c>
      <c r="D19" s="649" t="s">
        <v>633</v>
      </c>
      <c r="E19" s="815"/>
      <c r="F19" s="815"/>
      <c r="G19" s="1311"/>
      <c r="H19" s="1312"/>
      <c r="I19" s="1313"/>
      <c r="J19" s="814"/>
      <c r="K19" s="1314"/>
      <c r="L19" s="1315"/>
      <c r="M19" s="1316"/>
      <c r="N19" s="871"/>
      <c r="O19" s="1364"/>
      <c r="P19" s="1365"/>
      <c r="Q19" s="1365"/>
      <c r="R19" s="1366"/>
      <c r="S19" s="822"/>
    </row>
    <row r="20" spans="1:19" ht="17.25" customHeight="1">
      <c r="A20" s="1363"/>
      <c r="B20" s="881" t="s">
        <v>43</v>
      </c>
      <c r="C20" s="422" t="s">
        <v>44</v>
      </c>
      <c r="D20" s="421" t="s">
        <v>633</v>
      </c>
      <c r="E20" s="880"/>
      <c r="F20" s="880"/>
      <c r="G20" s="1327"/>
      <c r="H20" s="1328"/>
      <c r="I20" s="1329"/>
      <c r="J20" s="423"/>
      <c r="K20" s="1314"/>
      <c r="L20" s="1315"/>
      <c r="M20" s="1316"/>
      <c r="N20" s="871"/>
      <c r="O20" s="1364"/>
      <c r="P20" s="1365"/>
      <c r="Q20" s="1365"/>
      <c r="R20" s="1366"/>
      <c r="S20" s="822"/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0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0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899</v>
      </c>
      <c r="G48" s="828" t="e">
        <f>#REF!</f>
        <v>#REF!</v>
      </c>
      <c r="H48" s="815"/>
      <c r="I48" s="827">
        <v>3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e">
        <f>#REF!</f>
        <v>#REF!</v>
      </c>
      <c r="D49" s="1360"/>
      <c r="E49" s="1360"/>
      <c r="F49" s="418" t="s">
        <v>899</v>
      </c>
      <c r="G49" s="660" t="e">
        <f>#REF!</f>
        <v>#REF!</v>
      </c>
      <c r="H49" s="880"/>
      <c r="I49" s="418">
        <v>3</v>
      </c>
      <c r="J49" s="660" t="e">
        <f>#REF!</f>
        <v>#REF!</v>
      </c>
      <c r="K49" s="660" t="e">
        <f>#REF!</f>
        <v>#REF!</v>
      </c>
      <c r="L49" s="660" t="e">
        <f>#REF!</f>
        <v>#REF!</v>
      </c>
      <c r="M49" s="661" t="e">
        <f>#REF!</f>
        <v>#REF!</v>
      </c>
      <c r="N49" s="662" t="e">
        <f>#REF!</f>
        <v>#REF!</v>
      </c>
      <c r="O49" s="1361" t="e">
        <f>#REF!</f>
        <v>#REF!</v>
      </c>
      <c r="P49" s="1361"/>
      <c r="Q49" s="1361"/>
      <c r="R49" s="1361"/>
      <c r="S49" s="822" t="e">
        <f>#REF!</f>
        <v>#REF!</v>
      </c>
      <c r="V49" s="1382" t="s">
        <v>633</v>
      </c>
      <c r="W49" s="1383"/>
      <c r="X49" s="1384"/>
    </row>
    <row r="50" spans="1:24" ht="17.25" customHeight="1">
      <c r="A50" s="1126" t="s">
        <v>22</v>
      </c>
      <c r="B50" s="84" t="s">
        <v>0</v>
      </c>
      <c r="C50" s="1427" t="s">
        <v>633</v>
      </c>
      <c r="D50" s="1427"/>
      <c r="E50" s="1427"/>
      <c r="F50" s="827"/>
      <c r="G50" s="852"/>
      <c r="H50" s="815"/>
      <c r="I50" s="827"/>
      <c r="J50" s="852"/>
      <c r="K50" s="885"/>
      <c r="L50" s="885"/>
      <c r="M50" s="863"/>
      <c r="N50" s="415"/>
      <c r="O50" s="1364"/>
      <c r="P50" s="1365"/>
      <c r="Q50" s="1365"/>
      <c r="R50" s="1366"/>
      <c r="S50" s="821"/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1171</v>
      </c>
      <c r="G51" s="840" t="e">
        <f>#REF!</f>
        <v>#REF!</v>
      </c>
      <c r="H51" s="880"/>
      <c r="I51" s="418">
        <v>3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17.2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3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53.25" customHeight="1">
      <c r="A53" s="1563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17.25" customHeight="1">
      <c r="A56" s="1126" t="s">
        <v>634</v>
      </c>
      <c r="B56" s="84" t="s">
        <v>0</v>
      </c>
      <c r="C56" s="1427" t="s">
        <v>633</v>
      </c>
      <c r="D56" s="1427"/>
      <c r="E56" s="1427"/>
      <c r="F56" s="827"/>
      <c r="G56" s="828"/>
      <c r="H56" s="815"/>
      <c r="I56" s="827"/>
      <c r="J56" s="828"/>
      <c r="K56" s="828"/>
      <c r="L56" s="828"/>
      <c r="M56" s="816"/>
      <c r="N56" s="817"/>
      <c r="O56" s="1430"/>
      <c r="P56" s="1431"/>
      <c r="Q56" s="1431"/>
      <c r="R56" s="1432"/>
      <c r="S56" s="822"/>
    </row>
    <row r="57" spans="1:24" ht="35.25" customHeight="1">
      <c r="A57" s="1127"/>
      <c r="B57" s="381" t="s">
        <v>43</v>
      </c>
      <c r="C57" s="1360" t="e">
        <f>#REF!</f>
        <v>#REF!</v>
      </c>
      <c r="D57" s="1360"/>
      <c r="E57" s="1360"/>
      <c r="F57" s="418" t="s">
        <v>775</v>
      </c>
      <c r="G57" s="660" t="e">
        <f>#REF!</f>
        <v>#REF!</v>
      </c>
      <c r="H57" s="880"/>
      <c r="I57" s="418">
        <v>4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95"/>
    </row>
    <row r="59" spans="1:24" ht="17.25" customHeight="1">
      <c r="A59" s="1189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8"/>
      <c r="O59" s="1333"/>
      <c r="P59" s="1334"/>
      <c r="Q59" s="1334"/>
      <c r="R59" s="1335"/>
      <c r="S59" s="855"/>
    </row>
    <row r="60" spans="1:24" ht="17.25" customHeight="1">
      <c r="A60" s="1126" t="s">
        <v>635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7"/>
      <c r="O60" s="1436"/>
      <c r="P60" s="1436"/>
      <c r="Q60" s="1436"/>
      <c r="R60" s="1436"/>
      <c r="S60" s="848"/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26" t="s">
        <v>636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21"/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35.25" customHeight="1">
      <c r="A65" s="1568" t="s">
        <v>25</v>
      </c>
      <c r="B65" s="84" t="s">
        <v>0</v>
      </c>
      <c r="C65" s="1427" t="e">
        <f>#REF!</f>
        <v>#REF!</v>
      </c>
      <c r="D65" s="1427"/>
      <c r="E65" s="1427"/>
      <c r="F65" s="827" t="s">
        <v>1039</v>
      </c>
      <c r="G65" s="828" t="e">
        <f>#REF!</f>
        <v>#REF!</v>
      </c>
      <c r="H65" s="815"/>
      <c r="I65" s="827">
        <v>5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659" t="e">
        <f>#REF!</f>
        <v>#REF!</v>
      </c>
      <c r="N65" s="415" t="e">
        <f>#REF!</f>
        <v>#REF!</v>
      </c>
      <c r="O65" s="1437" t="e">
        <f>#REF!</f>
        <v>#REF!</v>
      </c>
      <c r="P65" s="1438"/>
      <c r="Q65" s="1438"/>
      <c r="R65" s="1439"/>
      <c r="S65" s="876" t="e">
        <f>#REF!</f>
        <v>#REF!</v>
      </c>
    </row>
    <row r="66" spans="1:79" ht="35.25" customHeight="1">
      <c r="A66" s="1570"/>
      <c r="B66" s="381" t="s">
        <v>43</v>
      </c>
      <c r="C66" s="1360" t="e">
        <f>#REF!</f>
        <v>#REF!</v>
      </c>
      <c r="D66" s="1360"/>
      <c r="E66" s="1360"/>
      <c r="F66" s="418" t="s">
        <v>1039</v>
      </c>
      <c r="G66" s="660" t="e">
        <f>#REF!</f>
        <v>#REF!</v>
      </c>
      <c r="H66" s="880"/>
      <c r="I66" s="418">
        <v>5</v>
      </c>
      <c r="J66" s="660" t="e">
        <f>#REF!</f>
        <v>#REF!</v>
      </c>
      <c r="K66" s="660" t="e">
        <f>#REF!</f>
        <v>#REF!</v>
      </c>
      <c r="L66" s="660" t="e">
        <f>#REF!</f>
        <v>#REF!</v>
      </c>
      <c r="M66" s="659" t="e">
        <f>#REF!</f>
        <v>#REF!</v>
      </c>
      <c r="N66" s="415" t="e">
        <f>#REF!</f>
        <v>#REF!</v>
      </c>
      <c r="O66" s="1437" t="e">
        <f>#REF!</f>
        <v>#REF!</v>
      </c>
      <c r="P66" s="1438"/>
      <c r="Q66" s="1438"/>
      <c r="R66" s="1439"/>
      <c r="S66" s="876" t="e">
        <f>#REF!</f>
        <v>#REF!</v>
      </c>
    </row>
    <row r="67" spans="1:79" ht="35.25" customHeight="1">
      <c r="A67" s="1126" t="s">
        <v>62</v>
      </c>
      <c r="B67" s="84" t="s">
        <v>0</v>
      </c>
      <c r="C67" s="1427" t="e">
        <f>#REF!</f>
        <v>#REF!</v>
      </c>
      <c r="D67" s="1427"/>
      <c r="E67" s="1427"/>
      <c r="F67" s="827" t="s">
        <v>731</v>
      </c>
      <c r="G67" s="828" t="e">
        <f>#REF!</f>
        <v>#REF!</v>
      </c>
      <c r="H67" s="815"/>
      <c r="I67" s="827">
        <v>3</v>
      </c>
      <c r="J67" s="828" t="e">
        <f>#REF!</f>
        <v>#REF!</v>
      </c>
      <c r="K67" s="828" t="e">
        <f>#REF!</f>
        <v>#REF!</v>
      </c>
      <c r="L67" s="828" t="e">
        <f>#REF!</f>
        <v>#REF!</v>
      </c>
      <c r="M67" s="659" t="e">
        <f>#REF!</f>
        <v>#REF!</v>
      </c>
      <c r="N67" s="415" t="e">
        <f>#REF!</f>
        <v>#REF!</v>
      </c>
      <c r="O67" s="1549" t="e">
        <f>#REF!</f>
        <v>#REF!</v>
      </c>
      <c r="P67" s="1550"/>
      <c r="Q67" s="1550"/>
      <c r="R67" s="1551"/>
      <c r="S67" s="893" t="e">
        <f>#REF!</f>
        <v>#REF!</v>
      </c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34.5" customHeight="1">
      <c r="A68" s="1189"/>
      <c r="B68" s="381" t="s">
        <v>43</v>
      </c>
      <c r="C68" s="1360" t="e">
        <f>#REF!</f>
        <v>#REF!</v>
      </c>
      <c r="D68" s="1360"/>
      <c r="E68" s="1360"/>
      <c r="F68" s="418" t="s">
        <v>731</v>
      </c>
      <c r="G68" s="660" t="e">
        <f>#REF!</f>
        <v>#REF!</v>
      </c>
      <c r="H68" s="880"/>
      <c r="I68" s="418">
        <v>2</v>
      </c>
      <c r="J68" s="660" t="e">
        <f>#REF!</f>
        <v>#REF!</v>
      </c>
      <c r="K68" s="660" t="e">
        <f>#REF!</f>
        <v>#REF!</v>
      </c>
      <c r="L68" s="660" t="e">
        <f>#REF!</f>
        <v>#REF!</v>
      </c>
      <c r="M68" s="659" t="e">
        <f>#REF!</f>
        <v>#REF!</v>
      </c>
      <c r="N68" s="415" t="e">
        <f>#REF!</f>
        <v>#REF!</v>
      </c>
      <c r="O68" s="1549" t="e">
        <f>#REF!</f>
        <v>#REF!</v>
      </c>
      <c r="P68" s="1550"/>
      <c r="Q68" s="1550"/>
      <c r="R68" s="1551"/>
      <c r="S68" s="893" t="e">
        <f>#REF!</f>
        <v>#REF!</v>
      </c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26" t="s">
        <v>640</v>
      </c>
      <c r="B69" s="84" t="s">
        <v>0</v>
      </c>
      <c r="C69" s="1427" t="e">
        <f>#REF!</f>
        <v>#REF!</v>
      </c>
      <c r="D69" s="1427"/>
      <c r="E69" s="1427"/>
      <c r="F69" s="827" t="s">
        <v>1181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658" t="e">
        <f>#REF!</f>
        <v>#REF!</v>
      </c>
      <c r="O69" s="1437" t="e">
        <f>#REF!</f>
        <v>#REF!</v>
      </c>
      <c r="P69" s="1438"/>
      <c r="Q69" s="1438"/>
      <c r="R69" s="1439"/>
      <c r="S69" s="823" t="e">
        <f>#REF!</f>
        <v>#REF!</v>
      </c>
    </row>
    <row r="70" spans="1:79" ht="17.25" customHeight="1">
      <c r="A70" s="1189"/>
      <c r="B70" s="881" t="s">
        <v>43</v>
      </c>
      <c r="C70" s="1360" t="e">
        <f>#REF!</f>
        <v>#REF!</v>
      </c>
      <c r="D70" s="1360"/>
      <c r="E70" s="1360"/>
      <c r="F70" s="418" t="s">
        <v>1182</v>
      </c>
      <c r="G70" s="660" t="e">
        <f>#REF!</f>
        <v>#REF!</v>
      </c>
      <c r="H70" s="880"/>
      <c r="I70" s="418">
        <v>2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658" t="e">
        <f>#REF!</f>
        <v>#REF!</v>
      </c>
      <c r="O70" s="1554" t="e">
        <f>#REF!</f>
        <v>#REF!</v>
      </c>
      <c r="P70" s="1555"/>
      <c r="Q70" s="1555"/>
      <c r="R70" s="1556"/>
      <c r="S70" s="1552" t="e">
        <f>#REF!</f>
        <v>#REF!</v>
      </c>
    </row>
    <row r="71" spans="1:79" ht="17.25" customHeight="1">
      <c r="A71" s="1127"/>
      <c r="B71" s="881" t="s">
        <v>43</v>
      </c>
      <c r="C71" s="1360" t="e">
        <f>#REF!</f>
        <v>#REF!</v>
      </c>
      <c r="D71" s="1360"/>
      <c r="E71" s="1360"/>
      <c r="F71" s="418" t="s">
        <v>1183</v>
      </c>
      <c r="G71" s="660" t="e">
        <f>#REF!</f>
        <v>#REF!</v>
      </c>
      <c r="H71" s="880"/>
      <c r="I71" s="418">
        <v>1</v>
      </c>
      <c r="J71" s="660" t="e">
        <f>#REF!</f>
        <v>#REF!</v>
      </c>
      <c r="K71" s="660" t="e">
        <f>#REF!</f>
        <v>#REF!</v>
      </c>
      <c r="L71" s="660" t="e">
        <f>#REF!</f>
        <v>#REF!</v>
      </c>
      <c r="M71" s="659" t="e">
        <f>#REF!</f>
        <v>#REF!</v>
      </c>
      <c r="N71" s="658" t="e">
        <f>#REF!</f>
        <v>#REF!</v>
      </c>
      <c r="O71" s="1549" t="e">
        <f>#REF!</f>
        <v>#REF!</v>
      </c>
      <c r="P71" s="1550"/>
      <c r="Q71" s="1550"/>
      <c r="R71" s="1551"/>
      <c r="S71" s="1553"/>
    </row>
    <row r="72" spans="1:79" ht="17.25" customHeight="1">
      <c r="A72" s="1440" t="s">
        <v>26</v>
      </c>
      <c r="B72" s="84" t="s">
        <v>0</v>
      </c>
      <c r="C72" s="1427" t="s">
        <v>633</v>
      </c>
      <c r="D72" s="1427"/>
      <c r="E72" s="1427"/>
      <c r="F72" s="827"/>
      <c r="G72" s="828"/>
      <c r="H72" s="815"/>
      <c r="I72" s="827"/>
      <c r="J72" s="828"/>
      <c r="K72" s="828"/>
      <c r="L72" s="828"/>
      <c r="M72" s="842"/>
      <c r="N72" s="415"/>
      <c r="O72" s="1442"/>
      <c r="P72" s="1443"/>
      <c r="Q72" s="1443"/>
      <c r="R72" s="1444"/>
      <c r="S72" s="822"/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1"/>
      <c r="B73" s="881" t="s">
        <v>43</v>
      </c>
      <c r="C73" s="1360" t="s">
        <v>633</v>
      </c>
      <c r="D73" s="1360"/>
      <c r="E73" s="1360"/>
      <c r="F73" s="418"/>
      <c r="G73" s="660"/>
      <c r="H73" s="880"/>
      <c r="I73" s="418"/>
      <c r="J73" s="660"/>
      <c r="K73" s="660"/>
      <c r="L73" s="660"/>
      <c r="M73" s="842"/>
      <c r="N73" s="415"/>
      <c r="O73" s="1442"/>
      <c r="P73" s="1443"/>
      <c r="Q73" s="1443"/>
      <c r="R73" s="1444"/>
      <c r="S73" s="822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s">
        <v>633</v>
      </c>
      <c r="D74" s="1427"/>
      <c r="E74" s="1427"/>
      <c r="F74" s="827"/>
      <c r="G74" s="828"/>
      <c r="H74" s="815"/>
      <c r="I74" s="827"/>
      <c r="J74" s="828"/>
      <c r="K74" s="828"/>
      <c r="L74" s="828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547"/>
      <c r="B75" s="881" t="s">
        <v>43</v>
      </c>
      <c r="C75" s="1360" t="s">
        <v>633</v>
      </c>
      <c r="D75" s="1360"/>
      <c r="E75" s="1360"/>
      <c r="F75" s="418"/>
      <c r="G75" s="660"/>
      <c r="H75" s="880"/>
      <c r="I75" s="418"/>
      <c r="J75" s="660"/>
      <c r="K75" s="660"/>
      <c r="L75" s="660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e">
        <f>#REF!</f>
        <v>#REF!</v>
      </c>
      <c r="D78" s="1427"/>
      <c r="E78" s="1427"/>
      <c r="F78" s="827" t="s">
        <v>1184</v>
      </c>
      <c r="G78" s="828" t="e">
        <f>#REF!</f>
        <v>#REF!</v>
      </c>
      <c r="H78" s="815"/>
      <c r="I78" s="827">
        <v>0</v>
      </c>
      <c r="J78" s="828" t="e">
        <f>#REF!</f>
        <v>#REF!</v>
      </c>
      <c r="K78" s="828" t="e">
        <f>#REF!</f>
        <v>#REF!</v>
      </c>
      <c r="L78" s="828" t="e">
        <f>#REF!</f>
        <v>#REF!</v>
      </c>
      <c r="M78" s="816" t="e">
        <f>#REF!</f>
        <v>#REF!</v>
      </c>
      <c r="N78" s="415" t="e">
        <f>#REF!</f>
        <v>#REF!</v>
      </c>
      <c r="O78" s="1437" t="e">
        <f>#REF!</f>
        <v>#REF!</v>
      </c>
      <c r="P78" s="1438"/>
      <c r="Q78" s="1438"/>
      <c r="R78" s="1439"/>
      <c r="S78" s="823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643</v>
      </c>
      <c r="B80" s="84" t="s">
        <v>0</v>
      </c>
      <c r="C80" s="1427" t="s">
        <v>633</v>
      </c>
      <c r="D80" s="1427"/>
      <c r="E80" s="1427"/>
      <c r="F80" s="827"/>
      <c r="G80" s="828"/>
      <c r="H80" s="815"/>
      <c r="I80" s="827"/>
      <c r="J80" s="828"/>
      <c r="K80" s="828"/>
      <c r="L80" s="828"/>
      <c r="M80" s="659"/>
      <c r="N80" s="415"/>
      <c r="O80" s="1554"/>
      <c r="P80" s="1555"/>
      <c r="Q80" s="1555"/>
      <c r="R80" s="1556"/>
      <c r="S80" s="877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7"/>
      <c r="B81" s="881" t="s">
        <v>43</v>
      </c>
      <c r="C81" s="1360" t="s">
        <v>633</v>
      </c>
      <c r="D81" s="1360"/>
      <c r="E81" s="1360"/>
      <c r="F81" s="418"/>
      <c r="G81" s="660"/>
      <c r="H81" s="880"/>
      <c r="I81" s="418"/>
      <c r="J81" s="660"/>
      <c r="K81" s="660"/>
      <c r="L81" s="660"/>
      <c r="M81" s="659"/>
      <c r="N81" s="415"/>
      <c r="O81" s="1554"/>
      <c r="P81" s="1555"/>
      <c r="Q81" s="1555"/>
      <c r="R81" s="1556"/>
      <c r="S81" s="877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6" t="s">
        <v>651</v>
      </c>
      <c r="B82" s="84" t="s">
        <v>0</v>
      </c>
      <c r="C82" s="1427" t="e">
        <f>#REF!</f>
        <v>#REF!</v>
      </c>
      <c r="D82" s="1427"/>
      <c r="E82" s="1427"/>
      <c r="F82" s="827" t="s">
        <v>828</v>
      </c>
      <c r="G82" s="828" t="e">
        <f>#REF!</f>
        <v>#REF!</v>
      </c>
      <c r="H82" s="815"/>
      <c r="I82" s="827">
        <v>10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554" t="e">
        <f>#REF!</f>
        <v>#REF!</v>
      </c>
      <c r="P82" s="1555"/>
      <c r="Q82" s="1555"/>
      <c r="R82" s="1556"/>
      <c r="S82" s="1552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89"/>
      <c r="B83" s="84" t="s">
        <v>0</v>
      </c>
      <c r="C83" s="1427" t="e">
        <f>#REF!</f>
        <v>#REF!</v>
      </c>
      <c r="D83" s="1427"/>
      <c r="E83" s="1427"/>
      <c r="F83" s="827" t="s">
        <v>828</v>
      </c>
      <c r="G83" s="828" t="e">
        <f>#REF!</f>
        <v>#REF!</v>
      </c>
      <c r="H83" s="815"/>
      <c r="I83" s="827">
        <v>1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549"/>
      <c r="P83" s="1550"/>
      <c r="Q83" s="1550"/>
      <c r="R83" s="1551"/>
      <c r="S83" s="155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7"/>
      <c r="B84" s="881" t="s">
        <v>43</v>
      </c>
      <c r="C84" s="1360" t="e">
        <f>#REF!</f>
        <v>#REF!</v>
      </c>
      <c r="D84" s="1360"/>
      <c r="E84" s="1360"/>
      <c r="F84" s="418" t="s">
        <v>828</v>
      </c>
      <c r="G84" s="660" t="e">
        <f>#REF!</f>
        <v>#REF!</v>
      </c>
      <c r="H84" s="880"/>
      <c r="I84" s="418">
        <v>12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 t="e">
        <f>SUM(K65:K84)</f>
        <v>#REF!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>
        <f>印401!I48</f>
        <v>0</v>
      </c>
      <c r="D87" s="1290"/>
      <c r="E87" s="1290"/>
      <c r="F87" s="1290"/>
      <c r="G87" s="1290"/>
      <c r="H87" s="849"/>
      <c r="I87" s="849">
        <f>印401!R48</f>
        <v>0</v>
      </c>
      <c r="J87" s="852">
        <f>印401!S48</f>
        <v>0</v>
      </c>
      <c r="K87" s="872">
        <f>印401!L48</f>
        <v>0</v>
      </c>
      <c r="L87" s="873">
        <f>印401!N48</f>
        <v>0</v>
      </c>
      <c r="M87" s="852">
        <f>印401!P48</f>
        <v>0</v>
      </c>
      <c r="N87" s="853">
        <f>印401!Q48</f>
        <v>0</v>
      </c>
      <c r="O87" s="1451"/>
      <c r="P87" s="1452"/>
      <c r="Q87" s="1452"/>
      <c r="R87" s="1453"/>
      <c r="S87" s="874">
        <f>印401!AB48</f>
        <v>0</v>
      </c>
    </row>
    <row r="88" spans="1:79" ht="18" customHeight="1">
      <c r="A88" s="1216"/>
      <c r="B88" s="84" t="s">
        <v>0</v>
      </c>
      <c r="C88" s="1290">
        <f>印401!I49</f>
        <v>0</v>
      </c>
      <c r="D88" s="1290"/>
      <c r="E88" s="1290"/>
      <c r="F88" s="1290"/>
      <c r="G88" s="1290"/>
      <c r="H88" s="849"/>
      <c r="I88" s="849">
        <f>印401!R49</f>
        <v>0</v>
      </c>
      <c r="J88" s="852">
        <f>印401!S49</f>
        <v>0</v>
      </c>
      <c r="K88" s="872">
        <f>印401!L49</f>
        <v>0</v>
      </c>
      <c r="L88" s="873">
        <f>印401!N49</f>
        <v>0</v>
      </c>
      <c r="M88" s="852">
        <f>印401!P49</f>
        <v>0</v>
      </c>
      <c r="N88" s="853">
        <f>印401!Q49</f>
        <v>0</v>
      </c>
      <c r="O88" s="1451"/>
      <c r="P88" s="1452"/>
      <c r="Q88" s="1452"/>
      <c r="R88" s="1453"/>
      <c r="S88" s="874">
        <f>印401!AB49</f>
        <v>0</v>
      </c>
    </row>
    <row r="89" spans="1:79" ht="18" customHeight="1">
      <c r="A89" s="1216"/>
      <c r="B89" s="84" t="s">
        <v>0</v>
      </c>
      <c r="C89" s="1290">
        <f>印401!I50</f>
        <v>0</v>
      </c>
      <c r="D89" s="1290"/>
      <c r="E89" s="1290"/>
      <c r="F89" s="1290"/>
      <c r="G89" s="1290"/>
      <c r="H89" s="849"/>
      <c r="I89" s="849">
        <f>印401!R50</f>
        <v>0</v>
      </c>
      <c r="J89" s="852">
        <f>印401!S50</f>
        <v>0</v>
      </c>
      <c r="K89" s="872">
        <f>印401!L50</f>
        <v>0</v>
      </c>
      <c r="L89" s="873">
        <f>印401!N50</f>
        <v>0</v>
      </c>
      <c r="M89" s="852">
        <f>印401!P50</f>
        <v>0</v>
      </c>
      <c r="N89" s="853">
        <f>印401!Q50</f>
        <v>0</v>
      </c>
      <c r="O89" s="1451"/>
      <c r="P89" s="1452"/>
      <c r="Q89" s="1452"/>
      <c r="R89" s="1453"/>
      <c r="S89" s="874">
        <f>印401!AB50</f>
        <v>0</v>
      </c>
    </row>
    <row r="90" spans="1:79" ht="18" customHeight="1">
      <c r="A90" s="1165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461">
        <v>402</v>
      </c>
      <c r="B91" s="84" t="s">
        <v>205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73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571"/>
      <c r="B92" s="84" t="s">
        <v>205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73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467"/>
      <c r="B95" s="881" t="s">
        <v>43</v>
      </c>
      <c r="C95" s="1454" t="s">
        <v>633</v>
      </c>
      <c r="D95" s="1454"/>
      <c r="E95" s="1454"/>
      <c r="F95" s="1454"/>
      <c r="G95" s="1454"/>
      <c r="H95" s="664"/>
      <c r="I95" s="664"/>
      <c r="J95" s="840"/>
      <c r="K95" s="424"/>
      <c r="L95" s="840"/>
      <c r="M95" s="840"/>
      <c r="N95" s="672"/>
      <c r="O95" s="1455"/>
      <c r="P95" s="1456"/>
      <c r="Q95" s="1456"/>
      <c r="R95" s="1457"/>
      <c r="S95" s="810"/>
    </row>
    <row r="96" spans="1:79" ht="18" customHeight="1">
      <c r="A96" s="1199">
        <v>405</v>
      </c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216"/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216"/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165"/>
      <c r="B99" s="881" t="s">
        <v>43</v>
      </c>
      <c r="C99" s="1454" t="s">
        <v>633</v>
      </c>
      <c r="D99" s="1454"/>
      <c r="E99" s="1454"/>
      <c r="F99" s="1454"/>
      <c r="G99" s="1454"/>
      <c r="H99" s="664"/>
      <c r="I99" s="664"/>
      <c r="J99" s="840"/>
      <c r="K99" s="424"/>
      <c r="L99" s="840"/>
      <c r="M99" s="840"/>
      <c r="N99" s="672"/>
      <c r="O99" s="1455"/>
      <c r="P99" s="1456"/>
      <c r="Q99" s="1456"/>
      <c r="R99" s="1457"/>
      <c r="S99" s="810"/>
    </row>
    <row r="100" spans="1:19" ht="18" customHeight="1">
      <c r="A100" s="314"/>
      <c r="B100" s="841"/>
      <c r="C100" s="1458"/>
      <c r="D100" s="1459"/>
      <c r="E100" s="1459"/>
      <c r="F100" s="1459"/>
      <c r="G100" s="1460"/>
      <c r="H100" s="849"/>
      <c r="I100" s="849"/>
      <c r="J100" s="834" t="s">
        <v>666</v>
      </c>
      <c r="K100" s="835" t="e">
        <f>SUM(K87:K99)</f>
        <v>#REF!</v>
      </c>
      <c r="L100" s="1599" t="s">
        <v>1185</v>
      </c>
      <c r="M100" s="1600"/>
      <c r="N100" s="1601"/>
      <c r="O100" s="886"/>
      <c r="P100" s="887"/>
      <c r="Q100" s="887"/>
      <c r="R100" s="888"/>
      <c r="S100" s="854"/>
    </row>
    <row r="101" spans="1:19" s="76" customFormat="1" ht="31.7" hidden="1" customHeight="1">
      <c r="A101" s="400" t="s">
        <v>425</v>
      </c>
      <c r="B101" s="400" t="s">
        <v>193</v>
      </c>
      <c r="C101" s="1282" t="e">
        <f>[1]印403!J91</f>
        <v>#REF!</v>
      </c>
      <c r="D101" s="1283"/>
      <c r="E101" s="1283"/>
      <c r="F101" s="1283"/>
      <c r="G101" s="1468"/>
      <c r="H101" s="242" t="s">
        <v>216</v>
      </c>
      <c r="I101" s="242" t="s">
        <v>12</v>
      </c>
      <c r="J101" s="242" t="s">
        <v>13</v>
      </c>
      <c r="K101" s="405" t="s">
        <v>218</v>
      </c>
      <c r="L101" s="427" t="s">
        <v>60</v>
      </c>
      <c r="M101" s="399" t="e">
        <f>[1]印403!O90</f>
        <v>#REF!</v>
      </c>
      <c r="N101" s="257" t="s">
        <v>45</v>
      </c>
      <c r="O101" s="1448" t="s">
        <v>29</v>
      </c>
      <c r="P101" s="1449"/>
      <c r="Q101" s="1449"/>
      <c r="R101" s="1450"/>
      <c r="S101" s="417" t="s">
        <v>57</v>
      </c>
    </row>
    <row r="102" spans="1:19" ht="15" hidden="1" customHeight="1">
      <c r="A102" s="1199" t="s">
        <v>426</v>
      </c>
      <c r="B102" s="84" t="s">
        <v>205</v>
      </c>
      <c r="C102" s="1282" t="e">
        <f>[1]印403!J92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[1]印403!O91</f>
        <v>#REF!</v>
      </c>
      <c r="N102" s="399"/>
      <c r="O102" s="1469"/>
      <c r="P102" s="1245"/>
      <c r="Q102" s="1245"/>
      <c r="R102" s="1246"/>
      <c r="S102" s="1470"/>
    </row>
    <row r="103" spans="1:19" ht="13.7" hidden="1" customHeight="1">
      <c r="A103" s="1216"/>
      <c r="B103" s="84" t="s">
        <v>205</v>
      </c>
      <c r="C103" s="1282" t="e">
        <f>[1]印403!J93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[1]印403!O92</f>
        <v>#REF!</v>
      </c>
      <c r="N103" s="425"/>
      <c r="O103" s="666"/>
      <c r="P103" s="667"/>
      <c r="Q103" s="667"/>
      <c r="R103" s="668"/>
      <c r="S103" s="1471"/>
    </row>
    <row r="104" spans="1:19" ht="15" hidden="1" customHeight="1">
      <c r="A104" s="1216"/>
      <c r="B104" s="84" t="s">
        <v>205</v>
      </c>
      <c r="C104" s="1282" t="e">
        <f>[1]印403!J94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[1]印403!O93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[1]印403!J95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[1]印403!O94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[1]印403!J96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[1]印403!O95</f>
        <v>#REF!</v>
      </c>
      <c r="N106" s="425"/>
      <c r="O106" s="669"/>
      <c r="P106" s="670"/>
      <c r="Q106" s="670"/>
      <c r="R106" s="671"/>
      <c r="S106" s="1471"/>
    </row>
    <row r="107" spans="1:19" ht="16.5" hidden="1" customHeight="1">
      <c r="A107" s="1216"/>
      <c r="B107" s="881" t="s">
        <v>43</v>
      </c>
      <c r="C107" s="1282" t="e">
        <f>[1]印403!J97</f>
        <v>#REF!</v>
      </c>
      <c r="D107" s="1283"/>
      <c r="E107" s="1283"/>
      <c r="F107" s="1283"/>
      <c r="G107" s="1468"/>
      <c r="H107" s="664"/>
      <c r="I107" s="664"/>
      <c r="J107" s="840"/>
      <c r="K107" s="424"/>
      <c r="L107" s="426"/>
      <c r="M107" s="399" t="e">
        <f>[1]印403!O96</f>
        <v>#REF!</v>
      </c>
      <c r="N107" s="672"/>
      <c r="O107" s="1476"/>
      <c r="P107" s="1477"/>
      <c r="Q107" s="1477"/>
      <c r="R107" s="1478"/>
      <c r="S107" s="1485"/>
    </row>
    <row r="108" spans="1:19" ht="15" hidden="1" customHeight="1">
      <c r="A108" s="1216"/>
      <c r="B108" s="881" t="s">
        <v>43</v>
      </c>
      <c r="C108" s="1282" t="e">
        <f>[1]印403!J98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[1]印403!O97</f>
        <v>#REF!</v>
      </c>
      <c r="N108" s="672"/>
      <c r="O108" s="1479"/>
      <c r="P108" s="1480"/>
      <c r="Q108" s="1480"/>
      <c r="R108" s="1481"/>
      <c r="S108" s="1485"/>
    </row>
    <row r="109" spans="1:19" ht="15" hidden="1" customHeight="1">
      <c r="A109" s="1216"/>
      <c r="B109" s="881" t="s">
        <v>43</v>
      </c>
      <c r="C109" s="1282" t="e">
        <f>[1]印403!J99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[1]印403!O98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165"/>
      <c r="B110" s="881" t="s">
        <v>43</v>
      </c>
      <c r="C110" s="1282" t="e">
        <f>[1]印403!J100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[1]印403!O99</f>
        <v>#REF!</v>
      </c>
      <c r="N110" s="672"/>
      <c r="O110" s="1482"/>
      <c r="P110" s="1483"/>
      <c r="Q110" s="1483"/>
      <c r="R110" s="1484"/>
      <c r="S110" s="1486"/>
    </row>
    <row r="111" spans="1:19" ht="6" customHeight="1">
      <c r="A111" s="248"/>
      <c r="C111" s="249"/>
    </row>
    <row r="112" spans="1:19" ht="6" customHeight="1" thickBot="1">
      <c r="A112" s="248"/>
      <c r="C112" s="249"/>
    </row>
    <row r="113" spans="1:20" ht="15" customHeight="1" thickTop="1">
      <c r="A113" s="1472" t="s">
        <v>30</v>
      </c>
      <c r="B113" s="1473"/>
      <c r="C113" s="1473"/>
      <c r="D113" s="1473"/>
      <c r="E113" s="376">
        <v>1485400</v>
      </c>
      <c r="F113" s="75" t="s">
        <v>64</v>
      </c>
      <c r="G113" s="1472" t="s">
        <v>31</v>
      </c>
      <c r="H113" s="1473"/>
      <c r="I113" s="1473"/>
      <c r="J113" s="1473"/>
      <c r="K113" s="1473"/>
      <c r="L113" s="377">
        <v>570000</v>
      </c>
      <c r="M113" s="75" t="s">
        <v>64</v>
      </c>
      <c r="N113" s="1472" t="s">
        <v>32</v>
      </c>
      <c r="O113" s="1473"/>
      <c r="P113" s="1473"/>
      <c r="Q113" s="377">
        <v>2063500</v>
      </c>
      <c r="R113" s="75" t="s">
        <v>64</v>
      </c>
      <c r="S113" s="75"/>
    </row>
    <row r="114" spans="1:20" ht="15" customHeight="1" thickBot="1">
      <c r="A114" s="1474" t="s">
        <v>66</v>
      </c>
      <c r="B114" s="1475"/>
      <c r="C114" s="1475"/>
      <c r="D114" s="1475"/>
      <c r="E114" s="674">
        <f>(19+50+50)*1000</f>
        <v>119000</v>
      </c>
      <c r="G114" s="1474" t="s">
        <v>66</v>
      </c>
      <c r="H114" s="1475"/>
      <c r="I114" s="1475"/>
      <c r="J114" s="1475"/>
      <c r="K114" s="1475"/>
      <c r="L114" s="674">
        <f>(15*2000)+(25*1000)</f>
        <v>55000</v>
      </c>
      <c r="N114" s="1474" t="s">
        <v>33</v>
      </c>
      <c r="O114" s="1475"/>
      <c r="P114" s="1475"/>
      <c r="Q114" s="674">
        <f>150*1000</f>
        <v>150000</v>
      </c>
      <c r="R114" s="75"/>
      <c r="S114" s="75"/>
    </row>
    <row r="115" spans="1:20" ht="15" customHeight="1" thickTop="1" thickBot="1">
      <c r="A115" s="1487" t="s">
        <v>34</v>
      </c>
      <c r="B115" s="1488"/>
      <c r="C115" s="1488"/>
      <c r="D115" s="1488"/>
      <c r="E115" s="378">
        <f>E113+E114</f>
        <v>1604400</v>
      </c>
      <c r="F115" s="75" t="s">
        <v>64</v>
      </c>
      <c r="G115" s="1487" t="s">
        <v>35</v>
      </c>
      <c r="H115" s="1488"/>
      <c r="I115" s="1488"/>
      <c r="J115" s="1488"/>
      <c r="K115" s="1488"/>
      <c r="L115" s="379">
        <f>L113+L114</f>
        <v>625000</v>
      </c>
      <c r="M115" s="75" t="s">
        <v>64</v>
      </c>
      <c r="N115" s="1487" t="s">
        <v>36</v>
      </c>
      <c r="O115" s="1488"/>
      <c r="P115" s="1488"/>
      <c r="Q115" s="379">
        <f>Q113+Q114</f>
        <v>2213500</v>
      </c>
      <c r="R115" s="75" t="s">
        <v>64</v>
      </c>
      <c r="S115" s="75"/>
    </row>
    <row r="116" spans="1:20" ht="15" customHeight="1" thickTop="1" thickBot="1">
      <c r="E116" s="252">
        <f>印401!M64</f>
        <v>0</v>
      </c>
      <c r="L116" s="675" t="e">
        <f>#REF!</f>
        <v>#REF!</v>
      </c>
      <c r="O116" s="75"/>
      <c r="P116" s="75"/>
      <c r="Q116" s="675" t="e">
        <f>#REF!</f>
        <v>#REF!</v>
      </c>
      <c r="R116" s="75"/>
      <c r="S116" s="75"/>
    </row>
    <row r="117" spans="1:20" ht="15" customHeight="1" thickBot="1">
      <c r="A117" s="676" t="s">
        <v>37</v>
      </c>
      <c r="B117" s="677"/>
      <c r="C117" s="677"/>
      <c r="D117" s="678"/>
      <c r="E117" s="253">
        <f>印401!P64</f>
        <v>0</v>
      </c>
      <c r="F117" s="75" t="s">
        <v>64</v>
      </c>
      <c r="G117" s="676" t="s">
        <v>38</v>
      </c>
      <c r="H117" s="677"/>
      <c r="I117" s="677"/>
      <c r="J117" s="677"/>
      <c r="K117" s="677"/>
      <c r="L117" s="384" t="e">
        <f>#REF!</f>
        <v>#REF!</v>
      </c>
      <c r="M117" s="75" t="s">
        <v>64</v>
      </c>
      <c r="N117" s="676" t="s">
        <v>39</v>
      </c>
      <c r="O117" s="677"/>
      <c r="P117" s="677"/>
      <c r="Q117" s="384" t="e">
        <f>#REF!</f>
        <v>#REF!</v>
      </c>
      <c r="R117" s="75" t="s">
        <v>64</v>
      </c>
      <c r="S117" s="75"/>
    </row>
    <row r="118" spans="1:20" ht="3" customHeight="1" thickBot="1">
      <c r="J118" s="255"/>
      <c r="K118" s="256"/>
    </row>
    <row r="119" spans="1:20" ht="15" customHeight="1" thickTop="1">
      <c r="B119" s="1509" t="s">
        <v>69</v>
      </c>
      <c r="C119" s="1510"/>
      <c r="D119" s="1511" t="s">
        <v>305</v>
      </c>
      <c r="E119" s="1512"/>
      <c r="F119" s="1489" t="s">
        <v>306</v>
      </c>
      <c r="G119" s="1490"/>
      <c r="H119" s="1491" t="s">
        <v>307</v>
      </c>
      <c r="I119" s="1492"/>
      <c r="J119" s="1492"/>
      <c r="K119" s="1493"/>
      <c r="L119" s="1472" t="s">
        <v>657</v>
      </c>
      <c r="M119" s="1473"/>
      <c r="N119" s="1473"/>
      <c r="O119" s="377">
        <v>3929000</v>
      </c>
      <c r="P119" s="75" t="s">
        <v>64</v>
      </c>
      <c r="Q119" s="1496" t="s">
        <v>65</v>
      </c>
      <c r="R119" s="1497"/>
      <c r="S119" s="385">
        <v>41012809</v>
      </c>
    </row>
    <row r="120" spans="1:20" ht="15" customHeight="1" thickBot="1">
      <c r="B120" s="1498" t="s">
        <v>308</v>
      </c>
      <c r="C120" s="1499"/>
      <c r="D120" s="1500" t="e">
        <f>總表!D20</f>
        <v>#REF!</v>
      </c>
      <c r="E120" s="1501"/>
      <c r="F120" s="1502">
        <f>總表!E20</f>
        <v>1316871</v>
      </c>
      <c r="G120" s="1503"/>
      <c r="H120" s="1504" t="e">
        <f>(D120-F120)/D120</f>
        <v>#REF!</v>
      </c>
      <c r="I120" s="1505"/>
      <c r="J120" s="1505"/>
      <c r="K120" s="1506"/>
      <c r="L120" s="1474" t="s">
        <v>33</v>
      </c>
      <c r="M120" s="1475"/>
      <c r="N120" s="1475"/>
      <c r="O120" s="674">
        <f>((64+50)*600)+(18*1000)</f>
        <v>86400</v>
      </c>
      <c r="P120" s="75"/>
      <c r="Q120" s="1507" t="s">
        <v>67</v>
      </c>
      <c r="R120" s="1508"/>
      <c r="S120" s="386" t="e">
        <f>SUM(L48:L84,L87:L99)</f>
        <v>#REF!</v>
      </c>
    </row>
    <row r="121" spans="1:20" ht="15" customHeight="1" thickTop="1" thickBot="1">
      <c r="B121" s="1513" t="s">
        <v>309</v>
      </c>
      <c r="C121" s="1514"/>
      <c r="D121" s="1515" t="e">
        <f>總表!C43</f>
        <v>#REF!</v>
      </c>
      <c r="E121" s="1516"/>
      <c r="F121" s="1502" t="e">
        <f>總表!F43</f>
        <v>#REF!</v>
      </c>
      <c r="G121" s="1503"/>
      <c r="H121" s="1504" t="e">
        <f>(D121-F121)/D121</f>
        <v>#REF!</v>
      </c>
      <c r="I121" s="1505"/>
      <c r="J121" s="1505"/>
      <c r="K121" s="1506"/>
      <c r="L121" s="1487" t="s">
        <v>658</v>
      </c>
      <c r="M121" s="1488"/>
      <c r="N121" s="1488"/>
      <c r="O121" s="379">
        <f>O119+O120</f>
        <v>4015400</v>
      </c>
      <c r="P121" s="75" t="s">
        <v>64</v>
      </c>
      <c r="Q121" s="1494" t="s">
        <v>68</v>
      </c>
      <c r="R121" s="1495"/>
      <c r="S121" s="387" t="e">
        <f>S119+S120</f>
        <v>#REF!</v>
      </c>
    </row>
    <row r="122" spans="1:20" ht="14.1" customHeight="1" thickTop="1" thickBot="1">
      <c r="B122" s="250" t="s">
        <v>310</v>
      </c>
      <c r="C122" s="250"/>
      <c r="D122" s="250"/>
      <c r="E122" s="233"/>
      <c r="O122" s="675" t="e">
        <f>#REF!</f>
        <v>#REF!</v>
      </c>
      <c r="P122" s="75"/>
      <c r="Q122" s="75"/>
      <c r="R122" s="254" t="e">
        <f>總表!E43+總表!E52</f>
        <v>#REF!</v>
      </c>
      <c r="S122" s="254" t="e">
        <f>R122-S121</f>
        <v>#REF!</v>
      </c>
    </row>
    <row r="123" spans="1:20" ht="17.25" customHeight="1" thickBot="1">
      <c r="B123" s="250" t="s">
        <v>40</v>
      </c>
      <c r="C123" s="233"/>
      <c r="D123" s="233"/>
      <c r="E123" s="233"/>
      <c r="F123" s="233"/>
      <c r="L123" s="676" t="s">
        <v>659</v>
      </c>
      <c r="M123" s="677"/>
      <c r="N123" s="677"/>
      <c r="O123" s="384" t="e">
        <f>#REF!</f>
        <v>#REF!</v>
      </c>
      <c r="P123" s="75" t="s">
        <v>64</v>
      </c>
      <c r="T123" s="233"/>
    </row>
    <row r="124" spans="1:20" ht="15.75" customHeight="1">
      <c r="B124" s="75" t="s">
        <v>41</v>
      </c>
      <c r="N124" s="233"/>
      <c r="S124" s="75"/>
    </row>
  </sheetData>
  <mergeCells count="297">
    <mergeCell ref="C92:G92"/>
    <mergeCell ref="O92:R92"/>
    <mergeCell ref="C94:G94"/>
    <mergeCell ref="O94:R94"/>
    <mergeCell ref="A94:A95"/>
    <mergeCell ref="A91:A93"/>
    <mergeCell ref="C91:G91"/>
    <mergeCell ref="O91:R91"/>
    <mergeCell ref="C93:G93"/>
    <mergeCell ref="O93:R93"/>
    <mergeCell ref="C95:G95"/>
    <mergeCell ref="O95:R95"/>
    <mergeCell ref="C84:E84"/>
    <mergeCell ref="O84:R84"/>
    <mergeCell ref="A82:A84"/>
    <mergeCell ref="S82:S83"/>
    <mergeCell ref="C87:G87"/>
    <mergeCell ref="O87:R87"/>
    <mergeCell ref="O83:R83"/>
    <mergeCell ref="O85:R85"/>
    <mergeCell ref="C82:E82"/>
    <mergeCell ref="O82:R82"/>
    <mergeCell ref="C86:G86"/>
    <mergeCell ref="O86:R86"/>
    <mergeCell ref="C83:E83"/>
    <mergeCell ref="A87:A90"/>
    <mergeCell ref="C89:G89"/>
    <mergeCell ref="O89:R89"/>
    <mergeCell ref="C90:G90"/>
    <mergeCell ref="O90:R90"/>
    <mergeCell ref="C88:G88"/>
    <mergeCell ref="O88:R88"/>
    <mergeCell ref="V48:X48"/>
    <mergeCell ref="C49:E49"/>
    <mergeCell ref="O49:R49"/>
    <mergeCell ref="V49:X49"/>
    <mergeCell ref="A50:A51"/>
    <mergeCell ref="C50:E50"/>
    <mergeCell ref="O50:R50"/>
    <mergeCell ref="C51:E51"/>
    <mergeCell ref="O51:R51"/>
    <mergeCell ref="A48:A49"/>
    <mergeCell ref="B121:C121"/>
    <mergeCell ref="D121:E121"/>
    <mergeCell ref="F121:G121"/>
    <mergeCell ref="H121:K121"/>
    <mergeCell ref="L121:N121"/>
    <mergeCell ref="Q121:R121"/>
    <mergeCell ref="Q119:R119"/>
    <mergeCell ref="B120:C120"/>
    <mergeCell ref="D120:E120"/>
    <mergeCell ref="F120:G120"/>
    <mergeCell ref="H120:K120"/>
    <mergeCell ref="L120:N120"/>
    <mergeCell ref="Q120:R120"/>
    <mergeCell ref="A115:D115"/>
    <mergeCell ref="G115:K115"/>
    <mergeCell ref="N115:P115"/>
    <mergeCell ref="B119:C119"/>
    <mergeCell ref="D119:E119"/>
    <mergeCell ref="F119:G119"/>
    <mergeCell ref="H119:K119"/>
    <mergeCell ref="L119:N119"/>
    <mergeCell ref="A113:D113"/>
    <mergeCell ref="G113:K113"/>
    <mergeCell ref="N113:P113"/>
    <mergeCell ref="A114:D114"/>
    <mergeCell ref="G114:K114"/>
    <mergeCell ref="N114:P114"/>
    <mergeCell ref="S102:S106"/>
    <mergeCell ref="C103:G103"/>
    <mergeCell ref="C104:G104"/>
    <mergeCell ref="C105:G105"/>
    <mergeCell ref="C106:G106"/>
    <mergeCell ref="C107:G107"/>
    <mergeCell ref="O107:R110"/>
    <mergeCell ref="S107:S110"/>
    <mergeCell ref="C108:G108"/>
    <mergeCell ref="C109:G109"/>
    <mergeCell ref="C100:G100"/>
    <mergeCell ref="L100:N100"/>
    <mergeCell ref="C101:G101"/>
    <mergeCell ref="O101:R101"/>
    <mergeCell ref="A102:A110"/>
    <mergeCell ref="C102:G102"/>
    <mergeCell ref="O102:R102"/>
    <mergeCell ref="C110:G110"/>
    <mergeCell ref="C99:G99"/>
    <mergeCell ref="A96:A99"/>
    <mergeCell ref="C96:G96"/>
    <mergeCell ref="O96:R96"/>
    <mergeCell ref="C97:G97"/>
    <mergeCell ref="O97:R97"/>
    <mergeCell ref="C98:G98"/>
    <mergeCell ref="O98:R98"/>
    <mergeCell ref="O99:R99"/>
    <mergeCell ref="A78:A79"/>
    <mergeCell ref="C78:E78"/>
    <mergeCell ref="O78:R78"/>
    <mergeCell ref="C79:E79"/>
    <mergeCell ref="O79:R79"/>
    <mergeCell ref="A80:A81"/>
    <mergeCell ref="C80:E80"/>
    <mergeCell ref="O80:R80"/>
    <mergeCell ref="C81:E81"/>
    <mergeCell ref="O81:R81"/>
    <mergeCell ref="A69:A71"/>
    <mergeCell ref="A74:A75"/>
    <mergeCell ref="C74:E74"/>
    <mergeCell ref="O74:R74"/>
    <mergeCell ref="C75:E75"/>
    <mergeCell ref="O75:R75"/>
    <mergeCell ref="A76:A77"/>
    <mergeCell ref="C76:E76"/>
    <mergeCell ref="O76:R76"/>
    <mergeCell ref="C70:E70"/>
    <mergeCell ref="O70:R70"/>
    <mergeCell ref="C77:E77"/>
    <mergeCell ref="O77:R77"/>
    <mergeCell ref="A72:A73"/>
    <mergeCell ref="C72:E72"/>
    <mergeCell ref="O72:R72"/>
    <mergeCell ref="C73:E73"/>
    <mergeCell ref="O73:R73"/>
    <mergeCell ref="C71:E71"/>
    <mergeCell ref="O71:R71"/>
    <mergeCell ref="A67:A68"/>
    <mergeCell ref="C67:E67"/>
    <mergeCell ref="A58:A59"/>
    <mergeCell ref="C58:E58"/>
    <mergeCell ref="O58:R58"/>
    <mergeCell ref="C59:E59"/>
    <mergeCell ref="O59:R59"/>
    <mergeCell ref="O64:R64"/>
    <mergeCell ref="O67:R67"/>
    <mergeCell ref="C68:E68"/>
    <mergeCell ref="O68:R68"/>
    <mergeCell ref="O66:R66"/>
    <mergeCell ref="A60:A61"/>
    <mergeCell ref="C60:E60"/>
    <mergeCell ref="O60:R60"/>
    <mergeCell ref="A62:A63"/>
    <mergeCell ref="C62:E62"/>
    <mergeCell ref="O62:R62"/>
    <mergeCell ref="C63:E63"/>
    <mergeCell ref="O63:R63"/>
    <mergeCell ref="A52:A53"/>
    <mergeCell ref="C65:E65"/>
    <mergeCell ref="O65:R65"/>
    <mergeCell ref="C61:E61"/>
    <mergeCell ref="O61:R61"/>
    <mergeCell ref="A54:A55"/>
    <mergeCell ref="C54:E54"/>
    <mergeCell ref="O54:R54"/>
    <mergeCell ref="A65:A66"/>
    <mergeCell ref="C53:E53"/>
    <mergeCell ref="O53:R53"/>
    <mergeCell ref="C57:E57"/>
    <mergeCell ref="O57:R57"/>
    <mergeCell ref="C55:E55"/>
    <mergeCell ref="O55:R55"/>
    <mergeCell ref="A56:A57"/>
    <mergeCell ref="C56:E56"/>
    <mergeCell ref="O56:R56"/>
    <mergeCell ref="O39:R41"/>
    <mergeCell ref="S70:S71"/>
    <mergeCell ref="C45:E45"/>
    <mergeCell ref="M45:M47"/>
    <mergeCell ref="O45:R47"/>
    <mergeCell ref="S45:S47"/>
    <mergeCell ref="C46:E46"/>
    <mergeCell ref="C47:E47"/>
    <mergeCell ref="C48:E48"/>
    <mergeCell ref="O48:R48"/>
    <mergeCell ref="C66:E66"/>
    <mergeCell ref="C52:E52"/>
    <mergeCell ref="O52:R52"/>
    <mergeCell ref="C69:E69"/>
    <mergeCell ref="O69:R69"/>
    <mergeCell ref="O32:R35"/>
    <mergeCell ref="S32:S35"/>
    <mergeCell ref="C33:E33"/>
    <mergeCell ref="C34:E34"/>
    <mergeCell ref="C35:E35"/>
    <mergeCell ref="S39:S41"/>
    <mergeCell ref="C40:E40"/>
    <mergeCell ref="C41:E41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C28:E28"/>
    <mergeCell ref="O28:R28"/>
    <mergeCell ref="A29:A35"/>
    <mergeCell ref="C29:E29"/>
    <mergeCell ref="M29:M31"/>
    <mergeCell ref="O29:R31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A22:A27"/>
    <mergeCell ref="G22:I22"/>
    <mergeCell ref="K22:M24"/>
    <mergeCell ref="O22:R24"/>
    <mergeCell ref="S29:S31"/>
    <mergeCell ref="C30:E30"/>
    <mergeCell ref="C31:E31"/>
    <mergeCell ref="C32:E32"/>
    <mergeCell ref="M32:M35"/>
    <mergeCell ref="A19:A20"/>
    <mergeCell ref="G19:I19"/>
    <mergeCell ref="K19:M19"/>
    <mergeCell ref="O19:R19"/>
    <mergeCell ref="G20:I20"/>
    <mergeCell ref="K20:M20"/>
    <mergeCell ref="O20:R20"/>
    <mergeCell ref="K21:M21"/>
    <mergeCell ref="O21:R21"/>
    <mergeCell ref="A17:A18"/>
    <mergeCell ref="G17:I17"/>
    <mergeCell ref="K17:M17"/>
    <mergeCell ref="O17:R17"/>
    <mergeCell ref="G18:I18"/>
    <mergeCell ref="K18:M18"/>
    <mergeCell ref="O18:R18"/>
    <mergeCell ref="A15:A16"/>
    <mergeCell ref="G15:I15"/>
    <mergeCell ref="K15:M15"/>
    <mergeCell ref="O15:R15"/>
    <mergeCell ref="G16:I16"/>
    <mergeCell ref="K16:M16"/>
    <mergeCell ref="O16:R16"/>
    <mergeCell ref="A13:A14"/>
    <mergeCell ref="G13:I13"/>
    <mergeCell ref="K13:M13"/>
    <mergeCell ref="O13:R13"/>
    <mergeCell ref="G14:I14"/>
    <mergeCell ref="K14:M14"/>
    <mergeCell ref="O14:R14"/>
    <mergeCell ref="A11:A12"/>
    <mergeCell ref="G11:I11"/>
    <mergeCell ref="K11:M11"/>
    <mergeCell ref="O11:R11"/>
    <mergeCell ref="G12:I12"/>
    <mergeCell ref="K12:M12"/>
    <mergeCell ref="O12:R12"/>
    <mergeCell ref="A9:A10"/>
    <mergeCell ref="G9:I9"/>
    <mergeCell ref="K9:M9"/>
    <mergeCell ref="O9:R9"/>
    <mergeCell ref="G10:I10"/>
    <mergeCell ref="K10:M10"/>
    <mergeCell ref="O10:R10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A120"/>
  <sheetViews>
    <sheetView topLeftCell="A66" workbookViewId="0">
      <selection activeCell="B72" sqref="A72:IV73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5.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1187</v>
      </c>
      <c r="O2" s="1319"/>
      <c r="P2" s="1320"/>
      <c r="Q2" s="1318" t="s">
        <v>830</v>
      </c>
      <c r="R2" s="1320"/>
      <c r="S2" s="642" t="s">
        <v>1189</v>
      </c>
    </row>
    <row r="3" spans="1:23" ht="7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1190</v>
      </c>
      <c r="O3" s="1319"/>
      <c r="P3" s="1320"/>
      <c r="Q3" s="1318" t="s">
        <v>1191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853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45254</v>
      </c>
      <c r="D5" s="419" t="s">
        <v>1188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649" t="s">
        <v>633</v>
      </c>
      <c r="E9" s="815"/>
      <c r="F9" s="815"/>
      <c r="G9" s="1311"/>
      <c r="H9" s="1312"/>
      <c r="I9" s="1313"/>
      <c r="J9" s="814"/>
      <c r="K9" s="1314"/>
      <c r="L9" s="1315"/>
      <c r="M9" s="1316"/>
      <c r="N9" s="820"/>
      <c r="O9" s="1521"/>
      <c r="P9" s="1522"/>
      <c r="Q9" s="1522"/>
      <c r="R9" s="1523"/>
      <c r="S9" s="892"/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 t="s">
        <v>633</v>
      </c>
      <c r="E10" s="880"/>
      <c r="F10" s="880"/>
      <c r="G10" s="1327"/>
      <c r="H10" s="1328"/>
      <c r="I10" s="1329"/>
      <c r="J10" s="423"/>
      <c r="K10" s="1524"/>
      <c r="L10" s="1525"/>
      <c r="M10" s="1526"/>
      <c r="N10" s="820"/>
      <c r="O10" s="1521"/>
      <c r="P10" s="1522"/>
      <c r="Q10" s="1522"/>
      <c r="R10" s="1523"/>
      <c r="S10" s="875"/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 t="s">
        <v>633</v>
      </c>
      <c r="E11" s="815"/>
      <c r="F11" s="815"/>
      <c r="G11" s="1311"/>
      <c r="H11" s="1312"/>
      <c r="I11" s="1313"/>
      <c r="J11" s="814"/>
      <c r="K11" s="1314"/>
      <c r="L11" s="1315"/>
      <c r="M11" s="1316"/>
      <c r="N11" s="820"/>
      <c r="O11" s="1308"/>
      <c r="P11" s="1309"/>
      <c r="Q11" s="1309"/>
      <c r="R11" s="1310"/>
      <c r="S11" s="822"/>
    </row>
    <row r="12" spans="1:23" ht="17.25" customHeight="1">
      <c r="A12" s="1326"/>
      <c r="B12" s="881" t="s">
        <v>207</v>
      </c>
      <c r="C12" s="422" t="s">
        <v>44</v>
      </c>
      <c r="D12" s="421" t="s">
        <v>633</v>
      </c>
      <c r="E12" s="880"/>
      <c r="F12" s="880"/>
      <c r="G12" s="1327"/>
      <c r="H12" s="1328"/>
      <c r="I12" s="1329"/>
      <c r="J12" s="423"/>
      <c r="K12" s="1314"/>
      <c r="L12" s="1315"/>
      <c r="M12" s="1316"/>
      <c r="N12" s="820"/>
      <c r="O12" s="1308"/>
      <c r="P12" s="1309"/>
      <c r="Q12" s="1309"/>
      <c r="R12" s="1310"/>
      <c r="S12" s="822"/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71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71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71"/>
      <c r="O17" s="1364"/>
      <c r="P17" s="1365"/>
      <c r="Q17" s="1365"/>
      <c r="R17" s="1366"/>
      <c r="S17" s="822"/>
    </row>
    <row r="18" spans="1:19" ht="17.25" customHeight="1">
      <c r="A18" s="1371"/>
      <c r="B18" s="881" t="s">
        <v>43</v>
      </c>
      <c r="C18" s="422" t="s">
        <v>42</v>
      </c>
      <c r="D18" s="421" t="s">
        <v>633</v>
      </c>
      <c r="E18" s="880"/>
      <c r="F18" s="880"/>
      <c r="G18" s="1327"/>
      <c r="H18" s="1328"/>
      <c r="I18" s="1329"/>
      <c r="J18" s="423"/>
      <c r="K18" s="1541"/>
      <c r="L18" s="1542"/>
      <c r="M18" s="1543"/>
      <c r="N18" s="871"/>
      <c r="O18" s="1348"/>
      <c r="P18" s="1349"/>
      <c r="Q18" s="1349"/>
      <c r="R18" s="1350"/>
      <c r="S18" s="877"/>
    </row>
    <row r="19" spans="1:19" ht="17.25" customHeight="1">
      <c r="A19" s="1362" t="s">
        <v>418</v>
      </c>
      <c r="B19" s="84" t="s">
        <v>205</v>
      </c>
      <c r="C19" s="850" t="s">
        <v>44</v>
      </c>
      <c r="D19" s="649" t="s">
        <v>633</v>
      </c>
      <c r="E19" s="815"/>
      <c r="F19" s="815"/>
      <c r="G19" s="1311"/>
      <c r="H19" s="1312"/>
      <c r="I19" s="1313"/>
      <c r="J19" s="814"/>
      <c r="K19" s="1314"/>
      <c r="L19" s="1315"/>
      <c r="M19" s="1316"/>
      <c r="N19" s="871"/>
      <c r="O19" s="1364"/>
      <c r="P19" s="1365"/>
      <c r="Q19" s="1365"/>
      <c r="R19" s="1366"/>
      <c r="S19" s="822"/>
    </row>
    <row r="20" spans="1:19" ht="17.25" customHeight="1">
      <c r="A20" s="1363"/>
      <c r="B20" s="881" t="s">
        <v>43</v>
      </c>
      <c r="C20" s="422" t="s">
        <v>44</v>
      </c>
      <c r="D20" s="421" t="s">
        <v>633</v>
      </c>
      <c r="E20" s="880"/>
      <c r="F20" s="880"/>
      <c r="G20" s="1327"/>
      <c r="H20" s="1328"/>
      <c r="I20" s="1329"/>
      <c r="J20" s="423"/>
      <c r="K20" s="1314"/>
      <c r="L20" s="1315"/>
      <c r="M20" s="1316"/>
      <c r="N20" s="871"/>
      <c r="O20" s="1364"/>
      <c r="P20" s="1365"/>
      <c r="Q20" s="1365"/>
      <c r="R20" s="1366"/>
      <c r="S20" s="822"/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0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0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899</v>
      </c>
      <c r="G48" s="828" t="e">
        <f>#REF!</f>
        <v>#REF!</v>
      </c>
      <c r="H48" s="815"/>
      <c r="I48" s="827">
        <v>3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e">
        <f>#REF!</f>
        <v>#REF!</v>
      </c>
      <c r="D49" s="1360"/>
      <c r="E49" s="1360"/>
      <c r="F49" s="418" t="s">
        <v>899</v>
      </c>
      <c r="G49" s="660" t="e">
        <f>#REF!</f>
        <v>#REF!</v>
      </c>
      <c r="H49" s="880"/>
      <c r="I49" s="418">
        <v>3</v>
      </c>
      <c r="J49" s="660" t="e">
        <f>#REF!</f>
        <v>#REF!</v>
      </c>
      <c r="K49" s="660" t="e">
        <f>#REF!</f>
        <v>#REF!</v>
      </c>
      <c r="L49" s="660" t="e">
        <f>#REF!</f>
        <v>#REF!</v>
      </c>
      <c r="M49" s="661" t="e">
        <f>#REF!</f>
        <v>#REF!</v>
      </c>
      <c r="N49" s="662" t="e">
        <f>#REF!</f>
        <v>#REF!</v>
      </c>
      <c r="O49" s="1361" t="e">
        <f>#REF!</f>
        <v>#REF!</v>
      </c>
      <c r="P49" s="1361"/>
      <c r="Q49" s="1361"/>
      <c r="R49" s="1361"/>
      <c r="S49" s="822" t="e">
        <f>#REF!</f>
        <v>#REF!</v>
      </c>
      <c r="V49" s="1382" t="s">
        <v>633</v>
      </c>
      <c r="W49" s="1383"/>
      <c r="X49" s="1384"/>
    </row>
    <row r="50" spans="1:24" ht="17.25" customHeight="1">
      <c r="A50" s="1126" t="s">
        <v>22</v>
      </c>
      <c r="B50" s="84" t="s">
        <v>0</v>
      </c>
      <c r="C50" s="1427" t="s">
        <v>633</v>
      </c>
      <c r="D50" s="1427"/>
      <c r="E50" s="1427"/>
      <c r="F50" s="827"/>
      <c r="G50" s="852"/>
      <c r="H50" s="815"/>
      <c r="I50" s="827"/>
      <c r="J50" s="852"/>
      <c r="K50" s="885"/>
      <c r="L50" s="885"/>
      <c r="M50" s="863"/>
      <c r="N50" s="415"/>
      <c r="O50" s="1364"/>
      <c r="P50" s="1365"/>
      <c r="Q50" s="1365"/>
      <c r="R50" s="1366"/>
      <c r="S50" s="821"/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1171</v>
      </c>
      <c r="G51" s="840" t="e">
        <f>#REF!</f>
        <v>#REF!</v>
      </c>
      <c r="H51" s="880"/>
      <c r="I51" s="418">
        <v>3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17.2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3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17.25" customHeight="1">
      <c r="A53" s="1563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17.25" customHeight="1">
      <c r="A55" s="1127"/>
      <c r="B55" s="381" t="s">
        <v>43</v>
      </c>
      <c r="C55" s="1360" t="s">
        <v>633</v>
      </c>
      <c r="D55" s="1360"/>
      <c r="E55" s="1360"/>
      <c r="F55" s="418"/>
      <c r="G55" s="660"/>
      <c r="H55" s="880"/>
      <c r="I55" s="418"/>
      <c r="J55" s="660"/>
      <c r="K55" s="660"/>
      <c r="L55" s="660"/>
      <c r="M55" s="661"/>
      <c r="N55" s="662"/>
      <c r="O55" s="1361"/>
      <c r="P55" s="1361"/>
      <c r="Q55" s="1361"/>
      <c r="R55" s="1361"/>
      <c r="S55" s="877"/>
    </row>
    <row r="56" spans="1:24" ht="35.25" customHeight="1">
      <c r="A56" s="1126" t="s">
        <v>634</v>
      </c>
      <c r="B56" s="84" t="s">
        <v>0</v>
      </c>
      <c r="C56" s="1427" t="e">
        <f>#REF!</f>
        <v>#REF!</v>
      </c>
      <c r="D56" s="1427"/>
      <c r="E56" s="1427"/>
      <c r="F56" s="827" t="s">
        <v>775</v>
      </c>
      <c r="G56" s="828" t="e">
        <f>#REF!</f>
        <v>#REF!</v>
      </c>
      <c r="H56" s="815"/>
      <c r="I56" s="827">
        <v>4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16" t="e">
        <f>#REF!</f>
        <v>#REF!</v>
      </c>
      <c r="N56" s="817" t="e">
        <f>#REF!</f>
        <v>#REF!</v>
      </c>
      <c r="O56" s="1430" t="e">
        <f>#REF!</f>
        <v>#REF!</v>
      </c>
      <c r="P56" s="1431"/>
      <c r="Q56" s="1431"/>
      <c r="R56" s="1432"/>
      <c r="S56" s="822" t="e">
        <f>#REF!</f>
        <v>#REF!</v>
      </c>
    </row>
    <row r="57" spans="1:24" ht="17.25" customHeight="1">
      <c r="A57" s="1127"/>
      <c r="B57" s="381" t="s">
        <v>43</v>
      </c>
      <c r="C57" s="1360" t="e">
        <f>#REF!</f>
        <v>#REF!</v>
      </c>
      <c r="D57" s="1360"/>
      <c r="E57" s="1360"/>
      <c r="F57" s="418" t="s">
        <v>775</v>
      </c>
      <c r="G57" s="660" t="e">
        <f>#REF!</f>
        <v>#REF!</v>
      </c>
      <c r="H57" s="880"/>
      <c r="I57" s="418">
        <v>5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95"/>
    </row>
    <row r="59" spans="1:24" ht="17.25" customHeight="1">
      <c r="A59" s="1189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8"/>
      <c r="O59" s="1333"/>
      <c r="P59" s="1334"/>
      <c r="Q59" s="1334"/>
      <c r="R59" s="1335"/>
      <c r="S59" s="855"/>
    </row>
    <row r="60" spans="1:24" ht="17.25" customHeight="1">
      <c r="A60" s="1126" t="s">
        <v>635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7"/>
      <c r="O60" s="1436"/>
      <c r="P60" s="1436"/>
      <c r="Q60" s="1436"/>
      <c r="R60" s="1436"/>
      <c r="S60" s="848"/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26" t="s">
        <v>636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21"/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35.25" customHeight="1">
      <c r="A65" s="1568" t="s">
        <v>25</v>
      </c>
      <c r="B65" s="84" t="s">
        <v>0</v>
      </c>
      <c r="C65" s="1427" t="e">
        <f>#REF!</f>
        <v>#REF!</v>
      </c>
      <c r="D65" s="1427"/>
      <c r="E65" s="1427"/>
      <c r="F65" s="827" t="s">
        <v>1039</v>
      </c>
      <c r="G65" s="828" t="e">
        <f>#REF!</f>
        <v>#REF!</v>
      </c>
      <c r="H65" s="815"/>
      <c r="I65" s="827">
        <v>3</v>
      </c>
      <c r="J65" s="828" t="e">
        <f>#REF!</f>
        <v>#REF!</v>
      </c>
      <c r="K65" s="828" t="e">
        <f>#REF!</f>
        <v>#REF!</v>
      </c>
      <c r="L65" s="828" t="e">
        <f>#REF!</f>
        <v>#REF!</v>
      </c>
      <c r="M65" s="659" t="e">
        <f>#REF!</f>
        <v>#REF!</v>
      </c>
      <c r="N65" s="415" t="e">
        <f>#REF!</f>
        <v>#REF!</v>
      </c>
      <c r="O65" s="1437" t="e">
        <f>#REF!</f>
        <v>#REF!</v>
      </c>
      <c r="P65" s="1438"/>
      <c r="Q65" s="1438"/>
      <c r="R65" s="1439"/>
      <c r="S65" s="876" t="e">
        <f>#REF!</f>
        <v>#REF!</v>
      </c>
    </row>
    <row r="66" spans="1:79" ht="17.25" customHeight="1">
      <c r="A66" s="1570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126" t="s">
        <v>62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549"/>
      <c r="P67" s="1550"/>
      <c r="Q67" s="1550"/>
      <c r="R67" s="1551"/>
      <c r="S67" s="893"/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17.25" customHeight="1">
      <c r="A68" s="1189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549"/>
      <c r="P68" s="1550"/>
      <c r="Q68" s="1550"/>
      <c r="R68" s="1551"/>
      <c r="S68" s="893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26" t="s">
        <v>640</v>
      </c>
      <c r="B69" s="84" t="s">
        <v>0</v>
      </c>
      <c r="C69" s="1427" t="e">
        <f>#REF!</f>
        <v>#REF!</v>
      </c>
      <c r="D69" s="1427"/>
      <c r="E69" s="1427"/>
      <c r="F69" s="827" t="s">
        <v>1193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658" t="e">
        <f>#REF!</f>
        <v>#REF!</v>
      </c>
      <c r="O69" s="1437" t="e">
        <f>#REF!</f>
        <v>#REF!</v>
      </c>
      <c r="P69" s="1438"/>
      <c r="Q69" s="1438"/>
      <c r="R69" s="1439"/>
      <c r="S69" s="823" t="e">
        <f>#REF!</f>
        <v>#REF!</v>
      </c>
    </row>
    <row r="70" spans="1:79" ht="17.25" customHeight="1">
      <c r="A70" s="1127"/>
      <c r="B70" s="881" t="s">
        <v>43</v>
      </c>
      <c r="C70" s="1360" t="e">
        <f>#REF!</f>
        <v>#REF!</v>
      </c>
      <c r="D70" s="1360"/>
      <c r="E70" s="1360"/>
      <c r="F70" s="418" t="s">
        <v>1193</v>
      </c>
      <c r="G70" s="660" t="e">
        <f>#REF!</f>
        <v>#REF!</v>
      </c>
      <c r="H70" s="880"/>
      <c r="I70" s="418">
        <v>3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51" customHeight="1">
      <c r="A71" s="1440" t="s">
        <v>26</v>
      </c>
      <c r="B71" s="84" t="s">
        <v>0</v>
      </c>
      <c r="C71" s="1427" t="e">
        <f>#REF!</f>
        <v>#REF!</v>
      </c>
      <c r="D71" s="1427"/>
      <c r="E71" s="1427"/>
      <c r="F71" s="827" t="s">
        <v>1194</v>
      </c>
      <c r="G71" s="828" t="e">
        <f>#REF!</f>
        <v>#REF!</v>
      </c>
      <c r="H71" s="815"/>
      <c r="I71" s="827">
        <v>4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842" t="e">
        <f>#REF!</f>
        <v>#REF!</v>
      </c>
      <c r="N71" s="415" t="e">
        <f>#REF!</f>
        <v>#REF!</v>
      </c>
      <c r="O71" s="1442" t="e">
        <f>#REF!</f>
        <v>#REF!</v>
      </c>
      <c r="P71" s="1443"/>
      <c r="Q71" s="1443"/>
      <c r="R71" s="1444"/>
      <c r="S71" s="822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441"/>
      <c r="B72" s="881" t="s">
        <v>43</v>
      </c>
      <c r="C72" s="1360" t="e">
        <f>#REF!</f>
        <v>#REF!</v>
      </c>
      <c r="D72" s="1360"/>
      <c r="E72" s="1360"/>
      <c r="F72" s="418" t="s">
        <v>948</v>
      </c>
      <c r="G72" s="660" t="e">
        <f>#REF!</f>
        <v>#REF!</v>
      </c>
      <c r="H72" s="880"/>
      <c r="I72" s="418">
        <v>1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842" t="e">
        <f>#REF!</f>
        <v>#REF!</v>
      </c>
      <c r="N72" s="415" t="e">
        <f>#REF!</f>
        <v>#REF!</v>
      </c>
      <c r="O72" s="1587" t="e">
        <f>#REF!</f>
        <v>#REF!</v>
      </c>
      <c r="P72" s="1588"/>
      <c r="Q72" s="1588"/>
      <c r="R72" s="1589"/>
      <c r="S72" s="1517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1"/>
      <c r="B73" s="881" t="s">
        <v>43</v>
      </c>
      <c r="C73" s="1360" t="e">
        <f>#REF!</f>
        <v>#REF!</v>
      </c>
      <c r="D73" s="1360"/>
      <c r="E73" s="1360"/>
      <c r="F73" s="418" t="s">
        <v>1194</v>
      </c>
      <c r="G73" s="660" t="e">
        <f>#REF!</f>
        <v>#REF!</v>
      </c>
      <c r="H73" s="880"/>
      <c r="I73" s="418">
        <v>2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842" t="e">
        <f>#REF!</f>
        <v>#REF!</v>
      </c>
      <c r="N73" s="415" t="e">
        <f>#REF!</f>
        <v>#REF!</v>
      </c>
      <c r="O73" s="1584" t="e">
        <f>#REF!</f>
        <v>#REF!</v>
      </c>
      <c r="P73" s="1585"/>
      <c r="Q73" s="1585"/>
      <c r="R73" s="1586"/>
      <c r="S73" s="1518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440" t="s">
        <v>27</v>
      </c>
      <c r="B74" s="841" t="s">
        <v>0</v>
      </c>
      <c r="C74" s="1427" t="s">
        <v>633</v>
      </c>
      <c r="D74" s="1427"/>
      <c r="E74" s="1427"/>
      <c r="F74" s="827"/>
      <c r="G74" s="828"/>
      <c r="H74" s="815"/>
      <c r="I74" s="827"/>
      <c r="J74" s="828"/>
      <c r="K74" s="828"/>
      <c r="L74" s="828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36" customHeight="1">
      <c r="A75" s="1547"/>
      <c r="B75" s="881" t="s">
        <v>43</v>
      </c>
      <c r="C75" s="1360" t="e">
        <f>#REF!</f>
        <v>#REF!</v>
      </c>
      <c r="D75" s="1360"/>
      <c r="E75" s="1360"/>
      <c r="F75" s="418" t="s">
        <v>1195</v>
      </c>
      <c r="G75" s="660" t="e">
        <f>#REF!</f>
        <v>#REF!</v>
      </c>
      <c r="H75" s="880"/>
      <c r="I75" s="418">
        <v>4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641</v>
      </c>
      <c r="B76" s="84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6" t="s">
        <v>642</v>
      </c>
      <c r="B78" s="84" t="s">
        <v>0</v>
      </c>
      <c r="C78" s="1427" t="e">
        <f>#REF!</f>
        <v>#REF!</v>
      </c>
      <c r="D78" s="1427"/>
      <c r="E78" s="1427"/>
      <c r="F78" s="827" t="s">
        <v>901</v>
      </c>
      <c r="G78" s="828" t="e">
        <f>#REF!</f>
        <v>#REF!</v>
      </c>
      <c r="H78" s="815"/>
      <c r="I78" s="827">
        <v>0</v>
      </c>
      <c r="J78" s="828" t="e">
        <f>#REF!</f>
        <v>#REF!</v>
      </c>
      <c r="K78" s="828" t="e">
        <f>#REF!</f>
        <v>#REF!</v>
      </c>
      <c r="L78" s="828" t="e">
        <f>#REF!</f>
        <v>#REF!</v>
      </c>
      <c r="M78" s="816" t="e">
        <f>#REF!</f>
        <v>#REF!</v>
      </c>
      <c r="N78" s="415" t="e">
        <f>#REF!</f>
        <v>#REF!</v>
      </c>
      <c r="O78" s="1437" t="e">
        <f>#REF!</f>
        <v>#REF!</v>
      </c>
      <c r="P78" s="1438"/>
      <c r="Q78" s="1438"/>
      <c r="R78" s="1439"/>
      <c r="S78" s="823" t="e">
        <f>#REF!</f>
        <v>#REF!</v>
      </c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816"/>
      <c r="N79" s="415"/>
      <c r="O79" s="1437"/>
      <c r="P79" s="1438"/>
      <c r="Q79" s="1438"/>
      <c r="R79" s="1439"/>
      <c r="S79" s="823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6" t="s">
        <v>643</v>
      </c>
      <c r="B80" s="84" t="s">
        <v>0</v>
      </c>
      <c r="C80" s="1427" t="s">
        <v>633</v>
      </c>
      <c r="D80" s="1427"/>
      <c r="E80" s="1427"/>
      <c r="F80" s="827"/>
      <c r="G80" s="828"/>
      <c r="H80" s="815"/>
      <c r="I80" s="827"/>
      <c r="J80" s="828"/>
      <c r="K80" s="828"/>
      <c r="L80" s="828"/>
      <c r="M80" s="659"/>
      <c r="N80" s="415"/>
      <c r="O80" s="1554"/>
      <c r="P80" s="1555"/>
      <c r="Q80" s="1555"/>
      <c r="R80" s="1556"/>
      <c r="S80" s="877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7"/>
      <c r="B81" s="881" t="s">
        <v>43</v>
      </c>
      <c r="C81" s="1360" t="s">
        <v>633</v>
      </c>
      <c r="D81" s="1360"/>
      <c r="E81" s="1360"/>
      <c r="F81" s="418"/>
      <c r="G81" s="660"/>
      <c r="H81" s="880"/>
      <c r="I81" s="418"/>
      <c r="J81" s="660"/>
      <c r="K81" s="660"/>
      <c r="L81" s="660"/>
      <c r="M81" s="659"/>
      <c r="N81" s="415"/>
      <c r="O81" s="1554"/>
      <c r="P81" s="1555"/>
      <c r="Q81" s="1555"/>
      <c r="R81" s="1556"/>
      <c r="S81" s="877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6" t="s">
        <v>651</v>
      </c>
      <c r="B82" s="84" t="s">
        <v>0</v>
      </c>
      <c r="C82" s="1427" t="e">
        <f>#REF!</f>
        <v>#REF!</v>
      </c>
      <c r="D82" s="1427"/>
      <c r="E82" s="1427"/>
      <c r="F82" s="827" t="s">
        <v>828</v>
      </c>
      <c r="G82" s="828" t="e">
        <f>#REF!</f>
        <v>#REF!</v>
      </c>
      <c r="H82" s="815"/>
      <c r="I82" s="827">
        <v>12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437" t="e">
        <f>#REF!</f>
        <v>#REF!</v>
      </c>
      <c r="P82" s="1438"/>
      <c r="Q82" s="1438"/>
      <c r="R82" s="1439"/>
      <c r="S82" s="823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7"/>
      <c r="B83" s="881" t="s">
        <v>43</v>
      </c>
      <c r="C83" s="1360" t="s">
        <v>633</v>
      </c>
      <c r="D83" s="1360"/>
      <c r="E83" s="1360"/>
      <c r="F83" s="418"/>
      <c r="G83" s="660"/>
      <c r="H83" s="880"/>
      <c r="I83" s="418"/>
      <c r="J83" s="660"/>
      <c r="K83" s="660"/>
      <c r="L83" s="660"/>
      <c r="M83" s="659"/>
      <c r="N83" s="415"/>
      <c r="O83" s="1437"/>
      <c r="P83" s="1438"/>
      <c r="Q83" s="1438"/>
      <c r="R83" s="1439"/>
      <c r="S83" s="82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837"/>
      <c r="B84" s="841"/>
      <c r="C84" s="882"/>
      <c r="D84" s="883"/>
      <c r="E84" s="883"/>
      <c r="F84" s="845"/>
      <c r="G84" s="846"/>
      <c r="H84" s="815"/>
      <c r="I84" s="827"/>
      <c r="J84" s="834" t="s">
        <v>666</v>
      </c>
      <c r="K84" s="847" t="e">
        <f>SUM(K65:K83)</f>
        <v>#REF!</v>
      </c>
      <c r="L84" s="829"/>
      <c r="M84" s="659"/>
      <c r="N84" s="415"/>
      <c r="O84" s="1437"/>
      <c r="P84" s="1438"/>
      <c r="Q84" s="1438"/>
      <c r="R84" s="1439"/>
      <c r="S84" s="862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s="76" customFormat="1" ht="39" customHeight="1">
      <c r="A85" s="400" t="s">
        <v>63</v>
      </c>
      <c r="B85" s="400" t="s">
        <v>193</v>
      </c>
      <c r="C85" s="1445" t="s">
        <v>11</v>
      </c>
      <c r="D85" s="1446"/>
      <c r="E85" s="1446"/>
      <c r="F85" s="1446"/>
      <c r="G85" s="1447"/>
      <c r="H85" s="242" t="s">
        <v>216</v>
      </c>
      <c r="I85" s="242" t="s">
        <v>12</v>
      </c>
      <c r="J85" s="242" t="s">
        <v>13</v>
      </c>
      <c r="K85" s="405" t="s">
        <v>218</v>
      </c>
      <c r="L85" s="416" t="s">
        <v>60</v>
      </c>
      <c r="M85" s="257" t="s">
        <v>28</v>
      </c>
      <c r="N85" s="257" t="s">
        <v>45</v>
      </c>
      <c r="O85" s="1448" t="s">
        <v>29</v>
      </c>
      <c r="P85" s="1449"/>
      <c r="Q85" s="1449"/>
      <c r="R85" s="1450"/>
      <c r="S85" s="417" t="s">
        <v>57</v>
      </c>
    </row>
    <row r="86" spans="1:79" ht="18" customHeight="1">
      <c r="A86" s="1199">
        <v>401</v>
      </c>
      <c r="B86" s="84" t="s">
        <v>0</v>
      </c>
      <c r="C86" s="1290">
        <f>印401!I51</f>
        <v>0</v>
      </c>
      <c r="D86" s="1290"/>
      <c r="E86" s="1290"/>
      <c r="F86" s="1290"/>
      <c r="G86" s="1290"/>
      <c r="H86" s="849"/>
      <c r="I86" s="849">
        <f>印401!R51</f>
        <v>0</v>
      </c>
      <c r="J86" s="852">
        <f>印401!S51</f>
        <v>0</v>
      </c>
      <c r="K86" s="872">
        <f>印401!L51</f>
        <v>0</v>
      </c>
      <c r="L86" s="873">
        <f>印401!N51</f>
        <v>0</v>
      </c>
      <c r="M86" s="852">
        <f>印401!P51</f>
        <v>0</v>
      </c>
      <c r="N86" s="853">
        <f>印401!Q51</f>
        <v>0</v>
      </c>
      <c r="O86" s="1451"/>
      <c r="P86" s="1452"/>
      <c r="Q86" s="1452"/>
      <c r="R86" s="1453"/>
      <c r="S86" s="874">
        <f>印401!AB51</f>
        <v>0</v>
      </c>
    </row>
    <row r="87" spans="1:79" ht="18" customHeight="1">
      <c r="A87" s="1165"/>
      <c r="B87" s="881" t="s">
        <v>43</v>
      </c>
      <c r="C87" s="1454" t="s">
        <v>633</v>
      </c>
      <c r="D87" s="1454"/>
      <c r="E87" s="1454"/>
      <c r="F87" s="1454"/>
      <c r="G87" s="1454"/>
      <c r="H87" s="664"/>
      <c r="I87" s="664"/>
      <c r="J87" s="840"/>
      <c r="K87" s="424"/>
      <c r="L87" s="830"/>
      <c r="M87" s="840"/>
      <c r="N87" s="672"/>
      <c r="O87" s="1455"/>
      <c r="P87" s="1456"/>
      <c r="Q87" s="1456"/>
      <c r="R87" s="1457"/>
      <c r="S87" s="810"/>
    </row>
    <row r="88" spans="1:79" ht="18" customHeight="1">
      <c r="A88" s="1461">
        <v>402</v>
      </c>
      <c r="B88" s="84" t="s">
        <v>205</v>
      </c>
      <c r="C88" s="1290" t="e">
        <f>#REF!</f>
        <v>#REF!</v>
      </c>
      <c r="D88" s="1290"/>
      <c r="E88" s="1290"/>
      <c r="F88" s="1290"/>
      <c r="G88" s="1290"/>
      <c r="H88" s="849"/>
      <c r="I88" s="849" t="e">
        <f>#REF!</f>
        <v>#REF!</v>
      </c>
      <c r="J88" s="852" t="e">
        <f>#REF!</f>
        <v>#REF!</v>
      </c>
      <c r="K88" s="872" t="e">
        <f>#REF!</f>
        <v>#REF!</v>
      </c>
      <c r="L88" s="873" t="e">
        <f>#REF!</f>
        <v>#REF!</v>
      </c>
      <c r="M88" s="852" t="e">
        <f>#REF!</f>
        <v>#REF!</v>
      </c>
      <c r="N88" s="853" t="e">
        <f>#REF!</f>
        <v>#REF!</v>
      </c>
      <c r="O88" s="1451"/>
      <c r="P88" s="1452"/>
      <c r="Q88" s="1452"/>
      <c r="R88" s="1453"/>
      <c r="S88" s="874" t="e">
        <f>#REF!</f>
        <v>#REF!</v>
      </c>
    </row>
    <row r="89" spans="1:79" ht="18" customHeight="1">
      <c r="A89" s="1571"/>
      <c r="B89" s="84" t="s">
        <v>205</v>
      </c>
      <c r="C89" s="1290" t="e">
        <f>#REF!</f>
        <v>#REF!</v>
      </c>
      <c r="D89" s="1290"/>
      <c r="E89" s="1290"/>
      <c r="F89" s="1290"/>
      <c r="G89" s="1290"/>
      <c r="H89" s="849"/>
      <c r="I89" s="849" t="e">
        <f>#REF!</f>
        <v>#REF!</v>
      </c>
      <c r="J89" s="852" t="e">
        <f>#REF!</f>
        <v>#REF!</v>
      </c>
      <c r="K89" s="872" t="e">
        <f>#REF!</f>
        <v>#REF!</v>
      </c>
      <c r="L89" s="873" t="e">
        <f>#REF!</f>
        <v>#REF!</v>
      </c>
      <c r="M89" s="852" t="e">
        <f>#REF!</f>
        <v>#REF!</v>
      </c>
      <c r="N89" s="853" t="e">
        <f>#REF!</f>
        <v>#REF!</v>
      </c>
      <c r="O89" s="1451"/>
      <c r="P89" s="1452"/>
      <c r="Q89" s="1452"/>
      <c r="R89" s="1453"/>
      <c r="S89" s="874" t="e">
        <f>#REF!</f>
        <v>#REF!</v>
      </c>
    </row>
    <row r="90" spans="1:79" ht="18" customHeight="1">
      <c r="A90" s="1571"/>
      <c r="B90" s="84" t="s">
        <v>205</v>
      </c>
      <c r="C90" s="1290" t="e">
        <f>#REF!</f>
        <v>#REF!</v>
      </c>
      <c r="D90" s="1290"/>
      <c r="E90" s="1290"/>
      <c r="F90" s="1290"/>
      <c r="G90" s="1290"/>
      <c r="H90" s="849"/>
      <c r="I90" s="849" t="e">
        <f>#REF!</f>
        <v>#REF!</v>
      </c>
      <c r="J90" s="852" t="e">
        <f>#REF!</f>
        <v>#REF!</v>
      </c>
      <c r="K90" s="872" t="e">
        <f>#REF!</f>
        <v>#REF!</v>
      </c>
      <c r="L90" s="873" t="e">
        <f>#REF!</f>
        <v>#REF!</v>
      </c>
      <c r="M90" s="852" t="e">
        <f>#REF!</f>
        <v>#REF!</v>
      </c>
      <c r="N90" s="853" t="e">
        <f>#REF!</f>
        <v>#REF!</v>
      </c>
      <c r="O90" s="1451"/>
      <c r="P90" s="1452"/>
      <c r="Q90" s="1452"/>
      <c r="R90" s="1453"/>
      <c r="S90" s="874" t="e">
        <f>#REF!</f>
        <v>#REF!</v>
      </c>
    </row>
    <row r="91" spans="1:79" ht="18" customHeight="1">
      <c r="A91" s="1462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7.25" customHeight="1">
      <c r="A92" s="1466">
        <v>403</v>
      </c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467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40"/>
      <c r="M93" s="840"/>
      <c r="N93" s="672"/>
      <c r="O93" s="1455"/>
      <c r="P93" s="1456"/>
      <c r="Q93" s="1456"/>
      <c r="R93" s="1457"/>
      <c r="S93" s="810"/>
    </row>
    <row r="94" spans="1:79" ht="18" customHeight="1">
      <c r="A94" s="1199">
        <v>405</v>
      </c>
      <c r="B94" s="8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8" customHeight="1">
      <c r="A95" s="1165"/>
      <c r="B95" s="881" t="s">
        <v>43</v>
      </c>
      <c r="C95" s="1454" t="s">
        <v>633</v>
      </c>
      <c r="D95" s="1454"/>
      <c r="E95" s="1454"/>
      <c r="F95" s="1454"/>
      <c r="G95" s="1454"/>
      <c r="H95" s="664"/>
      <c r="I95" s="664"/>
      <c r="J95" s="840"/>
      <c r="K95" s="424"/>
      <c r="L95" s="840"/>
      <c r="M95" s="840"/>
      <c r="N95" s="672"/>
      <c r="O95" s="1455"/>
      <c r="P95" s="1456"/>
      <c r="Q95" s="1456"/>
      <c r="R95" s="1457"/>
      <c r="S95" s="810"/>
    </row>
    <row r="96" spans="1:79" ht="18" customHeight="1">
      <c r="A96" s="314"/>
      <c r="B96" s="841"/>
      <c r="C96" s="1458"/>
      <c r="D96" s="1459"/>
      <c r="E96" s="1459"/>
      <c r="F96" s="1459"/>
      <c r="G96" s="1460"/>
      <c r="H96" s="849"/>
      <c r="I96" s="849"/>
      <c r="J96" s="834" t="s">
        <v>666</v>
      </c>
      <c r="K96" s="835" t="e">
        <f>SUM(K86:K95)</f>
        <v>#REF!</v>
      </c>
      <c r="L96" s="1599" t="s">
        <v>1196</v>
      </c>
      <c r="M96" s="1600"/>
      <c r="N96" s="1601"/>
      <c r="O96" s="886"/>
      <c r="P96" s="887"/>
      <c r="Q96" s="887"/>
      <c r="R96" s="888"/>
      <c r="S96" s="854"/>
    </row>
    <row r="97" spans="1:19" s="76" customFormat="1" ht="31.7" hidden="1" customHeight="1">
      <c r="A97" s="400" t="s">
        <v>425</v>
      </c>
      <c r="B97" s="400" t="s">
        <v>193</v>
      </c>
      <c r="C97" s="1282" t="e">
        <f>[1]印403!J91</f>
        <v>#REF!</v>
      </c>
      <c r="D97" s="1283"/>
      <c r="E97" s="1283"/>
      <c r="F97" s="1283"/>
      <c r="G97" s="1468"/>
      <c r="H97" s="242" t="s">
        <v>216</v>
      </c>
      <c r="I97" s="242" t="s">
        <v>12</v>
      </c>
      <c r="J97" s="242" t="s">
        <v>13</v>
      </c>
      <c r="K97" s="405" t="s">
        <v>218</v>
      </c>
      <c r="L97" s="427" t="s">
        <v>60</v>
      </c>
      <c r="M97" s="399" t="e">
        <f>[1]印403!O90</f>
        <v>#REF!</v>
      </c>
      <c r="N97" s="257" t="s">
        <v>45</v>
      </c>
      <c r="O97" s="1448" t="s">
        <v>29</v>
      </c>
      <c r="P97" s="1449"/>
      <c r="Q97" s="1449"/>
      <c r="R97" s="1450"/>
      <c r="S97" s="417" t="s">
        <v>57</v>
      </c>
    </row>
    <row r="98" spans="1:19" ht="15" hidden="1" customHeight="1">
      <c r="A98" s="1199" t="s">
        <v>426</v>
      </c>
      <c r="B98" s="84" t="s">
        <v>205</v>
      </c>
      <c r="C98" s="1282" t="e">
        <f>[1]印403!J92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[1]印403!O91</f>
        <v>#REF!</v>
      </c>
      <c r="N98" s="399"/>
      <c r="O98" s="1469"/>
      <c r="P98" s="1245"/>
      <c r="Q98" s="1245"/>
      <c r="R98" s="1246"/>
      <c r="S98" s="1470"/>
    </row>
    <row r="99" spans="1:19" ht="13.7" hidden="1" customHeight="1">
      <c r="A99" s="1216"/>
      <c r="B99" s="84" t="s">
        <v>205</v>
      </c>
      <c r="C99" s="1282" t="e">
        <f>[1]印403!J93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[1]印403!O92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[1]印403!J94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[1]印403!O93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[1]印403!J95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[1]印403!O94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[1]印403!J96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[1]印403!O95</f>
        <v>#REF!</v>
      </c>
      <c r="N102" s="425"/>
      <c r="O102" s="669"/>
      <c r="P102" s="670"/>
      <c r="Q102" s="670"/>
      <c r="R102" s="671"/>
      <c r="S102" s="1471"/>
    </row>
    <row r="103" spans="1:19" ht="16.5" hidden="1" customHeight="1">
      <c r="A103" s="1216"/>
      <c r="B103" s="881" t="s">
        <v>43</v>
      </c>
      <c r="C103" s="1282" t="e">
        <f>[1]印403!J97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[1]印403!O96</f>
        <v>#REF!</v>
      </c>
      <c r="N103" s="672"/>
      <c r="O103" s="1476"/>
      <c r="P103" s="1477"/>
      <c r="Q103" s="1477"/>
      <c r="R103" s="1478"/>
      <c r="S103" s="1485"/>
    </row>
    <row r="104" spans="1:19" ht="15" hidden="1" customHeight="1">
      <c r="A104" s="1216"/>
      <c r="B104" s="881" t="s">
        <v>43</v>
      </c>
      <c r="C104" s="1282" t="e">
        <f>[1]印403!J98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[1]印403!O97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216"/>
      <c r="B105" s="881" t="s">
        <v>43</v>
      </c>
      <c r="C105" s="1282" t="e">
        <f>[1]印403!J99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[1]印403!O98</f>
        <v>#REF!</v>
      </c>
      <c r="N105" s="672"/>
      <c r="O105" s="1479"/>
      <c r="P105" s="1480"/>
      <c r="Q105" s="1480"/>
      <c r="R105" s="1481"/>
      <c r="S105" s="1485"/>
    </row>
    <row r="106" spans="1:19" ht="15" hidden="1" customHeight="1">
      <c r="A106" s="1165"/>
      <c r="B106" s="881" t="s">
        <v>43</v>
      </c>
      <c r="C106" s="1282" t="e">
        <f>[1]印403!J100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[1]印403!O99</f>
        <v>#REF!</v>
      </c>
      <c r="N106" s="672"/>
      <c r="O106" s="1482"/>
      <c r="P106" s="1483"/>
      <c r="Q106" s="1483"/>
      <c r="R106" s="1484"/>
      <c r="S106" s="1486"/>
    </row>
    <row r="107" spans="1:19" ht="6" customHeight="1">
      <c r="A107" s="248"/>
      <c r="C107" s="249"/>
    </row>
    <row r="108" spans="1:19" ht="6" customHeight="1" thickBot="1">
      <c r="A108" s="248"/>
      <c r="C108" s="249"/>
    </row>
    <row r="109" spans="1:19" ht="15" customHeight="1" thickTop="1">
      <c r="A109" s="1472" t="s">
        <v>30</v>
      </c>
      <c r="B109" s="1473"/>
      <c r="C109" s="1473"/>
      <c r="D109" s="1473"/>
      <c r="E109" s="376">
        <v>1604400</v>
      </c>
      <c r="F109" s="75" t="s">
        <v>64</v>
      </c>
      <c r="G109" s="1472" t="s">
        <v>31</v>
      </c>
      <c r="H109" s="1473"/>
      <c r="I109" s="1473"/>
      <c r="J109" s="1473"/>
      <c r="K109" s="1473"/>
      <c r="L109" s="377">
        <v>625000</v>
      </c>
      <c r="M109" s="75" t="s">
        <v>64</v>
      </c>
      <c r="N109" s="1472" t="s">
        <v>32</v>
      </c>
      <c r="O109" s="1473"/>
      <c r="P109" s="1473"/>
      <c r="Q109" s="377">
        <v>2213500</v>
      </c>
      <c r="R109" s="75" t="s">
        <v>64</v>
      </c>
      <c r="S109" s="75"/>
    </row>
    <row r="110" spans="1:19" ht="15" customHeight="1" thickBot="1">
      <c r="A110" s="1474" t="s">
        <v>66</v>
      </c>
      <c r="B110" s="1475"/>
      <c r="C110" s="1475"/>
      <c r="D110" s="1475"/>
      <c r="E110" s="674">
        <f>50*1000</f>
        <v>50000</v>
      </c>
      <c r="G110" s="1474" t="s">
        <v>66</v>
      </c>
      <c r="H110" s="1475"/>
      <c r="I110" s="1475"/>
      <c r="J110" s="1475"/>
      <c r="K110" s="1475"/>
      <c r="L110" s="674">
        <f>(5+50+8)*1000</f>
        <v>63000</v>
      </c>
      <c r="N110" s="1474" t="s">
        <v>33</v>
      </c>
      <c r="O110" s="1475"/>
      <c r="P110" s="1475"/>
      <c r="Q110" s="674">
        <f>180*1000</f>
        <v>180000</v>
      </c>
      <c r="R110" s="75"/>
      <c r="S110" s="75"/>
    </row>
    <row r="111" spans="1:19" ht="15" customHeight="1" thickTop="1" thickBot="1">
      <c r="A111" s="1487" t="s">
        <v>34</v>
      </c>
      <c r="B111" s="1488"/>
      <c r="C111" s="1488"/>
      <c r="D111" s="1488"/>
      <c r="E111" s="378">
        <f>E109+E110</f>
        <v>1654400</v>
      </c>
      <c r="F111" s="75" t="s">
        <v>64</v>
      </c>
      <c r="G111" s="1487" t="s">
        <v>35</v>
      </c>
      <c r="H111" s="1488"/>
      <c r="I111" s="1488"/>
      <c r="J111" s="1488"/>
      <c r="K111" s="1488"/>
      <c r="L111" s="379">
        <f>L109+L110</f>
        <v>688000</v>
      </c>
      <c r="M111" s="75" t="s">
        <v>64</v>
      </c>
      <c r="N111" s="1487" t="s">
        <v>36</v>
      </c>
      <c r="O111" s="1488"/>
      <c r="P111" s="1488"/>
      <c r="Q111" s="379">
        <f>Q109+Q110</f>
        <v>2393500</v>
      </c>
      <c r="R111" s="75" t="s">
        <v>64</v>
      </c>
      <c r="S111" s="75"/>
    </row>
    <row r="112" spans="1:19" ht="15" customHeight="1" thickTop="1" thickBot="1">
      <c r="E112" s="252">
        <f>印401!M64</f>
        <v>0</v>
      </c>
      <c r="L112" s="675" t="e">
        <f>#REF!</f>
        <v>#REF!</v>
      </c>
      <c r="O112" s="75"/>
      <c r="P112" s="75"/>
      <c r="Q112" s="675" t="e">
        <f>#REF!</f>
        <v>#REF!</v>
      </c>
      <c r="R112" s="75"/>
      <c r="S112" s="75"/>
    </row>
    <row r="113" spans="1:20" ht="15" customHeight="1" thickBot="1">
      <c r="A113" s="676" t="s">
        <v>37</v>
      </c>
      <c r="B113" s="677"/>
      <c r="C113" s="677"/>
      <c r="D113" s="678"/>
      <c r="E113" s="253">
        <f>印401!P64</f>
        <v>0</v>
      </c>
      <c r="F113" s="75" t="s">
        <v>64</v>
      </c>
      <c r="G113" s="676" t="s">
        <v>38</v>
      </c>
      <c r="H113" s="677"/>
      <c r="I113" s="677"/>
      <c r="J113" s="677"/>
      <c r="K113" s="677"/>
      <c r="L113" s="384" t="e">
        <f>#REF!</f>
        <v>#REF!</v>
      </c>
      <c r="M113" s="75" t="s">
        <v>64</v>
      </c>
      <c r="N113" s="676" t="s">
        <v>39</v>
      </c>
      <c r="O113" s="677"/>
      <c r="P113" s="677"/>
      <c r="Q113" s="384" t="e">
        <f>#REF!</f>
        <v>#REF!</v>
      </c>
      <c r="R113" s="75" t="s">
        <v>64</v>
      </c>
      <c r="S113" s="75"/>
    </row>
    <row r="114" spans="1:20" ht="3" customHeight="1" thickBot="1">
      <c r="J114" s="255"/>
      <c r="K114" s="256"/>
    </row>
    <row r="115" spans="1:20" ht="15" customHeight="1" thickTop="1">
      <c r="B115" s="1509" t="s">
        <v>69</v>
      </c>
      <c r="C115" s="1510"/>
      <c r="D115" s="1511" t="s">
        <v>305</v>
      </c>
      <c r="E115" s="1512"/>
      <c r="F115" s="1489" t="s">
        <v>306</v>
      </c>
      <c r="G115" s="1490"/>
      <c r="H115" s="1491" t="s">
        <v>307</v>
      </c>
      <c r="I115" s="1492"/>
      <c r="J115" s="1492"/>
      <c r="K115" s="1493"/>
      <c r="L115" s="1472" t="s">
        <v>657</v>
      </c>
      <c r="M115" s="1473"/>
      <c r="N115" s="1473"/>
      <c r="O115" s="377">
        <v>4015400</v>
      </c>
      <c r="P115" s="75" t="s">
        <v>64</v>
      </c>
      <c r="Q115" s="1496" t="s">
        <v>65</v>
      </c>
      <c r="R115" s="1497"/>
      <c r="S115" s="385">
        <v>42923712</v>
      </c>
    </row>
    <row r="116" spans="1:20" ht="15" customHeight="1" thickBot="1">
      <c r="B116" s="1498" t="s">
        <v>308</v>
      </c>
      <c r="C116" s="1499"/>
      <c r="D116" s="1500" t="e">
        <f>總表!D20</f>
        <v>#REF!</v>
      </c>
      <c r="E116" s="1501"/>
      <c r="F116" s="1502">
        <f>總表!E20</f>
        <v>1316871</v>
      </c>
      <c r="G116" s="1503"/>
      <c r="H116" s="1504" t="e">
        <f>(D116-F116)/D116</f>
        <v>#REF!</v>
      </c>
      <c r="I116" s="1505"/>
      <c r="J116" s="1505"/>
      <c r="K116" s="1506"/>
      <c r="L116" s="1474" t="s">
        <v>33</v>
      </c>
      <c r="M116" s="1475"/>
      <c r="N116" s="1475"/>
      <c r="O116" s="674">
        <f>380*600</f>
        <v>228000</v>
      </c>
      <c r="P116" s="75"/>
      <c r="Q116" s="1507" t="s">
        <v>67</v>
      </c>
      <c r="R116" s="1508"/>
      <c r="S116" s="386" t="e">
        <f>SUM(L48:L83,L86:L95)</f>
        <v>#REF!</v>
      </c>
    </row>
    <row r="117" spans="1:20" ht="15" customHeight="1" thickTop="1" thickBot="1">
      <c r="B117" s="1513" t="s">
        <v>309</v>
      </c>
      <c r="C117" s="1514"/>
      <c r="D117" s="1515" t="e">
        <f>總表!C43</f>
        <v>#REF!</v>
      </c>
      <c r="E117" s="1516"/>
      <c r="F117" s="1502" t="e">
        <f>總表!F43</f>
        <v>#REF!</v>
      </c>
      <c r="G117" s="1503"/>
      <c r="H117" s="1504" t="e">
        <f>(D117-F117)/D117</f>
        <v>#REF!</v>
      </c>
      <c r="I117" s="1505"/>
      <c r="J117" s="1505"/>
      <c r="K117" s="1506"/>
      <c r="L117" s="1487" t="s">
        <v>658</v>
      </c>
      <c r="M117" s="1488"/>
      <c r="N117" s="1488"/>
      <c r="O117" s="379">
        <f>O115+O116</f>
        <v>4243400</v>
      </c>
      <c r="P117" s="75" t="s">
        <v>64</v>
      </c>
      <c r="Q117" s="1494" t="s">
        <v>68</v>
      </c>
      <c r="R117" s="1495"/>
      <c r="S117" s="387" t="e">
        <f>S115+S116</f>
        <v>#REF!</v>
      </c>
    </row>
    <row r="118" spans="1:20" ht="14.1" customHeight="1" thickTop="1" thickBot="1">
      <c r="B118" s="250" t="s">
        <v>310</v>
      </c>
      <c r="C118" s="250"/>
      <c r="D118" s="250"/>
      <c r="E118" s="233"/>
      <c r="O118" s="675" t="e">
        <f>#REF!</f>
        <v>#REF!</v>
      </c>
      <c r="P118" s="75"/>
      <c r="Q118" s="75"/>
      <c r="R118" s="254" t="e">
        <f>總表!E43+總表!E52</f>
        <v>#REF!</v>
      </c>
      <c r="S118" s="254" t="e">
        <f>R118-S117</f>
        <v>#REF!</v>
      </c>
    </row>
    <row r="119" spans="1:20" ht="17.25" customHeight="1" thickBot="1">
      <c r="B119" s="250" t="s">
        <v>40</v>
      </c>
      <c r="C119" s="233"/>
      <c r="D119" s="233"/>
      <c r="E119" s="233"/>
      <c r="F119" s="233"/>
      <c r="L119" s="676" t="s">
        <v>659</v>
      </c>
      <c r="M119" s="677"/>
      <c r="N119" s="677"/>
      <c r="O119" s="384" t="e">
        <f>#REF!</f>
        <v>#REF!</v>
      </c>
      <c r="P119" s="75" t="s">
        <v>64</v>
      </c>
      <c r="T119" s="233"/>
    </row>
    <row r="120" spans="1:20" ht="15.75" customHeight="1">
      <c r="B120" s="75" t="s">
        <v>41</v>
      </c>
      <c r="N120" s="233"/>
      <c r="S120" s="75"/>
    </row>
  </sheetData>
  <mergeCells count="288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9:A10"/>
    <mergeCell ref="G9:I9"/>
    <mergeCell ref="K9:M9"/>
    <mergeCell ref="O9:R9"/>
    <mergeCell ref="G10:I10"/>
    <mergeCell ref="K10:M10"/>
    <mergeCell ref="O10:R10"/>
    <mergeCell ref="A11:A12"/>
    <mergeCell ref="G11:I11"/>
    <mergeCell ref="K11:M11"/>
    <mergeCell ref="O11:R11"/>
    <mergeCell ref="G12:I12"/>
    <mergeCell ref="K12:M12"/>
    <mergeCell ref="O12:R12"/>
    <mergeCell ref="A13:A14"/>
    <mergeCell ref="G13:I13"/>
    <mergeCell ref="K13:M13"/>
    <mergeCell ref="O13:R13"/>
    <mergeCell ref="G14:I14"/>
    <mergeCell ref="K14:M14"/>
    <mergeCell ref="O14:R14"/>
    <mergeCell ref="A15:A16"/>
    <mergeCell ref="G15:I15"/>
    <mergeCell ref="K15:M15"/>
    <mergeCell ref="O15:R15"/>
    <mergeCell ref="G16:I16"/>
    <mergeCell ref="K16:M16"/>
    <mergeCell ref="O16:R16"/>
    <mergeCell ref="A17:A18"/>
    <mergeCell ref="G17:I17"/>
    <mergeCell ref="K17:M17"/>
    <mergeCell ref="O17:R17"/>
    <mergeCell ref="G18:I18"/>
    <mergeCell ref="K18:M18"/>
    <mergeCell ref="O18:R18"/>
    <mergeCell ref="A19:A20"/>
    <mergeCell ref="G19:I19"/>
    <mergeCell ref="K19:M19"/>
    <mergeCell ref="O19:R19"/>
    <mergeCell ref="G20:I20"/>
    <mergeCell ref="K20:M20"/>
    <mergeCell ref="O20:R20"/>
    <mergeCell ref="K21:M21"/>
    <mergeCell ref="O21:R21"/>
    <mergeCell ref="A22:A27"/>
    <mergeCell ref="G22:I22"/>
    <mergeCell ref="K22:M24"/>
    <mergeCell ref="O22:R24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C28:E28"/>
    <mergeCell ref="O28:R28"/>
    <mergeCell ref="A29:A35"/>
    <mergeCell ref="C29:E29"/>
    <mergeCell ref="M29:M31"/>
    <mergeCell ref="O29:R31"/>
    <mergeCell ref="S29:S31"/>
    <mergeCell ref="C30:E30"/>
    <mergeCell ref="C31:E31"/>
    <mergeCell ref="C32:E32"/>
    <mergeCell ref="M32:M35"/>
    <mergeCell ref="O32:R35"/>
    <mergeCell ref="S32:S35"/>
    <mergeCell ref="C33:E33"/>
    <mergeCell ref="C34:E34"/>
    <mergeCell ref="C35:E35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S39:S41"/>
    <mergeCell ref="C40:E40"/>
    <mergeCell ref="C41:E41"/>
    <mergeCell ref="A42:A47"/>
    <mergeCell ref="C42:E42"/>
    <mergeCell ref="M42:M44"/>
    <mergeCell ref="O42:R44"/>
    <mergeCell ref="S42:S44"/>
    <mergeCell ref="C43:E43"/>
    <mergeCell ref="C44:E44"/>
    <mergeCell ref="C89:G89"/>
    <mergeCell ref="O89:R89"/>
    <mergeCell ref="C45:E45"/>
    <mergeCell ref="M45:M47"/>
    <mergeCell ref="O45:R47"/>
    <mergeCell ref="S45:S47"/>
    <mergeCell ref="C46:E46"/>
    <mergeCell ref="C47:E47"/>
    <mergeCell ref="O56:R56"/>
    <mergeCell ref="O58:R58"/>
    <mergeCell ref="A56:A57"/>
    <mergeCell ref="C69:E69"/>
    <mergeCell ref="O69:R69"/>
    <mergeCell ref="C70:E70"/>
    <mergeCell ref="O70:R70"/>
    <mergeCell ref="A69:A70"/>
    <mergeCell ref="C57:E57"/>
    <mergeCell ref="O75:R75"/>
    <mergeCell ref="C72:E72"/>
    <mergeCell ref="O72:R72"/>
    <mergeCell ref="S72:S73"/>
    <mergeCell ref="O57:R57"/>
    <mergeCell ref="A58:A59"/>
    <mergeCell ref="C58:E58"/>
    <mergeCell ref="A54:A55"/>
    <mergeCell ref="C54:E54"/>
    <mergeCell ref="O54:R54"/>
    <mergeCell ref="C55:E55"/>
    <mergeCell ref="O55:R55"/>
    <mergeCell ref="A65:A66"/>
    <mergeCell ref="C65:E65"/>
    <mergeCell ref="O65:R65"/>
    <mergeCell ref="O66:R66"/>
    <mergeCell ref="C56:E56"/>
    <mergeCell ref="C59:E59"/>
    <mergeCell ref="O59:R59"/>
    <mergeCell ref="A60:A61"/>
    <mergeCell ref="C60:E60"/>
    <mergeCell ref="O60:R60"/>
    <mergeCell ref="C61:E61"/>
    <mergeCell ref="O61:R61"/>
    <mergeCell ref="O63:R63"/>
    <mergeCell ref="O64:R64"/>
    <mergeCell ref="C66:E66"/>
    <mergeCell ref="A67:A68"/>
    <mergeCell ref="C67:E67"/>
    <mergeCell ref="O67:R67"/>
    <mergeCell ref="C68:E68"/>
    <mergeCell ref="O68:R68"/>
    <mergeCell ref="C63:E63"/>
    <mergeCell ref="A62:A63"/>
    <mergeCell ref="C62:E62"/>
    <mergeCell ref="O62:R62"/>
    <mergeCell ref="C73:E73"/>
    <mergeCell ref="O73:R73"/>
    <mergeCell ref="A80:A81"/>
    <mergeCell ref="C80:E80"/>
    <mergeCell ref="O80:R80"/>
    <mergeCell ref="C81:E81"/>
    <mergeCell ref="O81:R81"/>
    <mergeCell ref="A78:A79"/>
    <mergeCell ref="C78:E78"/>
    <mergeCell ref="O78:R78"/>
    <mergeCell ref="C79:E79"/>
    <mergeCell ref="O79:R79"/>
    <mergeCell ref="A76:A77"/>
    <mergeCell ref="C76:E76"/>
    <mergeCell ref="O76:R76"/>
    <mergeCell ref="C77:E77"/>
    <mergeCell ref="O77:R77"/>
    <mergeCell ref="A71:A73"/>
    <mergeCell ref="C71:E71"/>
    <mergeCell ref="O71:R71"/>
    <mergeCell ref="A74:A75"/>
    <mergeCell ref="C74:E74"/>
    <mergeCell ref="O74:R74"/>
    <mergeCell ref="C75:E75"/>
    <mergeCell ref="C86:G86"/>
    <mergeCell ref="O86:R86"/>
    <mergeCell ref="C85:G85"/>
    <mergeCell ref="O85:R85"/>
    <mergeCell ref="C83:E83"/>
    <mergeCell ref="O84:R84"/>
    <mergeCell ref="A86:A87"/>
    <mergeCell ref="C88:G88"/>
    <mergeCell ref="O88:R88"/>
    <mergeCell ref="A82:A83"/>
    <mergeCell ref="C82:E82"/>
    <mergeCell ref="O82:R82"/>
    <mergeCell ref="O83:R83"/>
    <mergeCell ref="C87:G87"/>
    <mergeCell ref="O87:R87"/>
    <mergeCell ref="C96:G96"/>
    <mergeCell ref="L96:N96"/>
    <mergeCell ref="C94:G94"/>
    <mergeCell ref="O94:R94"/>
    <mergeCell ref="C95:G95"/>
    <mergeCell ref="O95:R95"/>
    <mergeCell ref="C97:G97"/>
    <mergeCell ref="O97:R97"/>
    <mergeCell ref="A98:A106"/>
    <mergeCell ref="C98:G98"/>
    <mergeCell ref="O98:R98"/>
    <mergeCell ref="A94:A95"/>
    <mergeCell ref="S98:S102"/>
    <mergeCell ref="C99:G99"/>
    <mergeCell ref="C100:G100"/>
    <mergeCell ref="C101:G101"/>
    <mergeCell ref="C102:G102"/>
    <mergeCell ref="C103:G103"/>
    <mergeCell ref="O103:R106"/>
    <mergeCell ref="S103:S106"/>
    <mergeCell ref="C104:G104"/>
    <mergeCell ref="C105:G105"/>
    <mergeCell ref="C106:G106"/>
    <mergeCell ref="A109:D109"/>
    <mergeCell ref="G109:K109"/>
    <mergeCell ref="N109:P109"/>
    <mergeCell ref="A110:D110"/>
    <mergeCell ref="G110:K110"/>
    <mergeCell ref="N110:P110"/>
    <mergeCell ref="A111:D111"/>
    <mergeCell ref="G111:K111"/>
    <mergeCell ref="N111:P111"/>
    <mergeCell ref="B115:C115"/>
    <mergeCell ref="D115:E115"/>
    <mergeCell ref="F115:G115"/>
    <mergeCell ref="H115:K115"/>
    <mergeCell ref="L115:N115"/>
    <mergeCell ref="Q115:R115"/>
    <mergeCell ref="B116:C116"/>
    <mergeCell ref="D116:E116"/>
    <mergeCell ref="F116:G116"/>
    <mergeCell ref="H116:K116"/>
    <mergeCell ref="L116:N116"/>
    <mergeCell ref="Q116:R116"/>
    <mergeCell ref="B117:C117"/>
    <mergeCell ref="D117:E117"/>
    <mergeCell ref="F117:G117"/>
    <mergeCell ref="H117:K117"/>
    <mergeCell ref="L117:N117"/>
    <mergeCell ref="Q117:R117"/>
    <mergeCell ref="A48:A49"/>
    <mergeCell ref="C48:E48"/>
    <mergeCell ref="O48:R48"/>
    <mergeCell ref="A52:A53"/>
    <mergeCell ref="C52:E52"/>
    <mergeCell ref="O52:R52"/>
    <mergeCell ref="C53:E53"/>
    <mergeCell ref="O53:R53"/>
    <mergeCell ref="C90:G90"/>
    <mergeCell ref="O90:R90"/>
    <mergeCell ref="C91:G91"/>
    <mergeCell ref="O91:R91"/>
    <mergeCell ref="A88:A91"/>
    <mergeCell ref="A92:A93"/>
    <mergeCell ref="C92:G92"/>
    <mergeCell ref="O92:R92"/>
    <mergeCell ref="C93:G93"/>
    <mergeCell ref="O93:R93"/>
    <mergeCell ref="V48:X48"/>
    <mergeCell ref="C49:E49"/>
    <mergeCell ref="O49:R49"/>
    <mergeCell ref="V49:X49"/>
    <mergeCell ref="A50:A51"/>
    <mergeCell ref="C50:E50"/>
    <mergeCell ref="O50:R50"/>
    <mergeCell ref="C51:E51"/>
    <mergeCell ref="O51:R51"/>
  </mergeCells>
  <phoneticPr fontId="26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A119"/>
  <sheetViews>
    <sheetView topLeftCell="I93" workbookViewId="0">
      <selection activeCell="S116" sqref="S116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4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903</v>
      </c>
      <c r="O2" s="1319"/>
      <c r="P2" s="1320"/>
      <c r="Q2" s="1318" t="s">
        <v>1198</v>
      </c>
      <c r="R2" s="1320"/>
      <c r="S2" s="642" t="s">
        <v>998</v>
      </c>
    </row>
    <row r="3" spans="1:23" ht="7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1200</v>
      </c>
      <c r="O3" s="1319"/>
      <c r="P3" s="1320"/>
      <c r="Q3" s="1318" t="s">
        <v>1201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1199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45257</v>
      </c>
      <c r="D5" s="419" t="s">
        <v>1197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36" customHeight="1">
      <c r="A9" s="1325" t="s">
        <v>6</v>
      </c>
      <c r="B9" s="84" t="s">
        <v>0</v>
      </c>
      <c r="C9" s="850" t="s">
        <v>42</v>
      </c>
      <c r="D9" s="649">
        <v>1.38</v>
      </c>
      <c r="E9" s="815">
        <v>805</v>
      </c>
      <c r="F9" s="815">
        <f>'102'!O64</f>
        <v>850</v>
      </c>
      <c r="G9" s="1311">
        <f>'102'!K64</f>
        <v>7652</v>
      </c>
      <c r="H9" s="1312"/>
      <c r="I9" s="1313"/>
      <c r="J9" s="814">
        <f>'102'!L64</f>
        <v>73</v>
      </c>
      <c r="K9" s="1314">
        <f>'102'!P64</f>
        <v>0.75019607843137259</v>
      </c>
      <c r="L9" s="1315"/>
      <c r="M9" s="1316"/>
      <c r="N9" s="820">
        <f>J9/(G9+J9)</f>
        <v>9.4498381877022655E-3</v>
      </c>
      <c r="O9" s="1521" t="str">
        <f>'102'!U64</f>
        <v>08:00-10:04開電熱、加料開機NG  73KG
19:20最後一支交接班</v>
      </c>
      <c r="P9" s="1522"/>
      <c r="Q9" s="1522"/>
      <c r="R9" s="1523"/>
      <c r="S9" s="892" t="str">
        <f>'102'!V64</f>
        <v>阮明演</v>
      </c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>
        <v>1.38</v>
      </c>
      <c r="E10" s="880">
        <v>805</v>
      </c>
      <c r="F10" s="880">
        <f>'102'!O65</f>
        <v>850</v>
      </c>
      <c r="G10" s="1327">
        <f>'102'!K65</f>
        <v>9607</v>
      </c>
      <c r="H10" s="1328"/>
      <c r="I10" s="1329"/>
      <c r="J10" s="423">
        <f>'102'!L65</f>
        <v>0</v>
      </c>
      <c r="K10" s="1314">
        <f>'102'!P65</f>
        <v>0.94186274509803924</v>
      </c>
      <c r="L10" s="1315"/>
      <c r="M10" s="1316"/>
      <c r="N10" s="820">
        <f>J10/(G10+J10)</f>
        <v>0</v>
      </c>
      <c r="O10" s="1521" t="str">
        <f>'102'!U65</f>
        <v>07:00最後一支交接班</v>
      </c>
      <c r="P10" s="1522"/>
      <c r="Q10" s="1522"/>
      <c r="R10" s="1523"/>
      <c r="S10" s="892" t="str">
        <f>'102'!V65</f>
        <v>阮宏山</v>
      </c>
      <c r="U10" s="420" t="s">
        <v>633</v>
      </c>
      <c r="V10" s="880"/>
      <c r="W10" s="880"/>
    </row>
    <row r="11" spans="1:23" ht="36.75" customHeight="1">
      <c r="A11" s="1325" t="s">
        <v>7</v>
      </c>
      <c r="B11" s="84" t="s">
        <v>205</v>
      </c>
      <c r="C11" s="850" t="s">
        <v>44</v>
      </c>
      <c r="D11" s="649">
        <v>0.25</v>
      </c>
      <c r="E11" s="815">
        <v>870</v>
      </c>
      <c r="F11" s="815">
        <f>'103'!O62</f>
        <v>350</v>
      </c>
      <c r="G11" s="1311">
        <f>'103'!K62</f>
        <v>3532</v>
      </c>
      <c r="H11" s="1312"/>
      <c r="I11" s="1313"/>
      <c r="J11" s="814">
        <f>'103'!L62</f>
        <v>37</v>
      </c>
      <c r="K11" s="1314">
        <f>'103'!P62</f>
        <v>0.84095238095238101</v>
      </c>
      <c r="L11" s="1315"/>
      <c r="M11" s="1316"/>
      <c r="N11" s="820">
        <f>J11/(G11+J11)</f>
        <v>1.0367049593723731E-2</v>
      </c>
      <c r="O11" s="1308" t="str">
        <f>'103'!U62</f>
        <v>08:0-08:46開電熱,開機NG  37KG
19:45最後一支交接班</v>
      </c>
      <c r="P11" s="1309"/>
      <c r="Q11" s="1309"/>
      <c r="R11" s="1310"/>
      <c r="S11" s="822" t="str">
        <f>'103'!V62</f>
        <v>史豐銘</v>
      </c>
    </row>
    <row r="12" spans="1:23" ht="17.25" customHeight="1">
      <c r="A12" s="1336"/>
      <c r="B12" s="881" t="s">
        <v>207</v>
      </c>
      <c r="C12" s="422" t="s">
        <v>44</v>
      </c>
      <c r="D12" s="421">
        <v>0.25</v>
      </c>
      <c r="E12" s="880">
        <v>870</v>
      </c>
      <c r="F12" s="880">
        <f>'103'!O63</f>
        <v>350</v>
      </c>
      <c r="G12" s="1327">
        <f>'103'!K63</f>
        <v>3122</v>
      </c>
      <c r="H12" s="1328"/>
      <c r="I12" s="1329"/>
      <c r="J12" s="423">
        <f>'103'!L63</f>
        <v>0</v>
      </c>
      <c r="K12" s="1314">
        <f>'103'!P63</f>
        <v>0.74333333333333329</v>
      </c>
      <c r="L12" s="1315"/>
      <c r="M12" s="1316"/>
      <c r="N12" s="820">
        <f>J12/(G12+J12)</f>
        <v>0</v>
      </c>
      <c r="O12" s="1308" t="str">
        <f>'103'!U63</f>
        <v>08:07最後一支交接班</v>
      </c>
      <c r="P12" s="1309"/>
      <c r="Q12" s="1309"/>
      <c r="R12" s="1310"/>
      <c r="S12" s="822" t="str">
        <f>'103'!V63</f>
        <v>盧宇昇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20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20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20"/>
      <c r="O17" s="1364"/>
      <c r="P17" s="1365"/>
      <c r="Q17" s="1365"/>
      <c r="R17" s="1366"/>
      <c r="S17" s="822"/>
    </row>
    <row r="18" spans="1:19" ht="17.25" customHeight="1">
      <c r="A18" s="1371"/>
      <c r="B18" s="881" t="s">
        <v>43</v>
      </c>
      <c r="C18" s="422" t="s">
        <v>42</v>
      </c>
      <c r="D18" s="421" t="s">
        <v>633</v>
      </c>
      <c r="E18" s="880"/>
      <c r="F18" s="880"/>
      <c r="G18" s="1327"/>
      <c r="H18" s="1328"/>
      <c r="I18" s="1329"/>
      <c r="J18" s="423"/>
      <c r="K18" s="1541"/>
      <c r="L18" s="1542"/>
      <c r="M18" s="1543"/>
      <c r="N18" s="820"/>
      <c r="O18" s="1348"/>
      <c r="P18" s="1349"/>
      <c r="Q18" s="1349"/>
      <c r="R18" s="1350"/>
      <c r="S18" s="877"/>
    </row>
    <row r="19" spans="1:19" ht="35.25" customHeight="1">
      <c r="A19" s="1362" t="s">
        <v>418</v>
      </c>
      <c r="B19" s="84" t="s">
        <v>205</v>
      </c>
      <c r="C19" s="850" t="s">
        <v>44</v>
      </c>
      <c r="D19" s="649">
        <v>0.55000000000000004</v>
      </c>
      <c r="E19" s="815">
        <v>780</v>
      </c>
      <c r="F19" s="815">
        <f>'107'!O64</f>
        <v>450</v>
      </c>
      <c r="G19" s="1311">
        <f>'107'!K64</f>
        <v>4024</v>
      </c>
      <c r="H19" s="1312"/>
      <c r="I19" s="1313"/>
      <c r="J19" s="814">
        <f>'107'!L64</f>
        <v>59</v>
      </c>
      <c r="K19" s="1314">
        <f>'107'!P64</f>
        <v>0.74518518518518517</v>
      </c>
      <c r="L19" s="1315"/>
      <c r="M19" s="1316"/>
      <c r="N19" s="820">
        <f>J19/(G19+J19)</f>
        <v>1.4450159196669116E-2</v>
      </c>
      <c r="O19" s="1364" t="str">
        <f>'107'!U64</f>
        <v>19:16最後一支交接班
08:00-10:00開電熱,開機NG  59KG</v>
      </c>
      <c r="P19" s="1365"/>
      <c r="Q19" s="1365"/>
      <c r="R19" s="1366"/>
      <c r="S19" s="822" t="str">
        <f>'107'!V64</f>
        <v>林子維</v>
      </c>
    </row>
    <row r="20" spans="1:19" ht="17.25" customHeight="1">
      <c r="A20" s="1363"/>
      <c r="B20" s="881" t="s">
        <v>43</v>
      </c>
      <c r="C20" s="422" t="s">
        <v>44</v>
      </c>
      <c r="D20" s="421">
        <v>0.55000000000000004</v>
      </c>
      <c r="E20" s="880">
        <v>780</v>
      </c>
      <c r="F20" s="880">
        <f>'107'!O65</f>
        <v>450</v>
      </c>
      <c r="G20" s="1327">
        <f>'107'!K65</f>
        <v>5524</v>
      </c>
      <c r="H20" s="1328"/>
      <c r="I20" s="1329"/>
      <c r="J20" s="423">
        <f>'107'!L65</f>
        <v>0</v>
      </c>
      <c r="K20" s="1314">
        <f>'107'!P65</f>
        <v>1.0229629629629631</v>
      </c>
      <c r="L20" s="1315"/>
      <c r="M20" s="1316"/>
      <c r="N20" s="820">
        <f>J20/(G20+J20)</f>
        <v>0</v>
      </c>
      <c r="O20" s="1364" t="str">
        <f>'107'!U65</f>
        <v>08:03最後一支交接班</v>
      </c>
      <c r="P20" s="1365"/>
      <c r="Q20" s="1365"/>
      <c r="R20" s="1366"/>
      <c r="S20" s="822" t="str">
        <f>'107'!V65</f>
        <v>黃隨貴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33461</v>
      </c>
      <c r="J21" s="833">
        <f>SUM(J7:J20)</f>
        <v>169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33461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17.25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899</v>
      </c>
      <c r="G48" s="828" t="e">
        <f>#REF!</f>
        <v>#REF!</v>
      </c>
      <c r="H48" s="815"/>
      <c r="I48" s="827">
        <v>3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17.25" customHeight="1">
      <c r="A49" s="1127"/>
      <c r="B49" s="881" t="s">
        <v>43</v>
      </c>
      <c r="C49" s="1360" t="s">
        <v>633</v>
      </c>
      <c r="D49" s="1360"/>
      <c r="E49" s="1360"/>
      <c r="F49" s="418"/>
      <c r="G49" s="660"/>
      <c r="H49" s="880"/>
      <c r="I49" s="418"/>
      <c r="J49" s="660"/>
      <c r="K49" s="660"/>
      <c r="L49" s="660"/>
      <c r="M49" s="661"/>
      <c r="N49" s="662"/>
      <c r="O49" s="1361"/>
      <c r="P49" s="1361"/>
      <c r="Q49" s="1361"/>
      <c r="R49" s="1361"/>
      <c r="S49" s="822"/>
      <c r="V49" s="1382" t="s">
        <v>633</v>
      </c>
      <c r="W49" s="1383"/>
      <c r="X49" s="1384"/>
    </row>
    <row r="50" spans="1:24" ht="51.75" customHeight="1">
      <c r="A50" s="1126" t="s">
        <v>22</v>
      </c>
      <c r="B50" s="84" t="s">
        <v>0</v>
      </c>
      <c r="C50" s="1427" t="e">
        <f>#REF!</f>
        <v>#REF!</v>
      </c>
      <c r="D50" s="1427"/>
      <c r="E50" s="1427"/>
      <c r="F50" s="827" t="s">
        <v>1215</v>
      </c>
      <c r="G50" s="852" t="e">
        <f>#REF!</f>
        <v>#REF!</v>
      </c>
      <c r="H50" s="815"/>
      <c r="I50" s="827">
        <v>4</v>
      </c>
      <c r="J50" s="852" t="e">
        <f>#REF!</f>
        <v>#REF!</v>
      </c>
      <c r="K50" s="885" t="e">
        <f>#REF!</f>
        <v>#REF!</v>
      </c>
      <c r="L50" s="885" t="e">
        <f>#REF!</f>
        <v>#REF!</v>
      </c>
      <c r="M50" s="863" t="e">
        <f>#REF!</f>
        <v>#REF!</v>
      </c>
      <c r="N50" s="415" t="e">
        <f>#REF!</f>
        <v>#REF!</v>
      </c>
      <c r="O50" s="1364" t="e">
        <f>#REF!</f>
        <v>#REF!</v>
      </c>
      <c r="P50" s="1365"/>
      <c r="Q50" s="1365"/>
      <c r="R50" s="1366"/>
      <c r="S50" s="821" t="e">
        <f>#REF!</f>
        <v>#REF!</v>
      </c>
    </row>
    <row r="51" spans="1:24" ht="17.25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1216</v>
      </c>
      <c r="G51" s="840" t="e">
        <f>#REF!</f>
        <v>#REF!</v>
      </c>
      <c r="H51" s="880"/>
      <c r="I51" s="418">
        <v>4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37.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2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17.25" customHeight="1">
      <c r="A53" s="1563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4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s">
        <v>633</v>
      </c>
      <c r="D54" s="1427"/>
      <c r="E54" s="1427"/>
      <c r="F54" s="827"/>
      <c r="G54" s="828"/>
      <c r="H54" s="815"/>
      <c r="I54" s="827"/>
      <c r="J54" s="828"/>
      <c r="K54" s="828"/>
      <c r="L54" s="828"/>
      <c r="M54" s="661"/>
      <c r="N54" s="662"/>
      <c r="O54" s="1361"/>
      <c r="P54" s="1361"/>
      <c r="Q54" s="1361"/>
      <c r="R54" s="1361"/>
      <c r="S54" s="877"/>
    </row>
    <row r="55" spans="1:24" ht="51" customHeight="1">
      <c r="A55" s="1127"/>
      <c r="B55" s="381" t="s">
        <v>43</v>
      </c>
      <c r="C55" s="1360" t="e">
        <f>#REF!</f>
        <v>#REF!</v>
      </c>
      <c r="D55" s="1360"/>
      <c r="E55" s="1360"/>
      <c r="F55" s="418" t="s">
        <v>1217</v>
      </c>
      <c r="G55" s="660" t="e">
        <f>#REF!</f>
        <v>#REF!</v>
      </c>
      <c r="H55" s="880"/>
      <c r="I55" s="418">
        <v>2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661" t="e">
        <f>#REF!</f>
        <v>#REF!</v>
      </c>
      <c r="N55" s="662" t="e">
        <f>#REF!</f>
        <v>#REF!</v>
      </c>
      <c r="O55" s="1361" t="e">
        <f>#REF!</f>
        <v>#REF!</v>
      </c>
      <c r="P55" s="1361"/>
      <c r="Q55" s="1361"/>
      <c r="R55" s="1361"/>
      <c r="S55" s="877" t="e">
        <f>#REF!</f>
        <v>#REF!</v>
      </c>
    </row>
    <row r="56" spans="1:24" ht="35.25" customHeight="1">
      <c r="A56" s="1126" t="s">
        <v>634</v>
      </c>
      <c r="B56" s="84" t="s">
        <v>0</v>
      </c>
      <c r="C56" s="1427" t="e">
        <f>#REF!</f>
        <v>#REF!</v>
      </c>
      <c r="D56" s="1427"/>
      <c r="E56" s="1427"/>
      <c r="F56" s="827" t="s">
        <v>775</v>
      </c>
      <c r="G56" s="828" t="e">
        <f>#REF!</f>
        <v>#REF!</v>
      </c>
      <c r="H56" s="815"/>
      <c r="I56" s="827">
        <v>5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16" t="e">
        <f>#REF!</f>
        <v>#REF!</v>
      </c>
      <c r="N56" s="817" t="e">
        <f>#REF!</f>
        <v>#REF!</v>
      </c>
      <c r="O56" s="1430" t="e">
        <f>#REF!</f>
        <v>#REF!</v>
      </c>
      <c r="P56" s="1431"/>
      <c r="Q56" s="1431"/>
      <c r="R56" s="1432"/>
      <c r="S56" s="822" t="e">
        <f>#REF!</f>
        <v>#REF!</v>
      </c>
    </row>
    <row r="57" spans="1:24" ht="17.25" customHeight="1">
      <c r="A57" s="1127"/>
      <c r="B57" s="381" t="s">
        <v>43</v>
      </c>
      <c r="C57" s="1360" t="e">
        <f>#REF!</f>
        <v>#REF!</v>
      </c>
      <c r="D57" s="1360"/>
      <c r="E57" s="1360"/>
      <c r="F57" s="418" t="s">
        <v>775</v>
      </c>
      <c r="G57" s="660" t="e">
        <f>#REF!</f>
        <v>#REF!</v>
      </c>
      <c r="H57" s="880"/>
      <c r="I57" s="418">
        <v>5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16" t="e">
        <f>#REF!</f>
        <v>#REF!</v>
      </c>
      <c r="N57" s="817" t="e">
        <f>#REF!</f>
        <v>#REF!</v>
      </c>
      <c r="O57" s="1430" t="e">
        <f>#REF!</f>
        <v>#REF!</v>
      </c>
      <c r="P57" s="1431"/>
      <c r="Q57" s="1431"/>
      <c r="R57" s="1432"/>
      <c r="S57" s="822" t="e">
        <f>#REF!</f>
        <v>#REF!</v>
      </c>
    </row>
    <row r="58" spans="1:24" ht="17.25" customHeight="1">
      <c r="A58" s="1126" t="s">
        <v>416</v>
      </c>
      <c r="B58" s="84" t="s">
        <v>0</v>
      </c>
      <c r="C58" s="1427" t="s">
        <v>633</v>
      </c>
      <c r="D58" s="1427"/>
      <c r="E58" s="1427"/>
      <c r="F58" s="827"/>
      <c r="G58" s="828"/>
      <c r="H58" s="815"/>
      <c r="I58" s="827"/>
      <c r="J58" s="828"/>
      <c r="K58" s="828"/>
      <c r="L58" s="828"/>
      <c r="M58" s="816"/>
      <c r="N58" s="818"/>
      <c r="O58" s="1333"/>
      <c r="P58" s="1334"/>
      <c r="Q58" s="1334"/>
      <c r="R58" s="1335"/>
      <c r="S58" s="895"/>
    </row>
    <row r="59" spans="1:24" ht="17.25" customHeight="1">
      <c r="A59" s="1189"/>
      <c r="B59" s="381" t="s">
        <v>43</v>
      </c>
      <c r="C59" s="1360" t="s">
        <v>633</v>
      </c>
      <c r="D59" s="1360"/>
      <c r="E59" s="1360"/>
      <c r="F59" s="418"/>
      <c r="G59" s="660"/>
      <c r="H59" s="880"/>
      <c r="I59" s="418"/>
      <c r="J59" s="660"/>
      <c r="K59" s="660"/>
      <c r="L59" s="660"/>
      <c r="M59" s="816"/>
      <c r="N59" s="818"/>
      <c r="O59" s="1333"/>
      <c r="P59" s="1334"/>
      <c r="Q59" s="1334"/>
      <c r="R59" s="1335"/>
      <c r="S59" s="855"/>
    </row>
    <row r="60" spans="1:24" ht="69.75" customHeight="1">
      <c r="A60" s="1126" t="s">
        <v>635</v>
      </c>
      <c r="B60" s="84" t="s">
        <v>0</v>
      </c>
      <c r="C60" s="1427" t="e">
        <f>#REF!</f>
        <v>#REF!</v>
      </c>
      <c r="D60" s="1427"/>
      <c r="E60" s="1427"/>
      <c r="F60" s="827" t="s">
        <v>1218</v>
      </c>
      <c r="G60" s="828" t="e">
        <f>#REF!</f>
        <v>#REF!</v>
      </c>
      <c r="H60" s="815"/>
      <c r="I60" s="827">
        <v>1</v>
      </c>
      <c r="J60" s="828" t="e">
        <f>#REF!</f>
        <v>#REF!</v>
      </c>
      <c r="K60" s="828" t="e">
        <f>#REF!</f>
        <v>#REF!</v>
      </c>
      <c r="L60" s="828" t="e">
        <f>#REF!</f>
        <v>#REF!</v>
      </c>
      <c r="M60" s="816" t="e">
        <f>#REF!</f>
        <v>#REF!</v>
      </c>
      <c r="N60" s="817" t="e">
        <f>#REF!</f>
        <v>#REF!</v>
      </c>
      <c r="O60" s="1436" t="e">
        <f>#REF!</f>
        <v>#REF!</v>
      </c>
      <c r="P60" s="1436"/>
      <c r="Q60" s="1436"/>
      <c r="R60" s="1436"/>
      <c r="S60" s="848" t="e">
        <f>#REF!</f>
        <v>#REF!</v>
      </c>
    </row>
    <row r="61" spans="1:24" ht="34.5" customHeight="1">
      <c r="A61" s="1189"/>
      <c r="B61" s="381" t="s">
        <v>43</v>
      </c>
      <c r="C61" s="1360" t="e">
        <f>#REF!</f>
        <v>#REF!</v>
      </c>
      <c r="D61" s="1360"/>
      <c r="E61" s="1360"/>
      <c r="F61" s="418" t="s">
        <v>1219</v>
      </c>
      <c r="G61" s="660" t="e">
        <f>#REF!</f>
        <v>#REF!</v>
      </c>
      <c r="H61" s="880"/>
      <c r="I61" s="418">
        <v>1</v>
      </c>
      <c r="J61" s="660" t="e">
        <f>#REF!</f>
        <v>#REF!</v>
      </c>
      <c r="K61" s="660" t="e">
        <f>#REF!</f>
        <v>#REF!</v>
      </c>
      <c r="L61" s="660" t="e">
        <f>#REF!</f>
        <v>#REF!</v>
      </c>
      <c r="M61" s="816" t="e">
        <f>#REF!</f>
        <v>#REF!</v>
      </c>
      <c r="N61" s="817" t="e">
        <f>#REF!</f>
        <v>#REF!</v>
      </c>
      <c r="O61" s="1436" t="e">
        <f>#REF!</f>
        <v>#REF!</v>
      </c>
      <c r="P61" s="1436"/>
      <c r="Q61" s="1436"/>
      <c r="R61" s="1436"/>
      <c r="S61" s="848" t="e">
        <f>#REF!</f>
        <v>#REF!</v>
      </c>
    </row>
    <row r="62" spans="1:24" ht="17.25" customHeight="1">
      <c r="A62" s="1126" t="s">
        <v>636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27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21"/>
    </row>
    <row r="64" spans="1:24" ht="17.25" customHeight="1">
      <c r="A64" s="831"/>
      <c r="B64" s="841"/>
      <c r="C64" s="882"/>
      <c r="D64" s="883"/>
      <c r="E64" s="884"/>
      <c r="F64" s="827"/>
      <c r="G64" s="828"/>
      <c r="H64" s="815"/>
      <c r="I64" s="827"/>
      <c r="J64" s="832" t="s">
        <v>666</v>
      </c>
      <c r="K64" s="836" t="e">
        <f>SUM(K48:K63)</f>
        <v>#REF!</v>
      </c>
      <c r="L64" s="839"/>
      <c r="M64" s="816"/>
      <c r="N64" s="817"/>
      <c r="O64" s="1433"/>
      <c r="P64" s="1434"/>
      <c r="Q64" s="1434"/>
      <c r="R64" s="1435"/>
      <c r="S64" s="811"/>
    </row>
    <row r="65" spans="1:79" ht="17.25" customHeight="1">
      <c r="A65" s="1568" t="s">
        <v>25</v>
      </c>
      <c r="B65" s="84" t="s">
        <v>0</v>
      </c>
      <c r="C65" s="1427" t="s">
        <v>633</v>
      </c>
      <c r="D65" s="1427"/>
      <c r="E65" s="1427"/>
      <c r="F65" s="827"/>
      <c r="G65" s="828"/>
      <c r="H65" s="815"/>
      <c r="I65" s="827"/>
      <c r="J65" s="828"/>
      <c r="K65" s="828"/>
      <c r="L65" s="828"/>
      <c r="M65" s="659"/>
      <c r="N65" s="415"/>
      <c r="O65" s="1437"/>
      <c r="P65" s="1438"/>
      <c r="Q65" s="1438"/>
      <c r="R65" s="1439"/>
      <c r="S65" s="876"/>
    </row>
    <row r="66" spans="1:79" ht="17.25" customHeight="1">
      <c r="A66" s="1570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126" t="s">
        <v>62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549"/>
      <c r="P67" s="1550"/>
      <c r="Q67" s="1550"/>
      <c r="R67" s="1551"/>
      <c r="S67" s="893"/>
      <c r="T67" s="793"/>
      <c r="U67" s="793"/>
      <c r="V67" s="793"/>
      <c r="W67" s="793"/>
      <c r="X67" s="793"/>
      <c r="Y67" s="793"/>
      <c r="Z67" s="793"/>
      <c r="AA67" s="793"/>
      <c r="AB67" s="793"/>
      <c r="AC67" s="793"/>
      <c r="AD67" s="793"/>
      <c r="AE67" s="793"/>
      <c r="AF67" s="793"/>
      <c r="AG67" s="793"/>
      <c r="AH67" s="793"/>
      <c r="AI67" s="793"/>
      <c r="AJ67" s="793"/>
      <c r="AK67" s="793"/>
      <c r="AL67" s="793"/>
      <c r="AM67" s="793"/>
      <c r="AN67" s="793"/>
      <c r="AO67" s="793"/>
      <c r="AP67" s="793"/>
      <c r="AQ67" s="793"/>
      <c r="AR67" s="793"/>
      <c r="AS67" s="793"/>
      <c r="AT67" s="793"/>
      <c r="AU67" s="793"/>
      <c r="AV67" s="793"/>
      <c r="AW67" s="793"/>
      <c r="AX67" s="793"/>
      <c r="AY67" s="793"/>
      <c r="AZ67" s="793"/>
      <c r="BA67" s="793"/>
      <c r="BB67" s="793"/>
      <c r="BC67" s="793"/>
      <c r="BD67" s="793"/>
      <c r="BE67" s="793"/>
      <c r="BF67" s="793"/>
      <c r="BG67" s="793"/>
      <c r="BH67" s="793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</row>
    <row r="68" spans="1:79" ht="17.25" customHeight="1">
      <c r="A68" s="1189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549"/>
      <c r="P68" s="1550"/>
      <c r="Q68" s="1550"/>
      <c r="R68" s="1551"/>
      <c r="S68" s="893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36" customHeight="1">
      <c r="A69" s="1126" t="s">
        <v>640</v>
      </c>
      <c r="B69" s="84" t="s">
        <v>0</v>
      </c>
      <c r="C69" s="1427" t="e">
        <f>#REF!</f>
        <v>#REF!</v>
      </c>
      <c r="D69" s="1427"/>
      <c r="E69" s="1427"/>
      <c r="F69" s="827" t="s">
        <v>799</v>
      </c>
      <c r="G69" s="828" t="e">
        <f>#REF!</f>
        <v>#REF!</v>
      </c>
      <c r="H69" s="815"/>
      <c r="I69" s="827">
        <v>4</v>
      </c>
      <c r="J69" s="828" t="e">
        <f>#REF!</f>
        <v>#REF!</v>
      </c>
      <c r="K69" s="828" t="e">
        <f>#REF!</f>
        <v>#REF!</v>
      </c>
      <c r="L69" s="828" t="e">
        <f>#REF!</f>
        <v>#REF!</v>
      </c>
      <c r="M69" s="659" t="e">
        <f>#REF!</f>
        <v>#REF!</v>
      </c>
      <c r="N69" s="658" t="e">
        <f>#REF!</f>
        <v>#REF!</v>
      </c>
      <c r="O69" s="1437" t="e">
        <f>#REF!</f>
        <v>#REF!</v>
      </c>
      <c r="P69" s="1438"/>
      <c r="Q69" s="1438"/>
      <c r="R69" s="1439"/>
      <c r="S69" s="823" t="e">
        <f>#REF!</f>
        <v>#REF!</v>
      </c>
    </row>
    <row r="70" spans="1:79" ht="36" customHeight="1">
      <c r="A70" s="1127"/>
      <c r="B70" s="881" t="s">
        <v>43</v>
      </c>
      <c r="C70" s="1360" t="e">
        <f>#REF!</f>
        <v>#REF!</v>
      </c>
      <c r="D70" s="1360"/>
      <c r="E70" s="1360"/>
      <c r="F70" s="418" t="s">
        <v>799</v>
      </c>
      <c r="G70" s="660" t="e">
        <f>#REF!</f>
        <v>#REF!</v>
      </c>
      <c r="H70" s="880"/>
      <c r="I70" s="418">
        <v>3</v>
      </c>
      <c r="J70" s="660" t="e">
        <f>#REF!</f>
        <v>#REF!</v>
      </c>
      <c r="K70" s="660" t="e">
        <f>#REF!</f>
        <v>#REF!</v>
      </c>
      <c r="L70" s="660" t="e">
        <f>#REF!</f>
        <v>#REF!</v>
      </c>
      <c r="M70" s="659" t="e">
        <f>#REF!</f>
        <v>#REF!</v>
      </c>
      <c r="N70" s="658" t="e">
        <f>#REF!</f>
        <v>#REF!</v>
      </c>
      <c r="O70" s="1437" t="e">
        <f>#REF!</f>
        <v>#REF!</v>
      </c>
      <c r="P70" s="1438"/>
      <c r="Q70" s="1438"/>
      <c r="R70" s="1439"/>
      <c r="S70" s="823" t="e">
        <f>#REF!</f>
        <v>#REF!</v>
      </c>
    </row>
    <row r="71" spans="1:79" ht="17.25" customHeight="1">
      <c r="A71" s="1440" t="s">
        <v>26</v>
      </c>
      <c r="B71" s="84" t="s">
        <v>0</v>
      </c>
      <c r="C71" s="1427" t="e">
        <f>#REF!</f>
        <v>#REF!</v>
      </c>
      <c r="D71" s="1427"/>
      <c r="E71" s="1427"/>
      <c r="F71" s="827" t="s">
        <v>732</v>
      </c>
      <c r="G71" s="828" t="e">
        <f>#REF!</f>
        <v>#REF!</v>
      </c>
      <c r="H71" s="815"/>
      <c r="I71" s="827">
        <v>2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842" t="e">
        <f>#REF!</f>
        <v>#REF!</v>
      </c>
      <c r="N71" s="415" t="e">
        <f>#REF!</f>
        <v>#REF!</v>
      </c>
      <c r="O71" s="1442" t="e">
        <f>#REF!</f>
        <v>#REF!</v>
      </c>
      <c r="P71" s="1443"/>
      <c r="Q71" s="1443"/>
      <c r="R71" s="1444"/>
      <c r="S71" s="822" t="e">
        <f>#REF!</f>
        <v>#REF!</v>
      </c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36" customHeight="1">
      <c r="A72" s="1547"/>
      <c r="B72" s="881" t="s">
        <v>43</v>
      </c>
      <c r="C72" s="1360" t="e">
        <f>#REF!</f>
        <v>#REF!</v>
      </c>
      <c r="D72" s="1360"/>
      <c r="E72" s="1360"/>
      <c r="F72" s="418" t="s">
        <v>732</v>
      </c>
      <c r="G72" s="660" t="e">
        <f>#REF!</f>
        <v>#REF!</v>
      </c>
      <c r="H72" s="880"/>
      <c r="I72" s="418">
        <v>2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842" t="e">
        <f>#REF!</f>
        <v>#REF!</v>
      </c>
      <c r="N72" s="415" t="e">
        <f>#REF!</f>
        <v>#REF!</v>
      </c>
      <c r="O72" s="1442" t="e">
        <f>#REF!</f>
        <v>#REF!</v>
      </c>
      <c r="P72" s="1443"/>
      <c r="Q72" s="1443"/>
      <c r="R72" s="1444"/>
      <c r="S72" s="822" t="e">
        <f>#REF!</f>
        <v>#REF!</v>
      </c>
      <c r="T72" s="793"/>
      <c r="U72" s="793"/>
      <c r="V72" s="793"/>
      <c r="W72" s="793"/>
      <c r="X72" s="793"/>
      <c r="Y72" s="793"/>
      <c r="Z72" s="793"/>
      <c r="AA72" s="793"/>
      <c r="AB72" s="793"/>
      <c r="AC72" s="793"/>
      <c r="AD72" s="793"/>
      <c r="AE72" s="793"/>
      <c r="AF72" s="793"/>
      <c r="AG72" s="793"/>
      <c r="AH72" s="793"/>
      <c r="AI72" s="793"/>
      <c r="AJ72" s="793"/>
      <c r="AK72" s="793"/>
      <c r="AL72" s="793"/>
      <c r="AM72" s="793"/>
      <c r="AN72" s="793"/>
      <c r="AO72" s="793"/>
      <c r="AP72" s="793"/>
      <c r="AQ72" s="793"/>
      <c r="AR72" s="793"/>
      <c r="AS72" s="793"/>
      <c r="AT72" s="793"/>
      <c r="AU72" s="793"/>
      <c r="AV72" s="793"/>
      <c r="AW72" s="793"/>
      <c r="AX72" s="793"/>
      <c r="AY72" s="793"/>
      <c r="AZ72" s="793"/>
      <c r="BA72" s="793"/>
      <c r="BB72" s="793"/>
      <c r="BC72" s="793"/>
      <c r="BD72" s="793"/>
      <c r="BE72" s="793"/>
      <c r="BF72" s="793"/>
      <c r="BG72" s="793"/>
      <c r="BH72" s="793"/>
      <c r="BI72" s="793"/>
      <c r="BJ72" s="793"/>
      <c r="BK72" s="793"/>
      <c r="BL72" s="793"/>
      <c r="BM72" s="793"/>
      <c r="BN72" s="793"/>
      <c r="BO72" s="793"/>
      <c r="BP72" s="793"/>
      <c r="BQ72" s="793"/>
      <c r="BR72" s="793"/>
      <c r="BS72" s="793"/>
      <c r="BT72" s="793"/>
      <c r="BU72" s="793"/>
      <c r="BV72" s="793"/>
      <c r="BW72" s="793"/>
      <c r="BX72" s="793"/>
      <c r="BY72" s="793"/>
      <c r="BZ72" s="793"/>
      <c r="CA72" s="793"/>
    </row>
    <row r="73" spans="1:79" ht="17.25" customHeight="1">
      <c r="A73" s="1440" t="s">
        <v>27</v>
      </c>
      <c r="B73" s="841" t="s">
        <v>0</v>
      </c>
      <c r="C73" s="1427" t="e">
        <f>#REF!</f>
        <v>#REF!</v>
      </c>
      <c r="D73" s="1427"/>
      <c r="E73" s="1427"/>
      <c r="F73" s="827" t="s">
        <v>734</v>
      </c>
      <c r="G73" s="828" t="e">
        <f>#REF!</f>
        <v>#REF!</v>
      </c>
      <c r="H73" s="815"/>
      <c r="I73" s="827">
        <v>0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547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641</v>
      </c>
      <c r="B75" s="84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659"/>
      <c r="N75" s="415"/>
      <c r="O75" s="1437"/>
      <c r="P75" s="1438"/>
      <c r="Q75" s="1438"/>
      <c r="R75" s="1439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659"/>
      <c r="N76" s="415"/>
      <c r="O76" s="1437"/>
      <c r="P76" s="1438"/>
      <c r="Q76" s="1438"/>
      <c r="R76" s="1439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126" t="s">
        <v>642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816"/>
      <c r="N77" s="415"/>
      <c r="O77" s="1437"/>
      <c r="P77" s="1438"/>
      <c r="Q77" s="1438"/>
      <c r="R77" s="1439"/>
      <c r="S77" s="823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12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816"/>
      <c r="N78" s="415"/>
      <c r="O78" s="1437"/>
      <c r="P78" s="1438"/>
      <c r="Q78" s="1438"/>
      <c r="R78" s="1439"/>
      <c r="S78" s="823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643</v>
      </c>
      <c r="B79" s="84" t="s">
        <v>0</v>
      </c>
      <c r="C79" s="1427" t="s">
        <v>633</v>
      </c>
      <c r="D79" s="1427"/>
      <c r="E79" s="1427"/>
      <c r="F79" s="827"/>
      <c r="G79" s="828"/>
      <c r="H79" s="815"/>
      <c r="I79" s="827"/>
      <c r="J79" s="828"/>
      <c r="K79" s="828"/>
      <c r="L79" s="828"/>
      <c r="M79" s="659"/>
      <c r="N79" s="415"/>
      <c r="O79" s="1554"/>
      <c r="P79" s="1555"/>
      <c r="Q79" s="1555"/>
      <c r="R79" s="1556"/>
      <c r="S79" s="877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27"/>
      <c r="B80" s="881" t="s">
        <v>43</v>
      </c>
      <c r="C80" s="1360" t="s">
        <v>633</v>
      </c>
      <c r="D80" s="1360"/>
      <c r="E80" s="1360"/>
      <c r="F80" s="418"/>
      <c r="G80" s="660"/>
      <c r="H80" s="880"/>
      <c r="I80" s="418"/>
      <c r="J80" s="660"/>
      <c r="K80" s="660"/>
      <c r="L80" s="660"/>
      <c r="M80" s="659"/>
      <c r="N80" s="415"/>
      <c r="O80" s="1554"/>
      <c r="P80" s="1555"/>
      <c r="Q80" s="1555"/>
      <c r="R80" s="1556"/>
      <c r="S80" s="877"/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37.5" customHeight="1">
      <c r="A81" s="1126" t="s">
        <v>651</v>
      </c>
      <c r="B81" s="84" t="s">
        <v>0</v>
      </c>
      <c r="C81" s="1427" t="e">
        <f>#REF!</f>
        <v>#REF!</v>
      </c>
      <c r="D81" s="1427"/>
      <c r="E81" s="1427"/>
      <c r="F81" s="827" t="s">
        <v>828</v>
      </c>
      <c r="G81" s="828" t="e">
        <f>#REF!</f>
        <v>#REF!</v>
      </c>
      <c r="H81" s="815"/>
      <c r="I81" s="827">
        <v>3</v>
      </c>
      <c r="J81" s="828" t="e">
        <f>#REF!</f>
        <v>#REF!</v>
      </c>
      <c r="K81" s="828" t="e">
        <f>#REF!</f>
        <v>#REF!</v>
      </c>
      <c r="L81" s="828" t="e">
        <f>#REF!</f>
        <v>#REF!</v>
      </c>
      <c r="M81" s="659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35.25" customHeight="1">
      <c r="A82" s="1127"/>
      <c r="B82" s="881" t="s">
        <v>43</v>
      </c>
      <c r="C82" s="1360" t="e">
        <f>#REF!</f>
        <v>#REF!</v>
      </c>
      <c r="D82" s="1360"/>
      <c r="E82" s="1360"/>
      <c r="F82" s="418" t="s">
        <v>828</v>
      </c>
      <c r="G82" s="660" t="e">
        <f>#REF!</f>
        <v>#REF!</v>
      </c>
      <c r="H82" s="880"/>
      <c r="I82" s="418">
        <v>9</v>
      </c>
      <c r="J82" s="660" t="e">
        <f>#REF!</f>
        <v>#REF!</v>
      </c>
      <c r="K82" s="660" t="e">
        <f>#REF!</f>
        <v>#REF!</v>
      </c>
      <c r="L82" s="660" t="e">
        <f>#REF!</f>
        <v>#REF!</v>
      </c>
      <c r="M82" s="659" t="e">
        <f>#REF!</f>
        <v>#REF!</v>
      </c>
      <c r="N82" s="415" t="e">
        <f>#REF!</f>
        <v>#REF!</v>
      </c>
      <c r="O82" s="1437" t="e">
        <f>#REF!</f>
        <v>#REF!</v>
      </c>
      <c r="P82" s="1438"/>
      <c r="Q82" s="1438"/>
      <c r="R82" s="1439"/>
      <c r="S82" s="823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837"/>
      <c r="B83" s="841"/>
      <c r="C83" s="882"/>
      <c r="D83" s="883"/>
      <c r="E83" s="883"/>
      <c r="F83" s="845"/>
      <c r="G83" s="846"/>
      <c r="H83" s="815"/>
      <c r="I83" s="827"/>
      <c r="J83" s="834" t="s">
        <v>666</v>
      </c>
      <c r="K83" s="847" t="e">
        <f>SUM(K65:K82)</f>
        <v>#REF!</v>
      </c>
      <c r="L83" s="829"/>
      <c r="M83" s="659"/>
      <c r="N83" s="415"/>
      <c r="O83" s="1437"/>
      <c r="P83" s="1438"/>
      <c r="Q83" s="1438"/>
      <c r="R83" s="1439"/>
      <c r="S83" s="862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s="76" customFormat="1" ht="39" customHeight="1">
      <c r="A84" s="400" t="s">
        <v>63</v>
      </c>
      <c r="B84" s="400" t="s">
        <v>193</v>
      </c>
      <c r="C84" s="1445" t="s">
        <v>11</v>
      </c>
      <c r="D84" s="1446"/>
      <c r="E84" s="1446"/>
      <c r="F84" s="1446"/>
      <c r="G84" s="1447"/>
      <c r="H84" s="242" t="s">
        <v>216</v>
      </c>
      <c r="I84" s="242" t="s">
        <v>12</v>
      </c>
      <c r="J84" s="242" t="s">
        <v>13</v>
      </c>
      <c r="K84" s="405" t="s">
        <v>218</v>
      </c>
      <c r="L84" s="416" t="s">
        <v>60</v>
      </c>
      <c r="M84" s="257" t="s">
        <v>28</v>
      </c>
      <c r="N84" s="257" t="s">
        <v>45</v>
      </c>
      <c r="O84" s="1448" t="s">
        <v>29</v>
      </c>
      <c r="P84" s="1449"/>
      <c r="Q84" s="1449"/>
      <c r="R84" s="1450"/>
      <c r="S84" s="417" t="s">
        <v>57</v>
      </c>
    </row>
    <row r="85" spans="1:79" ht="18" customHeight="1">
      <c r="A85" s="1199">
        <v>401</v>
      </c>
      <c r="B85" s="84" t="s">
        <v>0</v>
      </c>
      <c r="C85" s="1290">
        <f>印401!I54</f>
        <v>0</v>
      </c>
      <c r="D85" s="1290"/>
      <c r="E85" s="1290"/>
      <c r="F85" s="1290"/>
      <c r="G85" s="1290"/>
      <c r="H85" s="849"/>
      <c r="I85" s="849">
        <f>印401!R54</f>
        <v>0</v>
      </c>
      <c r="J85" s="852">
        <f>印401!S54</f>
        <v>0</v>
      </c>
      <c r="K85" s="872">
        <f>印401!L54</f>
        <v>0</v>
      </c>
      <c r="L85" s="873">
        <f>印401!N54</f>
        <v>0</v>
      </c>
      <c r="M85" s="852">
        <f>印401!P54</f>
        <v>0</v>
      </c>
      <c r="N85" s="853">
        <f>印401!Q54</f>
        <v>0</v>
      </c>
      <c r="O85" s="1451"/>
      <c r="P85" s="1452"/>
      <c r="Q85" s="1452"/>
      <c r="R85" s="1453"/>
      <c r="S85" s="874">
        <f>印401!AB54</f>
        <v>0</v>
      </c>
    </row>
    <row r="86" spans="1:79" ht="18" customHeight="1">
      <c r="A86" s="1165"/>
      <c r="B86" s="881" t="s">
        <v>43</v>
      </c>
      <c r="C86" s="1454" t="e">
        <f>印401!#REF!</f>
        <v>#REF!</v>
      </c>
      <c r="D86" s="1454"/>
      <c r="E86" s="1454"/>
      <c r="F86" s="1454"/>
      <c r="G86" s="1454"/>
      <c r="H86" s="664"/>
      <c r="I86" s="664" t="e">
        <f>印401!#REF!</f>
        <v>#REF!</v>
      </c>
      <c r="J86" s="840" t="e">
        <f>印401!#REF!</f>
        <v>#REF!</v>
      </c>
      <c r="K86" s="424" t="e">
        <f>印401!#REF!</f>
        <v>#REF!</v>
      </c>
      <c r="L86" s="830" t="e">
        <f>印401!#REF!</f>
        <v>#REF!</v>
      </c>
      <c r="M86" s="840" t="e">
        <f>印401!#REF!</f>
        <v>#REF!</v>
      </c>
      <c r="N86" s="672" t="e">
        <f>印401!#REF!</f>
        <v>#REF!</v>
      </c>
      <c r="O86" s="1455"/>
      <c r="P86" s="1456"/>
      <c r="Q86" s="1456"/>
      <c r="R86" s="1457"/>
      <c r="S86" s="810" t="e">
        <f>印401!#REF!</f>
        <v>#REF!</v>
      </c>
    </row>
    <row r="87" spans="1:79" ht="18" customHeight="1">
      <c r="A87" s="1461">
        <v>402</v>
      </c>
      <c r="B87" s="84" t="s">
        <v>205</v>
      </c>
      <c r="C87" s="1290" t="e">
        <f>#REF!</f>
        <v>#REF!</v>
      </c>
      <c r="D87" s="1290"/>
      <c r="E87" s="1290"/>
      <c r="F87" s="1290"/>
      <c r="G87" s="1290"/>
      <c r="H87" s="849"/>
      <c r="I87" s="849" t="e">
        <f>#REF!</f>
        <v>#REF!</v>
      </c>
      <c r="J87" s="852" t="e">
        <f>#REF!</f>
        <v>#REF!</v>
      </c>
      <c r="K87" s="872" t="e">
        <f>#REF!</f>
        <v>#REF!</v>
      </c>
      <c r="L87" s="873" t="e">
        <f>#REF!</f>
        <v>#REF!</v>
      </c>
      <c r="M87" s="852" t="e">
        <f>#REF!</f>
        <v>#REF!</v>
      </c>
      <c r="N87" s="853" t="e">
        <f>#REF!</f>
        <v>#REF!</v>
      </c>
      <c r="O87" s="1451"/>
      <c r="P87" s="1452"/>
      <c r="Q87" s="1452"/>
      <c r="R87" s="1453"/>
      <c r="S87" s="874" t="e">
        <f>#REF!</f>
        <v>#REF!</v>
      </c>
    </row>
    <row r="88" spans="1:79" ht="18" customHeight="1">
      <c r="A88" s="1462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7.25" customHeight="1">
      <c r="A89" s="1466">
        <v>403</v>
      </c>
      <c r="B89" s="244" t="s">
        <v>0</v>
      </c>
      <c r="C89" s="1290" t="e">
        <f>#REF!</f>
        <v>#REF!</v>
      </c>
      <c r="D89" s="1290"/>
      <c r="E89" s="1290"/>
      <c r="F89" s="1290"/>
      <c r="G89" s="1290"/>
      <c r="H89" s="849"/>
      <c r="I89" s="849" t="e">
        <f>#REF!</f>
        <v>#REF!</v>
      </c>
      <c r="J89" s="852" t="e">
        <f>#REF!</f>
        <v>#REF!</v>
      </c>
      <c r="K89" s="872" t="e">
        <f>#REF!</f>
        <v>#REF!</v>
      </c>
      <c r="L89" s="852" t="e">
        <f>#REF!</f>
        <v>#REF!</v>
      </c>
      <c r="M89" s="852" t="e">
        <f>#REF!</f>
        <v>#REF!</v>
      </c>
      <c r="N89" s="853" t="e">
        <f>#REF!</f>
        <v>#REF!</v>
      </c>
      <c r="O89" s="1451"/>
      <c r="P89" s="1452"/>
      <c r="Q89" s="1452"/>
      <c r="R89" s="1453"/>
      <c r="S89" s="874" t="e">
        <f>#REF!</f>
        <v>#REF!</v>
      </c>
    </row>
    <row r="90" spans="1:79" ht="17.25" customHeight="1">
      <c r="A90" s="1467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4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199">
        <v>405</v>
      </c>
      <c r="B91" s="84" t="s">
        <v>0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52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216"/>
      <c r="B92" s="8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216"/>
      <c r="B93" s="8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8" customHeight="1">
      <c r="A94" s="1165"/>
      <c r="B94" s="881" t="s">
        <v>43</v>
      </c>
      <c r="C94" s="1454" t="e">
        <f>#REF!</f>
        <v>#REF!</v>
      </c>
      <c r="D94" s="1454"/>
      <c r="E94" s="1454"/>
      <c r="F94" s="1454"/>
      <c r="G94" s="1454"/>
      <c r="H94" s="664"/>
      <c r="I94" s="664" t="e">
        <f>#REF!</f>
        <v>#REF!</v>
      </c>
      <c r="J94" s="840" t="e">
        <f>#REF!</f>
        <v>#REF!</v>
      </c>
      <c r="K94" s="424" t="e">
        <f>#REF!</f>
        <v>#REF!</v>
      </c>
      <c r="L94" s="840" t="e">
        <f>#REF!</f>
        <v>#REF!</v>
      </c>
      <c r="M94" s="840" t="e">
        <f>#REF!</f>
        <v>#REF!</v>
      </c>
      <c r="N94" s="672" t="e">
        <f>#REF!</f>
        <v>#REF!</v>
      </c>
      <c r="O94" s="1455"/>
      <c r="P94" s="1456"/>
      <c r="Q94" s="1456"/>
      <c r="R94" s="1457"/>
      <c r="S94" s="810" t="e">
        <f>#REF!</f>
        <v>#REF!</v>
      </c>
    </row>
    <row r="95" spans="1:79" ht="18" customHeight="1">
      <c r="A95" s="314"/>
      <c r="B95" s="841"/>
      <c r="C95" s="1458"/>
      <c r="D95" s="1459"/>
      <c r="E95" s="1459"/>
      <c r="F95" s="1459"/>
      <c r="G95" s="1460"/>
      <c r="H95" s="849"/>
      <c r="I95" s="849"/>
      <c r="J95" s="834" t="s">
        <v>666</v>
      </c>
      <c r="K95" s="835" t="e">
        <f>SUM(K85:K94)</f>
        <v>#REF!</v>
      </c>
      <c r="L95" s="1599" t="s">
        <v>1220</v>
      </c>
      <c r="M95" s="1600"/>
      <c r="N95" s="1601"/>
      <c r="O95" s="886"/>
      <c r="P95" s="887"/>
      <c r="Q95" s="887"/>
      <c r="R95" s="888"/>
      <c r="S95" s="854"/>
    </row>
    <row r="96" spans="1:79" s="76" customFormat="1" ht="31.7" hidden="1" customHeight="1">
      <c r="A96" s="400" t="s">
        <v>425</v>
      </c>
      <c r="B96" s="400" t="s">
        <v>193</v>
      </c>
      <c r="C96" s="1282" t="e">
        <f>[1]印403!J91</f>
        <v>#REF!</v>
      </c>
      <c r="D96" s="1283"/>
      <c r="E96" s="1283"/>
      <c r="F96" s="1283"/>
      <c r="G96" s="1468"/>
      <c r="H96" s="242" t="s">
        <v>216</v>
      </c>
      <c r="I96" s="242" t="s">
        <v>12</v>
      </c>
      <c r="J96" s="242" t="s">
        <v>13</v>
      </c>
      <c r="K96" s="405" t="s">
        <v>218</v>
      </c>
      <c r="L96" s="427" t="s">
        <v>60</v>
      </c>
      <c r="M96" s="399" t="e">
        <f>[1]印403!O90</f>
        <v>#REF!</v>
      </c>
      <c r="N96" s="257" t="s">
        <v>45</v>
      </c>
      <c r="O96" s="1448" t="s">
        <v>29</v>
      </c>
      <c r="P96" s="1449"/>
      <c r="Q96" s="1449"/>
      <c r="R96" s="1450"/>
      <c r="S96" s="417" t="s">
        <v>57</v>
      </c>
    </row>
    <row r="97" spans="1:19" ht="15" hidden="1" customHeight="1">
      <c r="A97" s="1199" t="s">
        <v>426</v>
      </c>
      <c r="B97" s="84" t="s">
        <v>205</v>
      </c>
      <c r="C97" s="1282" t="e">
        <f>[1]印403!J92</f>
        <v>#REF!</v>
      </c>
      <c r="D97" s="1283"/>
      <c r="E97" s="1283"/>
      <c r="F97" s="1283"/>
      <c r="G97" s="1468"/>
      <c r="H97" s="663"/>
      <c r="I97" s="663"/>
      <c r="J97" s="399"/>
      <c r="K97" s="665"/>
      <c r="L97" s="673"/>
      <c r="M97" s="399" t="e">
        <f>[1]印403!O91</f>
        <v>#REF!</v>
      </c>
      <c r="N97" s="399"/>
      <c r="O97" s="1469"/>
      <c r="P97" s="1245"/>
      <c r="Q97" s="1245"/>
      <c r="R97" s="1246"/>
      <c r="S97" s="1470"/>
    </row>
    <row r="98" spans="1:19" ht="13.7" hidden="1" customHeight="1">
      <c r="A98" s="1216"/>
      <c r="B98" s="84" t="s">
        <v>205</v>
      </c>
      <c r="C98" s="1282" t="e">
        <f>[1]印403!J93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[1]印403!O92</f>
        <v>#REF!</v>
      </c>
      <c r="N98" s="425"/>
      <c r="O98" s="666"/>
      <c r="P98" s="667"/>
      <c r="Q98" s="667"/>
      <c r="R98" s="668"/>
      <c r="S98" s="1471"/>
    </row>
    <row r="99" spans="1:19" ht="15" hidden="1" customHeight="1">
      <c r="A99" s="1216"/>
      <c r="B99" s="84" t="s">
        <v>205</v>
      </c>
      <c r="C99" s="1282" t="e">
        <f>[1]印403!J94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[1]印403!O93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[1]印403!J95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[1]印403!O94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[1]印403!J96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[1]印403!O95</f>
        <v>#REF!</v>
      </c>
      <c r="N101" s="425"/>
      <c r="O101" s="669"/>
      <c r="P101" s="670"/>
      <c r="Q101" s="670"/>
      <c r="R101" s="671"/>
      <c r="S101" s="1471"/>
    </row>
    <row r="102" spans="1:19" ht="16.5" hidden="1" customHeight="1">
      <c r="A102" s="1216"/>
      <c r="B102" s="881" t="s">
        <v>43</v>
      </c>
      <c r="C102" s="1282" t="e">
        <f>[1]印403!J97</f>
        <v>#REF!</v>
      </c>
      <c r="D102" s="1283"/>
      <c r="E102" s="1283"/>
      <c r="F102" s="1283"/>
      <c r="G102" s="1468"/>
      <c r="H102" s="664"/>
      <c r="I102" s="664"/>
      <c r="J102" s="840"/>
      <c r="K102" s="424"/>
      <c r="L102" s="426"/>
      <c r="M102" s="399" t="e">
        <f>[1]印403!O96</f>
        <v>#REF!</v>
      </c>
      <c r="N102" s="672"/>
      <c r="O102" s="1476"/>
      <c r="P102" s="1477"/>
      <c r="Q102" s="1477"/>
      <c r="R102" s="1478"/>
      <c r="S102" s="1485"/>
    </row>
    <row r="103" spans="1:19" ht="15" hidden="1" customHeight="1">
      <c r="A103" s="1216"/>
      <c r="B103" s="881" t="s">
        <v>43</v>
      </c>
      <c r="C103" s="1282" t="e">
        <f>[1]印403!J98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[1]印403!O97</f>
        <v>#REF!</v>
      </c>
      <c r="N103" s="672"/>
      <c r="O103" s="1479"/>
      <c r="P103" s="1480"/>
      <c r="Q103" s="1480"/>
      <c r="R103" s="1481"/>
      <c r="S103" s="1485"/>
    </row>
    <row r="104" spans="1:19" ht="15" hidden="1" customHeight="1">
      <c r="A104" s="1216"/>
      <c r="B104" s="881" t="s">
        <v>43</v>
      </c>
      <c r="C104" s="1282" t="e">
        <f>[1]印403!J99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[1]印403!O98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165"/>
      <c r="B105" s="881" t="s">
        <v>43</v>
      </c>
      <c r="C105" s="1282" t="e">
        <f>[1]印403!J100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[1]印403!O99</f>
        <v>#REF!</v>
      </c>
      <c r="N105" s="672"/>
      <c r="O105" s="1482"/>
      <c r="P105" s="1483"/>
      <c r="Q105" s="1483"/>
      <c r="R105" s="1484"/>
      <c r="S105" s="1486"/>
    </row>
    <row r="106" spans="1:19" ht="6" customHeight="1">
      <c r="A106" s="248"/>
      <c r="C106" s="249"/>
    </row>
    <row r="107" spans="1:19" ht="6" customHeight="1" thickBot="1">
      <c r="A107" s="248"/>
      <c r="C107" s="249"/>
    </row>
    <row r="108" spans="1:19" ht="15" customHeight="1" thickTop="1">
      <c r="A108" s="1472" t="s">
        <v>30</v>
      </c>
      <c r="B108" s="1473"/>
      <c r="C108" s="1473"/>
      <c r="D108" s="1473"/>
      <c r="E108" s="376">
        <v>1654400</v>
      </c>
      <c r="F108" s="75" t="s">
        <v>64</v>
      </c>
      <c r="G108" s="1472" t="s">
        <v>31</v>
      </c>
      <c r="H108" s="1473"/>
      <c r="I108" s="1473"/>
      <c r="J108" s="1473"/>
      <c r="K108" s="1473"/>
      <c r="L108" s="377">
        <v>688000</v>
      </c>
      <c r="M108" s="75" t="s">
        <v>64</v>
      </c>
      <c r="N108" s="1472" t="s">
        <v>32</v>
      </c>
      <c r="O108" s="1473"/>
      <c r="P108" s="1473"/>
      <c r="Q108" s="377">
        <v>2393500</v>
      </c>
      <c r="R108" s="75" t="s">
        <v>64</v>
      </c>
      <c r="S108" s="75"/>
    </row>
    <row r="109" spans="1:19" ht="15" customHeight="1" thickBot="1">
      <c r="A109" s="1474" t="s">
        <v>66</v>
      </c>
      <c r="B109" s="1475"/>
      <c r="C109" s="1475"/>
      <c r="D109" s="1475"/>
      <c r="E109" s="674">
        <f>(63+33)*1000</f>
        <v>96000</v>
      </c>
      <c r="G109" s="1474" t="s">
        <v>66</v>
      </c>
      <c r="H109" s="1475"/>
      <c r="I109" s="1475"/>
      <c r="J109" s="1475"/>
      <c r="K109" s="1475"/>
      <c r="L109" s="674">
        <f>42*1000</f>
        <v>42000</v>
      </c>
      <c r="N109" s="1474" t="s">
        <v>33</v>
      </c>
      <c r="O109" s="1475"/>
      <c r="P109" s="1475"/>
      <c r="Q109" s="674">
        <f>(189+25)*1000</f>
        <v>214000</v>
      </c>
      <c r="R109" s="75"/>
      <c r="S109" s="75"/>
    </row>
    <row r="110" spans="1:19" ht="15" customHeight="1" thickTop="1" thickBot="1">
      <c r="A110" s="1487" t="s">
        <v>34</v>
      </c>
      <c r="B110" s="1488"/>
      <c r="C110" s="1488"/>
      <c r="D110" s="1488"/>
      <c r="E110" s="378">
        <f>E108+E109</f>
        <v>1750400</v>
      </c>
      <c r="F110" s="75" t="s">
        <v>64</v>
      </c>
      <c r="G110" s="1487" t="s">
        <v>35</v>
      </c>
      <c r="H110" s="1488"/>
      <c r="I110" s="1488"/>
      <c r="J110" s="1488"/>
      <c r="K110" s="1488"/>
      <c r="L110" s="379">
        <f>L108+L109</f>
        <v>730000</v>
      </c>
      <c r="M110" s="75" t="s">
        <v>64</v>
      </c>
      <c r="N110" s="1487" t="s">
        <v>36</v>
      </c>
      <c r="O110" s="1488"/>
      <c r="P110" s="1488"/>
      <c r="Q110" s="379">
        <f>Q108+Q109</f>
        <v>2607500</v>
      </c>
      <c r="R110" s="75" t="s">
        <v>64</v>
      </c>
      <c r="S110" s="75"/>
    </row>
    <row r="111" spans="1:19" ht="15" customHeight="1" thickTop="1" thickBot="1">
      <c r="E111" s="252">
        <f>印401!M64</f>
        <v>0</v>
      </c>
      <c r="L111" s="675" t="e">
        <f>#REF!</f>
        <v>#REF!</v>
      </c>
      <c r="O111" s="75"/>
      <c r="P111" s="75"/>
      <c r="Q111" s="675" t="e">
        <f>#REF!</f>
        <v>#REF!</v>
      </c>
      <c r="R111" s="75"/>
      <c r="S111" s="75"/>
    </row>
    <row r="112" spans="1:19" ht="15" customHeight="1" thickBot="1">
      <c r="A112" s="676" t="s">
        <v>37</v>
      </c>
      <c r="B112" s="677"/>
      <c r="C112" s="677"/>
      <c r="D112" s="678"/>
      <c r="E112" s="253">
        <f>印401!P64</f>
        <v>0</v>
      </c>
      <c r="F112" s="75" t="s">
        <v>64</v>
      </c>
      <c r="G112" s="676" t="s">
        <v>38</v>
      </c>
      <c r="H112" s="677"/>
      <c r="I112" s="677"/>
      <c r="J112" s="677"/>
      <c r="K112" s="677"/>
      <c r="L112" s="384" t="e">
        <f>#REF!</f>
        <v>#REF!</v>
      </c>
      <c r="M112" s="75" t="s">
        <v>64</v>
      </c>
      <c r="N112" s="676" t="s">
        <v>39</v>
      </c>
      <c r="O112" s="677"/>
      <c r="P112" s="677"/>
      <c r="Q112" s="384" t="e">
        <f>#REF!</f>
        <v>#REF!</v>
      </c>
      <c r="R112" s="75" t="s">
        <v>64</v>
      </c>
      <c r="S112" s="75"/>
    </row>
    <row r="113" spans="2:20" ht="3" customHeight="1" thickBot="1">
      <c r="J113" s="255"/>
      <c r="K113" s="256"/>
    </row>
    <row r="114" spans="2:20" ht="15" customHeight="1" thickTop="1">
      <c r="B114" s="1509" t="s">
        <v>69</v>
      </c>
      <c r="C114" s="1510"/>
      <c r="D114" s="1511" t="s">
        <v>305</v>
      </c>
      <c r="E114" s="1512"/>
      <c r="F114" s="1489" t="s">
        <v>306</v>
      </c>
      <c r="G114" s="1490"/>
      <c r="H114" s="1491" t="s">
        <v>307</v>
      </c>
      <c r="I114" s="1492"/>
      <c r="J114" s="1492"/>
      <c r="K114" s="1493"/>
      <c r="L114" s="1472" t="s">
        <v>657</v>
      </c>
      <c r="M114" s="1473"/>
      <c r="N114" s="1473"/>
      <c r="O114" s="377">
        <v>4243400</v>
      </c>
      <c r="P114" s="75" t="s">
        <v>64</v>
      </c>
      <c r="Q114" s="1496" t="s">
        <v>65</v>
      </c>
      <c r="R114" s="1497"/>
      <c r="S114" s="385">
        <v>44336339</v>
      </c>
    </row>
    <row r="115" spans="2:20" ht="15" customHeight="1" thickBot="1">
      <c r="B115" s="1498" t="s">
        <v>308</v>
      </c>
      <c r="C115" s="1499"/>
      <c r="D115" s="1500" t="e">
        <f>總表!D20</f>
        <v>#REF!</v>
      </c>
      <c r="E115" s="1501"/>
      <c r="F115" s="1502">
        <f>總表!E20</f>
        <v>1316871</v>
      </c>
      <c r="G115" s="1503"/>
      <c r="H115" s="1504" t="e">
        <f>(D115-F115)/D115</f>
        <v>#REF!</v>
      </c>
      <c r="I115" s="1505"/>
      <c r="J115" s="1505"/>
      <c r="K115" s="1506"/>
      <c r="L115" s="1474" t="s">
        <v>33</v>
      </c>
      <c r="M115" s="1475"/>
      <c r="N115" s="1475"/>
      <c r="O115" s="674">
        <f>((56+60)*600)+((82+190)*1000)</f>
        <v>341600</v>
      </c>
      <c r="P115" s="75"/>
      <c r="Q115" s="1507" t="s">
        <v>67</v>
      </c>
      <c r="R115" s="1508"/>
      <c r="S115" s="386" t="e">
        <f>SUM(L48:L82,L85:L94)</f>
        <v>#REF!</v>
      </c>
    </row>
    <row r="116" spans="2:20" ht="15" customHeight="1" thickTop="1" thickBot="1">
      <c r="B116" s="1513" t="s">
        <v>309</v>
      </c>
      <c r="C116" s="1514"/>
      <c r="D116" s="1515" t="e">
        <f>總表!C43</f>
        <v>#REF!</v>
      </c>
      <c r="E116" s="1516"/>
      <c r="F116" s="1502" t="e">
        <f>總表!F43</f>
        <v>#REF!</v>
      </c>
      <c r="G116" s="1503"/>
      <c r="H116" s="1504" t="e">
        <f>(D116-F116)/D116</f>
        <v>#REF!</v>
      </c>
      <c r="I116" s="1505"/>
      <c r="J116" s="1505"/>
      <c r="K116" s="1506"/>
      <c r="L116" s="1487" t="s">
        <v>658</v>
      </c>
      <c r="M116" s="1488"/>
      <c r="N116" s="1488"/>
      <c r="O116" s="379">
        <f>O114+O115</f>
        <v>4585000</v>
      </c>
      <c r="P116" s="75" t="s">
        <v>64</v>
      </c>
      <c r="Q116" s="1494" t="s">
        <v>68</v>
      </c>
      <c r="R116" s="1495"/>
      <c r="S116" s="387" t="e">
        <f>S114+S115</f>
        <v>#REF!</v>
      </c>
    </row>
    <row r="117" spans="2:20" ht="14.1" customHeight="1" thickTop="1" thickBot="1">
      <c r="B117" s="250" t="s">
        <v>310</v>
      </c>
      <c r="C117" s="250"/>
      <c r="D117" s="250"/>
      <c r="E117" s="233"/>
      <c r="O117" s="675" t="e">
        <f>#REF!</f>
        <v>#REF!</v>
      </c>
      <c r="P117" s="75"/>
      <c r="Q117" s="75"/>
      <c r="R117" s="254" t="e">
        <f>總表!E43+總表!E52</f>
        <v>#REF!</v>
      </c>
      <c r="S117" s="254" t="e">
        <f>R117-S116</f>
        <v>#REF!</v>
      </c>
    </row>
    <row r="118" spans="2:20" ht="17.25" customHeight="1" thickBot="1">
      <c r="B118" s="250" t="s">
        <v>40</v>
      </c>
      <c r="C118" s="233"/>
      <c r="D118" s="233"/>
      <c r="E118" s="233"/>
      <c r="F118" s="233"/>
      <c r="L118" s="676" t="s">
        <v>659</v>
      </c>
      <c r="M118" s="677"/>
      <c r="N118" s="677"/>
      <c r="O118" s="384" t="e">
        <f>#REF!</f>
        <v>#REF!</v>
      </c>
      <c r="P118" s="75" t="s">
        <v>64</v>
      </c>
      <c r="T118" s="233"/>
    </row>
    <row r="119" spans="2:20" ht="15.75" customHeight="1">
      <c r="B119" s="75" t="s">
        <v>41</v>
      </c>
      <c r="N119" s="233"/>
      <c r="S119" s="75"/>
    </row>
  </sheetData>
  <mergeCells count="285">
    <mergeCell ref="A48:A49"/>
    <mergeCell ref="C48:E48"/>
    <mergeCell ref="O48:R48"/>
    <mergeCell ref="A50:A51"/>
    <mergeCell ref="A52:A53"/>
    <mergeCell ref="C52:E52"/>
    <mergeCell ref="O52:R52"/>
    <mergeCell ref="C53:E53"/>
    <mergeCell ref="O91:R91"/>
    <mergeCell ref="A89:A90"/>
    <mergeCell ref="C89:G89"/>
    <mergeCell ref="O89:R89"/>
    <mergeCell ref="C90:G90"/>
    <mergeCell ref="O90:R90"/>
    <mergeCell ref="C91:G91"/>
    <mergeCell ref="A79:A80"/>
    <mergeCell ref="C79:E79"/>
    <mergeCell ref="O79:R79"/>
    <mergeCell ref="C87:G87"/>
    <mergeCell ref="O87:R87"/>
    <mergeCell ref="A87:A88"/>
    <mergeCell ref="O83:R83"/>
    <mergeCell ref="C84:G84"/>
    <mergeCell ref="C86:G86"/>
    <mergeCell ref="V48:X48"/>
    <mergeCell ref="C49:E49"/>
    <mergeCell ref="O49:R49"/>
    <mergeCell ref="V49:X49"/>
    <mergeCell ref="C61:E61"/>
    <mergeCell ref="O61:R61"/>
    <mergeCell ref="C50:E50"/>
    <mergeCell ref="O50:R50"/>
    <mergeCell ref="C51:E51"/>
    <mergeCell ref="O51:R51"/>
    <mergeCell ref="O53:R53"/>
    <mergeCell ref="B116:C116"/>
    <mergeCell ref="D116:E116"/>
    <mergeCell ref="F116:G116"/>
    <mergeCell ref="H116:K116"/>
    <mergeCell ref="L116:N116"/>
    <mergeCell ref="Q116:R116"/>
    <mergeCell ref="Q114:R114"/>
    <mergeCell ref="B115:C115"/>
    <mergeCell ref="D115:E115"/>
    <mergeCell ref="F115:G115"/>
    <mergeCell ref="H115:K115"/>
    <mergeCell ref="L115:N115"/>
    <mergeCell ref="Q115:R115"/>
    <mergeCell ref="A110:D110"/>
    <mergeCell ref="G110:K110"/>
    <mergeCell ref="N110:P110"/>
    <mergeCell ref="B114:C114"/>
    <mergeCell ref="D114:E114"/>
    <mergeCell ref="F114:G114"/>
    <mergeCell ref="H114:K114"/>
    <mergeCell ref="L114:N114"/>
    <mergeCell ref="A108:D108"/>
    <mergeCell ref="G108:K108"/>
    <mergeCell ref="N108:P108"/>
    <mergeCell ref="A109:D109"/>
    <mergeCell ref="G109:K109"/>
    <mergeCell ref="N109:P109"/>
    <mergeCell ref="S97:S101"/>
    <mergeCell ref="C98:G98"/>
    <mergeCell ref="C99:G99"/>
    <mergeCell ref="C100:G100"/>
    <mergeCell ref="C101:G101"/>
    <mergeCell ref="C102:G102"/>
    <mergeCell ref="O102:R105"/>
    <mergeCell ref="S102:S105"/>
    <mergeCell ref="C103:G103"/>
    <mergeCell ref="C104:G104"/>
    <mergeCell ref="C95:G95"/>
    <mergeCell ref="L95:N95"/>
    <mergeCell ref="C96:G96"/>
    <mergeCell ref="O96:R96"/>
    <mergeCell ref="A97:A105"/>
    <mergeCell ref="C97:G97"/>
    <mergeCell ref="O97:R97"/>
    <mergeCell ref="C105:G105"/>
    <mergeCell ref="C94:G94"/>
    <mergeCell ref="O94:R94"/>
    <mergeCell ref="A91:A94"/>
    <mergeCell ref="C92:G92"/>
    <mergeCell ref="O92:R92"/>
    <mergeCell ref="C93:G93"/>
    <mergeCell ref="O93:R93"/>
    <mergeCell ref="O86:R86"/>
    <mergeCell ref="A85:A86"/>
    <mergeCell ref="C88:G88"/>
    <mergeCell ref="O88:R88"/>
    <mergeCell ref="C75:E75"/>
    <mergeCell ref="O75:R75"/>
    <mergeCell ref="C76:E76"/>
    <mergeCell ref="O76:R76"/>
    <mergeCell ref="A77:A78"/>
    <mergeCell ref="C77:E77"/>
    <mergeCell ref="O81:R81"/>
    <mergeCell ref="C82:E82"/>
    <mergeCell ref="O82:R82"/>
    <mergeCell ref="C80:E80"/>
    <mergeCell ref="O80:R80"/>
    <mergeCell ref="C74:E74"/>
    <mergeCell ref="C85:G85"/>
    <mergeCell ref="O85:R85"/>
    <mergeCell ref="O77:R77"/>
    <mergeCell ref="C78:E78"/>
    <mergeCell ref="O78:R78"/>
    <mergeCell ref="O84:R84"/>
    <mergeCell ref="A65:A66"/>
    <mergeCell ref="C65:E65"/>
    <mergeCell ref="O65:R65"/>
    <mergeCell ref="C66:E66"/>
    <mergeCell ref="O66:R66"/>
    <mergeCell ref="A67:A68"/>
    <mergeCell ref="C67:E67"/>
    <mergeCell ref="O67:R67"/>
    <mergeCell ref="C68:E68"/>
    <mergeCell ref="O68:R68"/>
    <mergeCell ref="A73:A74"/>
    <mergeCell ref="A81:A82"/>
    <mergeCell ref="C73:E73"/>
    <mergeCell ref="O73:R73"/>
    <mergeCell ref="O74:R74"/>
    <mergeCell ref="C81:E81"/>
    <mergeCell ref="A75:A76"/>
    <mergeCell ref="O72:R72"/>
    <mergeCell ref="A62:A63"/>
    <mergeCell ref="C62:E62"/>
    <mergeCell ref="O62:R62"/>
    <mergeCell ref="C63:E63"/>
    <mergeCell ref="O63:R63"/>
    <mergeCell ref="O64:R64"/>
    <mergeCell ref="O58:R58"/>
    <mergeCell ref="C59:E59"/>
    <mergeCell ref="O59:R59"/>
    <mergeCell ref="A60:A61"/>
    <mergeCell ref="C60:E60"/>
    <mergeCell ref="O60:R60"/>
    <mergeCell ref="S39:S41"/>
    <mergeCell ref="C40:E40"/>
    <mergeCell ref="C41:E41"/>
    <mergeCell ref="A54:A55"/>
    <mergeCell ref="C54:E54"/>
    <mergeCell ref="O54:R54"/>
    <mergeCell ref="C55:E55"/>
    <mergeCell ref="O55:R55"/>
    <mergeCell ref="C71:E71"/>
    <mergeCell ref="O71:R71"/>
    <mergeCell ref="A71:A72"/>
    <mergeCell ref="A56:A57"/>
    <mergeCell ref="C56:E56"/>
    <mergeCell ref="O56:R56"/>
    <mergeCell ref="C57:E57"/>
    <mergeCell ref="O57:R57"/>
    <mergeCell ref="A69:A70"/>
    <mergeCell ref="C69:E69"/>
    <mergeCell ref="O69:R69"/>
    <mergeCell ref="C70:E70"/>
    <mergeCell ref="O70:R70"/>
    <mergeCell ref="A58:A59"/>
    <mergeCell ref="C58:E58"/>
    <mergeCell ref="C72:E72"/>
    <mergeCell ref="C35:E35"/>
    <mergeCell ref="A42:A47"/>
    <mergeCell ref="C42:E42"/>
    <mergeCell ref="M42:M44"/>
    <mergeCell ref="O42:R44"/>
    <mergeCell ref="S42:S44"/>
    <mergeCell ref="C43:E43"/>
    <mergeCell ref="C44:E44"/>
    <mergeCell ref="A36:A41"/>
    <mergeCell ref="C36:E36"/>
    <mergeCell ref="M36:M38"/>
    <mergeCell ref="O36:R38"/>
    <mergeCell ref="S36:S38"/>
    <mergeCell ref="C37:E37"/>
    <mergeCell ref="C38:E38"/>
    <mergeCell ref="C39:E39"/>
    <mergeCell ref="M39:M41"/>
    <mergeCell ref="O39:R41"/>
    <mergeCell ref="C45:E45"/>
    <mergeCell ref="M45:M47"/>
    <mergeCell ref="O45:R47"/>
    <mergeCell ref="S45:S47"/>
    <mergeCell ref="C46:E46"/>
    <mergeCell ref="C47:E47"/>
    <mergeCell ref="C28:E28"/>
    <mergeCell ref="O28:R28"/>
    <mergeCell ref="A29:A35"/>
    <mergeCell ref="C29:E29"/>
    <mergeCell ref="M29:M31"/>
    <mergeCell ref="O29:R31"/>
    <mergeCell ref="S22:S24"/>
    <mergeCell ref="G23:I23"/>
    <mergeCell ref="G24:I24"/>
    <mergeCell ref="G25:I25"/>
    <mergeCell ref="K25:M27"/>
    <mergeCell ref="O25:R27"/>
    <mergeCell ref="S25:S27"/>
    <mergeCell ref="G26:I26"/>
    <mergeCell ref="G27:I27"/>
    <mergeCell ref="S29:S31"/>
    <mergeCell ref="C30:E30"/>
    <mergeCell ref="C31:E31"/>
    <mergeCell ref="C32:E32"/>
    <mergeCell ref="M32:M35"/>
    <mergeCell ref="O32:R35"/>
    <mergeCell ref="S32:S35"/>
    <mergeCell ref="C33:E33"/>
    <mergeCell ref="C34:E34"/>
    <mergeCell ref="K21:M21"/>
    <mergeCell ref="O21:R21"/>
    <mergeCell ref="A22:A27"/>
    <mergeCell ref="G22:I22"/>
    <mergeCell ref="K22:M24"/>
    <mergeCell ref="O22:R24"/>
    <mergeCell ref="A19:A20"/>
    <mergeCell ref="G19:I19"/>
    <mergeCell ref="K19:M19"/>
    <mergeCell ref="O19:R19"/>
    <mergeCell ref="G20:I20"/>
    <mergeCell ref="K20:M20"/>
    <mergeCell ref="O20:R20"/>
    <mergeCell ref="A17:A18"/>
    <mergeCell ref="G17:I17"/>
    <mergeCell ref="K17:M17"/>
    <mergeCell ref="O17:R17"/>
    <mergeCell ref="G18:I18"/>
    <mergeCell ref="K18:M18"/>
    <mergeCell ref="O18:R18"/>
    <mergeCell ref="A15:A16"/>
    <mergeCell ref="G15:I15"/>
    <mergeCell ref="K15:M15"/>
    <mergeCell ref="O15:R15"/>
    <mergeCell ref="G16:I16"/>
    <mergeCell ref="K16:M16"/>
    <mergeCell ref="O16:R16"/>
    <mergeCell ref="A13:A14"/>
    <mergeCell ref="G13:I13"/>
    <mergeCell ref="K13:M13"/>
    <mergeCell ref="O13:R13"/>
    <mergeCell ref="G14:I14"/>
    <mergeCell ref="K14:M14"/>
    <mergeCell ref="O14:R14"/>
    <mergeCell ref="A11:A12"/>
    <mergeCell ref="G11:I11"/>
    <mergeCell ref="K11:M11"/>
    <mergeCell ref="O11:R11"/>
    <mergeCell ref="G12:I12"/>
    <mergeCell ref="K12:M12"/>
    <mergeCell ref="O12:R12"/>
    <mergeCell ref="A9:A10"/>
    <mergeCell ref="G9:I9"/>
    <mergeCell ref="K9:M9"/>
    <mergeCell ref="O9:R9"/>
    <mergeCell ref="G10:I10"/>
    <mergeCell ref="K10:M10"/>
    <mergeCell ref="O10:R10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A120"/>
  <sheetViews>
    <sheetView topLeftCell="A13" workbookViewId="0">
      <selection activeCell="C22" sqref="C22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4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1070</v>
      </c>
      <c r="O2" s="1319"/>
      <c r="P2" s="1320"/>
      <c r="Q2" s="1318" t="s">
        <v>1222</v>
      </c>
      <c r="R2" s="1320"/>
      <c r="S2" s="642" t="s">
        <v>998</v>
      </c>
    </row>
    <row r="3" spans="1:23" ht="77.2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1223</v>
      </c>
      <c r="O3" s="1319"/>
      <c r="P3" s="1320"/>
      <c r="Q3" s="1318" t="s">
        <v>1224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1199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45258</v>
      </c>
      <c r="D5" s="419" t="s">
        <v>1221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649">
        <v>1.38</v>
      </c>
      <c r="E9" s="815">
        <v>805</v>
      </c>
      <c r="F9" s="815">
        <f>'102'!O66</f>
        <v>850</v>
      </c>
      <c r="G9" s="1311">
        <f>'102'!K66</f>
        <v>10939</v>
      </c>
      <c r="H9" s="1312"/>
      <c r="I9" s="1313"/>
      <c r="J9" s="814">
        <f>'102'!L66</f>
        <v>0</v>
      </c>
      <c r="K9" s="1314">
        <f>'102'!P66</f>
        <v>1.0724509803921569</v>
      </c>
      <c r="L9" s="1315"/>
      <c r="M9" s="1316"/>
      <c r="N9" s="820">
        <f>J9/(G9+J9)</f>
        <v>0</v>
      </c>
      <c r="O9" s="1521" t="str">
        <f>'102'!U66</f>
        <v>19:54最後一支交接班</v>
      </c>
      <c r="P9" s="1522"/>
      <c r="Q9" s="1522"/>
      <c r="R9" s="1523"/>
      <c r="S9" s="892" t="str">
        <f>'102'!V66</f>
        <v>阮明演</v>
      </c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>
        <v>1.38</v>
      </c>
      <c r="E10" s="880">
        <v>805</v>
      </c>
      <c r="F10" s="880">
        <f>'102'!O67</f>
        <v>850</v>
      </c>
      <c r="G10" s="1327">
        <f>'102'!K67</f>
        <v>9492</v>
      </c>
      <c r="H10" s="1328"/>
      <c r="I10" s="1329"/>
      <c r="J10" s="423">
        <f>'102'!L67</f>
        <v>0</v>
      </c>
      <c r="K10" s="1314">
        <f>'102'!P67</f>
        <v>0.93058823529411761</v>
      </c>
      <c r="L10" s="1315"/>
      <c r="M10" s="1316"/>
      <c r="N10" s="820">
        <f>J10/(G10+J10)</f>
        <v>0</v>
      </c>
      <c r="O10" s="1521" t="str">
        <f>'102'!U67</f>
        <v>07:08最後一支交接班</v>
      </c>
      <c r="P10" s="1522"/>
      <c r="Q10" s="1522"/>
      <c r="R10" s="1523"/>
      <c r="S10" s="892" t="str">
        <f>'102'!V67</f>
        <v>阮宏山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>
        <v>0.25</v>
      </c>
      <c r="E11" s="815">
        <v>870</v>
      </c>
      <c r="F11" s="815">
        <f>'103'!O64</f>
        <v>350</v>
      </c>
      <c r="G11" s="1311">
        <f>'103'!K64</f>
        <v>3526</v>
      </c>
      <c r="H11" s="1312"/>
      <c r="I11" s="1313"/>
      <c r="J11" s="814">
        <f>'103'!L64</f>
        <v>0</v>
      </c>
      <c r="K11" s="1314">
        <f>'103'!P64</f>
        <v>0.83952380952380956</v>
      </c>
      <c r="L11" s="1315"/>
      <c r="M11" s="1316"/>
      <c r="N11" s="820">
        <f>J11/(G11+J11)</f>
        <v>0</v>
      </c>
      <c r="O11" s="1308" t="str">
        <f>'103'!U64</f>
        <v>18:42最後一支交接班</v>
      </c>
      <c r="P11" s="1309"/>
      <c r="Q11" s="1309"/>
      <c r="R11" s="1310"/>
      <c r="S11" s="822" t="str">
        <f>'103'!V64</f>
        <v>潘文銅</v>
      </c>
    </row>
    <row r="12" spans="1:23" ht="17.25" customHeight="1">
      <c r="A12" s="1336"/>
      <c r="B12" s="881" t="s">
        <v>207</v>
      </c>
      <c r="C12" s="422" t="s">
        <v>44</v>
      </c>
      <c r="D12" s="421">
        <v>0.25</v>
      </c>
      <c r="E12" s="880">
        <v>870</v>
      </c>
      <c r="F12" s="880">
        <f>'103'!O65</f>
        <v>350</v>
      </c>
      <c r="G12" s="1327">
        <f>'103'!K65</f>
        <v>4017</v>
      </c>
      <c r="H12" s="1328"/>
      <c r="I12" s="1329"/>
      <c r="J12" s="423">
        <f>'103'!L65</f>
        <v>0</v>
      </c>
      <c r="K12" s="1314">
        <f>'103'!P65</f>
        <v>0.95642857142857141</v>
      </c>
      <c r="L12" s="1315"/>
      <c r="M12" s="1316"/>
      <c r="N12" s="820">
        <f>J12/(G12+J12)</f>
        <v>0</v>
      </c>
      <c r="O12" s="1308" t="str">
        <f>'103'!U65</f>
        <v>06:47最後一支交接班</v>
      </c>
      <c r="P12" s="1309"/>
      <c r="Q12" s="1309"/>
      <c r="R12" s="1310"/>
      <c r="S12" s="822" t="str">
        <f>'103'!V65</f>
        <v>盧宇昇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20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20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20"/>
      <c r="O17" s="1364"/>
      <c r="P17" s="1365"/>
      <c r="Q17" s="1365"/>
      <c r="R17" s="1366"/>
      <c r="S17" s="822"/>
    </row>
    <row r="18" spans="1:19" ht="17.25" customHeight="1">
      <c r="A18" s="1371"/>
      <c r="B18" s="881" t="s">
        <v>43</v>
      </c>
      <c r="C18" s="422" t="s">
        <v>42</v>
      </c>
      <c r="D18" s="421" t="s">
        <v>633</v>
      </c>
      <c r="E18" s="880"/>
      <c r="F18" s="880"/>
      <c r="G18" s="1327"/>
      <c r="H18" s="1328"/>
      <c r="I18" s="1329"/>
      <c r="J18" s="423"/>
      <c r="K18" s="1541"/>
      <c r="L18" s="1542"/>
      <c r="M18" s="1543"/>
      <c r="N18" s="820"/>
      <c r="O18" s="1348"/>
      <c r="P18" s="1349"/>
      <c r="Q18" s="1349"/>
      <c r="R18" s="1350"/>
      <c r="S18" s="877"/>
    </row>
    <row r="19" spans="1:19" ht="17.25" customHeight="1">
      <c r="A19" s="1362" t="s">
        <v>418</v>
      </c>
      <c r="B19" s="84" t="s">
        <v>205</v>
      </c>
      <c r="C19" s="850" t="s">
        <v>44</v>
      </c>
      <c r="D19" s="649">
        <v>0.55000000000000004</v>
      </c>
      <c r="E19" s="815">
        <v>780</v>
      </c>
      <c r="F19" s="815">
        <f>'107'!O66</f>
        <v>450</v>
      </c>
      <c r="G19" s="1311">
        <f>'107'!K66</f>
        <v>5028</v>
      </c>
      <c r="H19" s="1312"/>
      <c r="I19" s="1313"/>
      <c r="J19" s="814">
        <f>'107'!L66</f>
        <v>0</v>
      </c>
      <c r="K19" s="1314">
        <f>'107'!P66</f>
        <v>0.93111111111111111</v>
      </c>
      <c r="L19" s="1315"/>
      <c r="M19" s="1316"/>
      <c r="N19" s="820">
        <f>J19/(G19+J19)</f>
        <v>0</v>
      </c>
      <c r="O19" s="1364" t="str">
        <f>'107'!U66</f>
        <v>19:30最後一支交接班</v>
      </c>
      <c r="P19" s="1365"/>
      <c r="Q19" s="1365"/>
      <c r="R19" s="1366"/>
      <c r="S19" s="822" t="str">
        <f>'107'!V66</f>
        <v>黎文中</v>
      </c>
    </row>
    <row r="20" spans="1:19" ht="17.25" customHeight="1">
      <c r="A20" s="1540"/>
      <c r="B20" s="881" t="s">
        <v>43</v>
      </c>
      <c r="C20" s="422" t="s">
        <v>44</v>
      </c>
      <c r="D20" s="421">
        <v>0.55000000000000004</v>
      </c>
      <c r="E20" s="880">
        <v>780</v>
      </c>
      <c r="F20" s="880">
        <f>'107'!O67</f>
        <v>450</v>
      </c>
      <c r="G20" s="1327">
        <f>'107'!K67</f>
        <v>500</v>
      </c>
      <c r="H20" s="1328"/>
      <c r="I20" s="1329"/>
      <c r="J20" s="423">
        <f>'107'!L67</f>
        <v>0</v>
      </c>
      <c r="K20" s="1524">
        <f>'107'!P67+'107'!P68</f>
        <v>1.0255555555555556</v>
      </c>
      <c r="L20" s="1525"/>
      <c r="M20" s="1526"/>
      <c r="N20" s="820">
        <f>J20/(G20+J20)</f>
        <v>0</v>
      </c>
      <c r="O20" s="1348" t="str">
        <f>'107'!U67</f>
        <v>20:50改規格0.6*830,無損耗</v>
      </c>
      <c r="P20" s="1349"/>
      <c r="Q20" s="1349"/>
      <c r="R20" s="1350"/>
      <c r="S20" s="1517" t="str">
        <f>'107'!V67</f>
        <v>磨文林</v>
      </c>
    </row>
    <row r="21" spans="1:19" ht="17.25" customHeight="1">
      <c r="A21" s="1363"/>
      <c r="B21" s="881" t="s">
        <v>43</v>
      </c>
      <c r="C21" s="422" t="s">
        <v>1276</v>
      </c>
      <c r="D21" s="421">
        <v>0.6</v>
      </c>
      <c r="E21" s="880">
        <v>830</v>
      </c>
      <c r="F21" s="880">
        <f>'107'!O68</f>
        <v>450</v>
      </c>
      <c r="G21" s="1327">
        <f>'107'!K68</f>
        <v>5038</v>
      </c>
      <c r="H21" s="1328"/>
      <c r="I21" s="1329"/>
      <c r="J21" s="423">
        <f>'107'!L68</f>
        <v>0</v>
      </c>
      <c r="K21" s="1527"/>
      <c r="L21" s="1528"/>
      <c r="M21" s="1529"/>
      <c r="N21" s="820">
        <f>J21/(G21+J21)</f>
        <v>0</v>
      </c>
      <c r="O21" s="1367" t="str">
        <f>'107'!U68</f>
        <v>07:52最後一支交接班</v>
      </c>
      <c r="P21" s="1368"/>
      <c r="Q21" s="1368"/>
      <c r="R21" s="1369"/>
      <c r="S21" s="1518"/>
    </row>
    <row r="22" spans="1:19" ht="17.25" customHeight="1">
      <c r="A22" s="843"/>
      <c r="B22" s="841"/>
      <c r="C22" s="850"/>
      <c r="D22" s="851"/>
      <c r="E22" s="815"/>
      <c r="F22" s="815"/>
      <c r="G22" s="832" t="s">
        <v>666</v>
      </c>
      <c r="H22" s="838"/>
      <c r="I22" s="833">
        <f>SUM(G7:I21)</f>
        <v>38540</v>
      </c>
      <c r="J22" s="833">
        <f>SUM(J7:J21)</f>
        <v>0</v>
      </c>
      <c r="K22" s="1314"/>
      <c r="L22" s="1315"/>
      <c r="M22" s="1316"/>
      <c r="N22" s="647"/>
      <c r="O22" s="1372"/>
      <c r="P22" s="1373"/>
      <c r="Q22" s="1373"/>
      <c r="R22" s="1374"/>
      <c r="S22" s="812"/>
    </row>
    <row r="23" spans="1:19" ht="20.100000000000001" hidden="1" customHeight="1">
      <c r="A23" s="1400" t="s">
        <v>10</v>
      </c>
      <c r="B23" s="84" t="s">
        <v>205</v>
      </c>
      <c r="C23" s="648" t="s">
        <v>44</v>
      </c>
      <c r="D23" s="649">
        <v>2.35</v>
      </c>
      <c r="E23" s="85">
        <v>800</v>
      </c>
      <c r="F23" s="85"/>
      <c r="G23" s="1401"/>
      <c r="H23" s="1401"/>
      <c r="I23" s="1401"/>
      <c r="J23" s="650"/>
      <c r="K23" s="1402"/>
      <c r="L23" s="1403"/>
      <c r="M23" s="1404"/>
      <c r="N23" s="647" t="e">
        <f t="shared" ref="N23:N28" si="0">J23/(G23+J23)</f>
        <v>#DIV/0!</v>
      </c>
      <c r="O23" s="1348"/>
      <c r="P23" s="1349"/>
      <c r="Q23" s="1349"/>
      <c r="R23" s="1350"/>
      <c r="S23" s="1414"/>
    </row>
    <row r="24" spans="1:19" ht="20.100000000000001" hidden="1" customHeight="1">
      <c r="A24" s="1400"/>
      <c r="B24" s="84" t="s">
        <v>0</v>
      </c>
      <c r="C24" s="648" t="s">
        <v>44</v>
      </c>
      <c r="D24" s="649">
        <v>1.85</v>
      </c>
      <c r="E24" s="85">
        <v>800</v>
      </c>
      <c r="F24" s="85"/>
      <c r="G24" s="1401"/>
      <c r="H24" s="1401"/>
      <c r="I24" s="1401"/>
      <c r="J24" s="650"/>
      <c r="K24" s="1405"/>
      <c r="L24" s="1406"/>
      <c r="M24" s="1407"/>
      <c r="N24" s="647" t="e">
        <f t="shared" si="0"/>
        <v>#DIV/0!</v>
      </c>
      <c r="O24" s="1411"/>
      <c r="P24" s="1412"/>
      <c r="Q24" s="1412"/>
      <c r="R24" s="1413"/>
      <c r="S24" s="1415"/>
    </row>
    <row r="25" spans="1:19" ht="20.100000000000001" hidden="1" customHeight="1">
      <c r="A25" s="1400"/>
      <c r="B25" s="84" t="s">
        <v>205</v>
      </c>
      <c r="C25" s="648" t="s">
        <v>44</v>
      </c>
      <c r="D25" s="649"/>
      <c r="E25" s="85"/>
      <c r="F25" s="85"/>
      <c r="G25" s="1401"/>
      <c r="H25" s="1401"/>
      <c r="I25" s="1401"/>
      <c r="J25" s="650"/>
      <c r="K25" s="1408"/>
      <c r="L25" s="1409"/>
      <c r="M25" s="1410"/>
      <c r="N25" s="647" t="e">
        <f t="shared" si="0"/>
        <v>#DIV/0!</v>
      </c>
      <c r="O25" s="1367"/>
      <c r="P25" s="1368"/>
      <c r="Q25" s="1368"/>
      <c r="R25" s="1369"/>
      <c r="S25" s="1416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2.35</v>
      </c>
      <c r="E26" s="880">
        <v>800</v>
      </c>
      <c r="F26" s="880"/>
      <c r="G26" s="1358"/>
      <c r="H26" s="1358"/>
      <c r="I26" s="1358"/>
      <c r="J26" s="423"/>
      <c r="K26" s="1402"/>
      <c r="L26" s="1403"/>
      <c r="M26" s="1404"/>
      <c r="N26" s="647" t="e">
        <f t="shared" si="0"/>
        <v>#DIV/0!</v>
      </c>
      <c r="O26" s="1348"/>
      <c r="P26" s="1349"/>
      <c r="Q26" s="1349"/>
      <c r="R26" s="1350"/>
      <c r="S26" s="1375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1.75</v>
      </c>
      <c r="E27" s="880">
        <v>715</v>
      </c>
      <c r="F27" s="880"/>
      <c r="G27" s="1358"/>
      <c r="H27" s="1358"/>
      <c r="I27" s="1358"/>
      <c r="J27" s="423"/>
      <c r="K27" s="1405"/>
      <c r="L27" s="1406"/>
      <c r="M27" s="1407"/>
      <c r="N27" s="647" t="e">
        <f t="shared" si="0"/>
        <v>#DIV/0!</v>
      </c>
      <c r="O27" s="1411"/>
      <c r="P27" s="1412"/>
      <c r="Q27" s="1412"/>
      <c r="R27" s="1413"/>
      <c r="S27" s="137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1.6</v>
      </c>
      <c r="E28" s="880">
        <v>715</v>
      </c>
      <c r="F28" s="880"/>
      <c r="G28" s="1358"/>
      <c r="H28" s="1358"/>
      <c r="I28" s="1358"/>
      <c r="J28" s="423"/>
      <c r="K28" s="1408"/>
      <c r="L28" s="1409"/>
      <c r="M28" s="1410"/>
      <c r="N28" s="647" t="e">
        <f t="shared" si="0"/>
        <v>#DIV/0!</v>
      </c>
      <c r="O28" s="1367"/>
      <c r="P28" s="1368"/>
      <c r="Q28" s="1368"/>
      <c r="R28" s="1369"/>
      <c r="S28" s="1377"/>
    </row>
    <row r="29" spans="1:19" s="76" customFormat="1" ht="31.7" customHeight="1">
      <c r="A29" s="56" t="s">
        <v>212</v>
      </c>
      <c r="B29" s="388" t="s">
        <v>193</v>
      </c>
      <c r="C29" s="1378" t="s">
        <v>11</v>
      </c>
      <c r="D29" s="1379"/>
      <c r="E29" s="1380"/>
      <c r="F29" s="409" t="s">
        <v>12</v>
      </c>
      <c r="G29" s="409" t="s">
        <v>13</v>
      </c>
      <c r="H29" s="410" t="s">
        <v>215</v>
      </c>
      <c r="I29" s="411" t="s">
        <v>14</v>
      </c>
      <c r="J29" s="412" t="s">
        <v>15</v>
      </c>
      <c r="K29" s="651" t="s">
        <v>16</v>
      </c>
      <c r="L29" s="652" t="s">
        <v>60</v>
      </c>
      <c r="M29" s="653" t="s">
        <v>17</v>
      </c>
      <c r="N29" s="652" t="s">
        <v>18</v>
      </c>
      <c r="O29" s="1381" t="s">
        <v>29</v>
      </c>
      <c r="P29" s="1381"/>
      <c r="Q29" s="1381"/>
      <c r="R29" s="1381"/>
      <c r="S29" s="383" t="s">
        <v>4</v>
      </c>
    </row>
    <row r="30" spans="1:19" s="132" customFormat="1" ht="16.5" hidden="1" customHeight="1">
      <c r="A30" s="1126" t="s">
        <v>19</v>
      </c>
      <c r="B30" s="134" t="s">
        <v>0</v>
      </c>
      <c r="C30" s="1382"/>
      <c r="D30" s="1383"/>
      <c r="E30" s="1384"/>
      <c r="F30" s="380"/>
      <c r="G30" s="246">
        <f>SUM(G9:G28)</f>
        <v>38540</v>
      </c>
      <c r="H30" s="95"/>
      <c r="I30" s="844" t="e">
        <f>SUM(#REF!)</f>
        <v>#REF!</v>
      </c>
      <c r="J30" s="390"/>
      <c r="K30" s="390"/>
      <c r="L30" s="389"/>
      <c r="M30" s="1385"/>
      <c r="N30" s="654"/>
      <c r="O30" s="1388"/>
      <c r="P30" s="1389"/>
      <c r="Q30" s="1389"/>
      <c r="R30" s="1390"/>
      <c r="S30" s="1397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6"/>
      <c r="N31" s="654"/>
      <c r="O31" s="1391"/>
      <c r="P31" s="1392"/>
      <c r="Q31" s="1392"/>
      <c r="R31" s="1393"/>
      <c r="S31" s="1398"/>
    </row>
    <row r="32" spans="1:19" s="132" customFormat="1" ht="16.5" hidden="1" customHeight="1">
      <c r="A32" s="1189"/>
      <c r="B32" s="134" t="s">
        <v>0</v>
      </c>
      <c r="C32" s="1382"/>
      <c r="D32" s="1383"/>
      <c r="E32" s="1384"/>
      <c r="F32" s="380"/>
      <c r="G32" s="246"/>
      <c r="H32" s="95"/>
      <c r="I32" s="95"/>
      <c r="J32" s="390"/>
      <c r="K32" s="390"/>
      <c r="L32" s="389"/>
      <c r="M32" s="1387"/>
      <c r="N32" s="654"/>
      <c r="O32" s="1394"/>
      <c r="P32" s="1395"/>
      <c r="Q32" s="1395"/>
      <c r="R32" s="1396"/>
      <c r="S32" s="1399"/>
    </row>
    <row r="33" spans="1:19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5"/>
      <c r="N33" s="654"/>
      <c r="O33" s="1388"/>
      <c r="P33" s="1389"/>
      <c r="Q33" s="1389"/>
      <c r="R33" s="1390"/>
      <c r="S33" s="1420"/>
    </row>
    <row r="34" spans="1:19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6"/>
      <c r="N35" s="654"/>
      <c r="O35" s="1391"/>
      <c r="P35" s="1392"/>
      <c r="Q35" s="1392"/>
      <c r="R35" s="1393"/>
      <c r="S35" s="1421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7"/>
      <c r="N36" s="654"/>
      <c r="O36" s="1394"/>
      <c r="P36" s="1395"/>
      <c r="Q36" s="1395"/>
      <c r="R36" s="1396"/>
      <c r="S36" s="1422"/>
    </row>
    <row r="37" spans="1:19" ht="18" hidden="1" customHeight="1">
      <c r="A37" s="1426" t="s">
        <v>61</v>
      </c>
      <c r="B37" s="84" t="s">
        <v>205</v>
      </c>
      <c r="C37" s="1382"/>
      <c r="D37" s="1383"/>
      <c r="E37" s="1384"/>
      <c r="F37" s="380"/>
      <c r="G37" s="245"/>
      <c r="H37" s="85"/>
      <c r="I37" s="85"/>
      <c r="J37" s="656"/>
      <c r="K37" s="392"/>
      <c r="L37" s="251"/>
      <c r="M37" s="1385"/>
      <c r="N37" s="428"/>
      <c r="O37" s="1388"/>
      <c r="P37" s="1389"/>
      <c r="Q37" s="1389"/>
      <c r="R37" s="1390"/>
      <c r="S37" s="1423"/>
    </row>
    <row r="38" spans="1:19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6"/>
      <c r="N38" s="654"/>
      <c r="O38" s="1391"/>
      <c r="P38" s="1392"/>
      <c r="Q38" s="1392"/>
      <c r="R38" s="1393"/>
      <c r="S38" s="1424"/>
    </row>
    <row r="39" spans="1:19" s="132" customFormat="1" ht="16.5" hidden="1" customHeight="1">
      <c r="A39" s="1426"/>
      <c r="B39" s="134" t="s">
        <v>0</v>
      </c>
      <c r="C39" s="1382"/>
      <c r="D39" s="1383"/>
      <c r="E39" s="1384"/>
      <c r="F39" s="380"/>
      <c r="G39" s="246"/>
      <c r="H39" s="95"/>
      <c r="I39" s="95"/>
      <c r="J39" s="390"/>
      <c r="K39" s="390"/>
      <c r="L39" s="389"/>
      <c r="M39" s="1387"/>
      <c r="N39" s="654"/>
      <c r="O39" s="1394"/>
      <c r="P39" s="1395"/>
      <c r="Q39" s="1395"/>
      <c r="R39" s="1396"/>
      <c r="S39" s="1425"/>
    </row>
    <row r="40" spans="1:19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5"/>
      <c r="N40" s="654"/>
      <c r="O40" s="1388"/>
      <c r="P40" s="1389"/>
      <c r="Q40" s="1389"/>
      <c r="R40" s="1390"/>
      <c r="S40" s="1420"/>
    </row>
    <row r="41" spans="1:19" ht="18" hidden="1" customHeight="1">
      <c r="A41" s="1426"/>
      <c r="B41" s="381" t="s">
        <v>43</v>
      </c>
      <c r="C41" s="1417"/>
      <c r="D41" s="1418"/>
      <c r="E41" s="1419"/>
      <c r="F41" s="114"/>
      <c r="G41" s="243"/>
      <c r="H41" s="114"/>
      <c r="I41" s="114"/>
      <c r="J41" s="655"/>
      <c r="K41" s="391"/>
      <c r="L41" s="240"/>
      <c r="M41" s="1386"/>
      <c r="N41" s="654"/>
      <c r="O41" s="1391"/>
      <c r="P41" s="1392"/>
      <c r="Q41" s="1392"/>
      <c r="R41" s="1393"/>
      <c r="S41" s="1421"/>
    </row>
    <row r="42" spans="1:19" ht="18" hidden="1" customHeight="1">
      <c r="A42" s="1426"/>
      <c r="B42" s="381" t="s">
        <v>207</v>
      </c>
      <c r="C42" s="1417"/>
      <c r="D42" s="1418"/>
      <c r="E42" s="1419"/>
      <c r="F42" s="657"/>
      <c r="G42" s="243"/>
      <c r="H42" s="114"/>
      <c r="I42" s="114"/>
      <c r="J42" s="655"/>
      <c r="K42" s="391"/>
      <c r="L42" s="240"/>
      <c r="M42" s="1387"/>
      <c r="N42" s="428"/>
      <c r="O42" s="1394"/>
      <c r="P42" s="1395"/>
      <c r="Q42" s="1395"/>
      <c r="R42" s="1396"/>
      <c r="S42" s="1422"/>
    </row>
    <row r="43" spans="1:19" ht="18" hidden="1" customHeight="1">
      <c r="A43" s="1260" t="s">
        <v>20</v>
      </c>
      <c r="B43" s="84" t="s">
        <v>205</v>
      </c>
      <c r="C43" s="1382"/>
      <c r="D43" s="1383"/>
      <c r="E43" s="1384"/>
      <c r="F43" s="380"/>
      <c r="G43" s="245"/>
      <c r="H43" s="85"/>
      <c r="I43" s="85"/>
      <c r="J43" s="656"/>
      <c r="K43" s="393"/>
      <c r="L43" s="251"/>
      <c r="M43" s="1385"/>
      <c r="N43" s="428"/>
      <c r="O43" s="1388"/>
      <c r="P43" s="1389"/>
      <c r="Q43" s="1389"/>
      <c r="R43" s="1390"/>
      <c r="S43" s="1423"/>
    </row>
    <row r="44" spans="1:19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6"/>
      <c r="N44" s="654"/>
      <c r="O44" s="1391"/>
      <c r="P44" s="1392"/>
      <c r="Q44" s="1392"/>
      <c r="R44" s="1393"/>
      <c r="S44" s="1424"/>
    </row>
    <row r="45" spans="1:19" s="132" customFormat="1" ht="16.5" hidden="1" customHeight="1">
      <c r="A45" s="1260"/>
      <c r="B45" s="134" t="s">
        <v>0</v>
      </c>
      <c r="C45" s="1382"/>
      <c r="D45" s="1383"/>
      <c r="E45" s="1384"/>
      <c r="F45" s="380"/>
      <c r="G45" s="246"/>
      <c r="H45" s="95"/>
      <c r="I45" s="95"/>
      <c r="J45" s="390"/>
      <c r="K45" s="390"/>
      <c r="L45" s="389"/>
      <c r="M45" s="1387"/>
      <c r="N45" s="654"/>
      <c r="O45" s="1394"/>
      <c r="P45" s="1395"/>
      <c r="Q45" s="1395"/>
      <c r="R45" s="1396"/>
      <c r="S45" s="1425"/>
    </row>
    <row r="46" spans="1:19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5"/>
      <c r="N46" s="654"/>
      <c r="O46" s="1388"/>
      <c r="P46" s="1389"/>
      <c r="Q46" s="1389"/>
      <c r="R46" s="1390"/>
      <c r="S46" s="1420"/>
    </row>
    <row r="47" spans="1:19" ht="18" hidden="1" customHeight="1">
      <c r="A47" s="1260"/>
      <c r="B47" s="381" t="s">
        <v>43</v>
      </c>
      <c r="C47" s="1417"/>
      <c r="D47" s="1418"/>
      <c r="E47" s="1419"/>
      <c r="F47" s="114"/>
      <c r="G47" s="243"/>
      <c r="H47" s="114"/>
      <c r="I47" s="114"/>
      <c r="J47" s="655"/>
      <c r="K47" s="391"/>
      <c r="L47" s="240"/>
      <c r="M47" s="1386"/>
      <c r="N47" s="654"/>
      <c r="O47" s="1391"/>
      <c r="P47" s="1392"/>
      <c r="Q47" s="1392"/>
      <c r="R47" s="1393"/>
      <c r="S47" s="1421"/>
    </row>
    <row r="48" spans="1:19" ht="15.75" hidden="1" customHeight="1">
      <c r="A48" s="1260"/>
      <c r="B48" s="381" t="s">
        <v>207</v>
      </c>
      <c r="C48" s="1417"/>
      <c r="D48" s="1418"/>
      <c r="E48" s="1419"/>
      <c r="F48" s="657"/>
      <c r="G48" s="243"/>
      <c r="H48" s="114"/>
      <c r="I48" s="114"/>
      <c r="J48" s="655"/>
      <c r="K48" s="391"/>
      <c r="L48" s="240"/>
      <c r="M48" s="1387"/>
      <c r="N48" s="428"/>
      <c r="O48" s="1394"/>
      <c r="P48" s="1395"/>
      <c r="Q48" s="1395"/>
      <c r="R48" s="1396"/>
      <c r="S48" s="1422"/>
    </row>
    <row r="49" spans="1:24" ht="36.75" customHeight="1">
      <c r="A49" s="1126" t="s">
        <v>21</v>
      </c>
      <c r="B49" s="84" t="s">
        <v>0</v>
      </c>
      <c r="C49" s="1427" t="e">
        <f>#REF!</f>
        <v>#REF!</v>
      </c>
      <c r="D49" s="1427"/>
      <c r="E49" s="1427"/>
      <c r="F49" s="827" t="s">
        <v>899</v>
      </c>
      <c r="G49" s="828" t="e">
        <f>#REF!</f>
        <v>#REF!</v>
      </c>
      <c r="H49" s="815"/>
      <c r="I49" s="827">
        <v>2</v>
      </c>
      <c r="J49" s="828" t="e">
        <f>#REF!</f>
        <v>#REF!</v>
      </c>
      <c r="K49" s="828" t="e">
        <f>#REF!</f>
        <v>#REF!</v>
      </c>
      <c r="L49" s="828" t="e">
        <f>#REF!</f>
        <v>#REF!</v>
      </c>
      <c r="M49" s="661" t="e">
        <f>#REF!</f>
        <v>#REF!</v>
      </c>
      <c r="N49" s="662" t="e">
        <f>#REF!</f>
        <v>#REF!</v>
      </c>
      <c r="O49" s="1361" t="e">
        <f>#REF!</f>
        <v>#REF!</v>
      </c>
      <c r="P49" s="1361"/>
      <c r="Q49" s="1361"/>
      <c r="R49" s="1361"/>
      <c r="S49" s="822" t="e">
        <f>#REF!</f>
        <v>#REF!</v>
      </c>
      <c r="V49" s="1382" t="s">
        <v>633</v>
      </c>
      <c r="W49" s="1383"/>
      <c r="X49" s="1384"/>
    </row>
    <row r="50" spans="1:24" ht="17.25" customHeight="1">
      <c r="A50" s="1127"/>
      <c r="B50" s="881" t="s">
        <v>43</v>
      </c>
      <c r="C50" s="1360" t="e">
        <f>#REF!</f>
        <v>#REF!</v>
      </c>
      <c r="D50" s="1360"/>
      <c r="E50" s="1360"/>
      <c r="F50" s="418" t="s">
        <v>899</v>
      </c>
      <c r="G50" s="660" t="e">
        <f>#REF!</f>
        <v>#REF!</v>
      </c>
      <c r="H50" s="880"/>
      <c r="I50" s="418">
        <v>3</v>
      </c>
      <c r="J50" s="660" t="e">
        <f>#REF!</f>
        <v>#REF!</v>
      </c>
      <c r="K50" s="660" t="e">
        <f>#REF!</f>
        <v>#REF!</v>
      </c>
      <c r="L50" s="660" t="e">
        <f>#REF!</f>
        <v>#REF!</v>
      </c>
      <c r="M50" s="661" t="e">
        <f>#REF!</f>
        <v>#REF!</v>
      </c>
      <c r="N50" s="662" t="e">
        <f>#REF!</f>
        <v>#REF!</v>
      </c>
      <c r="O50" s="1361" t="e">
        <f>#REF!</f>
        <v>#REF!</v>
      </c>
      <c r="P50" s="1361"/>
      <c r="Q50" s="1361"/>
      <c r="R50" s="1361"/>
      <c r="S50" s="822" t="e">
        <f>#REF!</f>
        <v>#REF!</v>
      </c>
      <c r="V50" s="1382" t="s">
        <v>633</v>
      </c>
      <c r="W50" s="1383"/>
      <c r="X50" s="1384"/>
    </row>
    <row r="51" spans="1:24" ht="17.25" customHeight="1">
      <c r="A51" s="1126" t="s">
        <v>22</v>
      </c>
      <c r="B51" s="84" t="s">
        <v>0</v>
      </c>
      <c r="C51" s="1427" t="e">
        <f>#REF!</f>
        <v>#REF!</v>
      </c>
      <c r="D51" s="1427"/>
      <c r="E51" s="1427"/>
      <c r="F51" s="827" t="s">
        <v>1215</v>
      </c>
      <c r="G51" s="852" t="e">
        <f>#REF!</f>
        <v>#REF!</v>
      </c>
      <c r="H51" s="815"/>
      <c r="I51" s="827">
        <v>0</v>
      </c>
      <c r="J51" s="852" t="e">
        <f>#REF!</f>
        <v>#REF!</v>
      </c>
      <c r="K51" s="885" t="e">
        <f>#REF!</f>
        <v>#REF!</v>
      </c>
      <c r="L51" s="885" t="e">
        <f>#REF!</f>
        <v>#REF!</v>
      </c>
      <c r="M51" s="863" t="e">
        <f>#REF!</f>
        <v>#REF!</v>
      </c>
      <c r="N51" s="415" t="e">
        <f>#REF!</f>
        <v>#REF!</v>
      </c>
      <c r="O51" s="1348" t="e">
        <f>#REF!</f>
        <v>#REF!</v>
      </c>
      <c r="P51" s="1349"/>
      <c r="Q51" s="1349"/>
      <c r="R51" s="1350"/>
      <c r="S51" s="1552" t="e">
        <f>#REF!</f>
        <v>#REF!</v>
      </c>
    </row>
    <row r="52" spans="1:24" ht="34.5" customHeight="1">
      <c r="A52" s="1189"/>
      <c r="B52" s="84" t="s">
        <v>0</v>
      </c>
      <c r="C52" s="1427" t="e">
        <f>#REF!</f>
        <v>#REF!</v>
      </c>
      <c r="D52" s="1427"/>
      <c r="E52" s="1427"/>
      <c r="F52" s="827" t="s">
        <v>1238</v>
      </c>
      <c r="G52" s="852" t="e">
        <f>#REF!</f>
        <v>#REF!</v>
      </c>
      <c r="H52" s="815"/>
      <c r="I52" s="827">
        <v>2</v>
      </c>
      <c r="J52" s="852" t="e">
        <f>#REF!</f>
        <v>#REF!</v>
      </c>
      <c r="K52" s="885" t="e">
        <f>#REF!</f>
        <v>#REF!</v>
      </c>
      <c r="L52" s="885" t="e">
        <f>#REF!</f>
        <v>#REF!</v>
      </c>
      <c r="M52" s="863" t="e">
        <f>#REF!</f>
        <v>#REF!</v>
      </c>
      <c r="N52" s="415" t="e">
        <f>#REF!</f>
        <v>#REF!</v>
      </c>
      <c r="O52" s="1367" t="e">
        <f>#REF!</f>
        <v>#REF!</v>
      </c>
      <c r="P52" s="1368"/>
      <c r="Q52" s="1368"/>
      <c r="R52" s="1369"/>
      <c r="S52" s="1553"/>
    </row>
    <row r="53" spans="1:24" ht="52.5" customHeight="1">
      <c r="A53" s="1127"/>
      <c r="B53" s="881" t="s">
        <v>43</v>
      </c>
      <c r="C53" s="1360" t="e">
        <f>#REF!</f>
        <v>#REF!</v>
      </c>
      <c r="D53" s="1360"/>
      <c r="E53" s="1360"/>
      <c r="F53" s="418" t="s">
        <v>1239</v>
      </c>
      <c r="G53" s="840" t="e">
        <f>#REF!</f>
        <v>#REF!</v>
      </c>
      <c r="H53" s="880"/>
      <c r="I53" s="418">
        <v>2</v>
      </c>
      <c r="J53" s="840" t="e">
        <f>#REF!</f>
        <v>#REF!</v>
      </c>
      <c r="K53" s="890" t="e">
        <f>#REF!</f>
        <v>#REF!</v>
      </c>
      <c r="L53" s="890" t="e">
        <f>#REF!</f>
        <v>#REF!</v>
      </c>
      <c r="M53" s="863" t="e">
        <f>#REF!</f>
        <v>#REF!</v>
      </c>
      <c r="N53" s="415" t="e">
        <f>#REF!</f>
        <v>#REF!</v>
      </c>
      <c r="O53" s="1364" t="e">
        <f>#REF!</f>
        <v>#REF!</v>
      </c>
      <c r="P53" s="1365"/>
      <c r="Q53" s="1365"/>
      <c r="R53" s="1366"/>
      <c r="S53" s="821" t="e">
        <f>#REF!</f>
        <v>#REF!</v>
      </c>
    </row>
    <row r="54" spans="1:24" ht="37.5" customHeight="1">
      <c r="A54" s="1428" t="s">
        <v>23</v>
      </c>
      <c r="B54" s="84" t="s">
        <v>0</v>
      </c>
      <c r="C54" s="1427" t="e">
        <f>#REF!</f>
        <v>#REF!</v>
      </c>
      <c r="D54" s="1427"/>
      <c r="E54" s="1427"/>
      <c r="F54" s="827" t="s">
        <v>724</v>
      </c>
      <c r="G54" s="828" t="e">
        <f>#REF!</f>
        <v>#REF!</v>
      </c>
      <c r="H54" s="815"/>
      <c r="I54" s="827">
        <v>3</v>
      </c>
      <c r="J54" s="828" t="e">
        <f>#REF!</f>
        <v>#REF!</v>
      </c>
      <c r="K54" s="828" t="e">
        <f>#REF!</f>
        <v>#REF!</v>
      </c>
      <c r="L54" s="828" t="e">
        <f>#REF!</f>
        <v>#REF!</v>
      </c>
      <c r="M54" s="865" t="e">
        <f>#REF!</f>
        <v>#REF!</v>
      </c>
      <c r="N54" s="662" t="e">
        <f>#REF!</f>
        <v>#REF!</v>
      </c>
      <c r="O54" s="1364" t="e">
        <f>#REF!</f>
        <v>#REF!</v>
      </c>
      <c r="P54" s="1365"/>
      <c r="Q54" s="1365"/>
      <c r="R54" s="1366"/>
      <c r="S54" s="822" t="e">
        <f>#REF!</f>
        <v>#REF!</v>
      </c>
    </row>
    <row r="55" spans="1:24" ht="36" customHeight="1">
      <c r="A55" s="1563"/>
      <c r="B55" s="381" t="s">
        <v>43</v>
      </c>
      <c r="C55" s="1360" t="e">
        <f>#REF!</f>
        <v>#REF!</v>
      </c>
      <c r="D55" s="1360"/>
      <c r="E55" s="1360"/>
      <c r="F55" s="418" t="s">
        <v>724</v>
      </c>
      <c r="G55" s="660" t="e">
        <f>#REF!</f>
        <v>#REF!</v>
      </c>
      <c r="H55" s="880"/>
      <c r="I55" s="418">
        <v>3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51" customHeight="1">
      <c r="A56" s="1126" t="s">
        <v>24</v>
      </c>
      <c r="B56" s="84" t="s">
        <v>0</v>
      </c>
      <c r="C56" s="1427" t="e">
        <f>#REF!</f>
        <v>#REF!</v>
      </c>
      <c r="D56" s="1427"/>
      <c r="E56" s="1427"/>
      <c r="F56" s="827" t="s">
        <v>1217</v>
      </c>
      <c r="G56" s="828" t="e">
        <f>#REF!</f>
        <v>#REF!</v>
      </c>
      <c r="H56" s="815"/>
      <c r="I56" s="827">
        <v>2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661" t="e">
        <f>#REF!</f>
        <v>#REF!</v>
      </c>
      <c r="N56" s="662" t="e">
        <f>#REF!</f>
        <v>#REF!</v>
      </c>
      <c r="O56" s="1361" t="e">
        <f>#REF!</f>
        <v>#REF!</v>
      </c>
      <c r="P56" s="1361"/>
      <c r="Q56" s="1361"/>
      <c r="R56" s="1361"/>
      <c r="S56" s="877" t="e">
        <f>#REF!</f>
        <v>#REF!</v>
      </c>
    </row>
    <row r="57" spans="1:24" ht="17.25" customHeight="1">
      <c r="A57" s="1127"/>
      <c r="B57" s="381" t="s">
        <v>43</v>
      </c>
      <c r="C57" s="1360" t="e">
        <f>#REF!</f>
        <v>#REF!</v>
      </c>
      <c r="D57" s="1360"/>
      <c r="E57" s="1360"/>
      <c r="F57" s="418" t="s">
        <v>1217</v>
      </c>
      <c r="G57" s="660" t="e">
        <f>#REF!</f>
        <v>#REF!</v>
      </c>
      <c r="H57" s="880"/>
      <c r="I57" s="418">
        <v>2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661" t="e">
        <f>#REF!</f>
        <v>#REF!</v>
      </c>
      <c r="N57" s="662" t="e">
        <f>#REF!</f>
        <v>#REF!</v>
      </c>
      <c r="O57" s="1361" t="e">
        <f>#REF!</f>
        <v>#REF!</v>
      </c>
      <c r="P57" s="1361"/>
      <c r="Q57" s="1361"/>
      <c r="R57" s="1361"/>
      <c r="S57" s="877" t="e">
        <f>#REF!</f>
        <v>#REF!</v>
      </c>
    </row>
    <row r="58" spans="1:24" ht="54" customHeight="1">
      <c r="A58" s="1126" t="s">
        <v>634</v>
      </c>
      <c r="B58" s="84" t="s">
        <v>0</v>
      </c>
      <c r="C58" s="1427" t="e">
        <f>#REF!</f>
        <v>#REF!</v>
      </c>
      <c r="D58" s="1427"/>
      <c r="E58" s="1427"/>
      <c r="F58" s="827" t="s">
        <v>775</v>
      </c>
      <c r="G58" s="828" t="e">
        <f>#REF!</f>
        <v>#REF!</v>
      </c>
      <c r="H58" s="815"/>
      <c r="I58" s="827">
        <v>5</v>
      </c>
      <c r="J58" s="828" t="e">
        <f>#REF!</f>
        <v>#REF!</v>
      </c>
      <c r="K58" s="828" t="e">
        <f>#REF!</f>
        <v>#REF!</v>
      </c>
      <c r="L58" s="828" t="e">
        <f>#REF!</f>
        <v>#REF!</v>
      </c>
      <c r="M58" s="816" t="e">
        <f>#REF!</f>
        <v>#REF!</v>
      </c>
      <c r="N58" s="817" t="e">
        <f>#REF!</f>
        <v>#REF!</v>
      </c>
      <c r="O58" s="1430" t="e">
        <f>#REF!</f>
        <v>#REF!</v>
      </c>
      <c r="P58" s="1431"/>
      <c r="Q58" s="1431"/>
      <c r="R58" s="1432"/>
      <c r="S58" s="822" t="e">
        <f>#REF!</f>
        <v>#REF!</v>
      </c>
    </row>
    <row r="59" spans="1:24" ht="17.25" customHeight="1">
      <c r="A59" s="1127"/>
      <c r="B59" s="381" t="s">
        <v>43</v>
      </c>
      <c r="C59" s="1360" t="e">
        <f>#REF!</f>
        <v>#REF!</v>
      </c>
      <c r="D59" s="1360"/>
      <c r="E59" s="1360"/>
      <c r="F59" s="418" t="s">
        <v>775</v>
      </c>
      <c r="G59" s="660" t="e">
        <f>#REF!</f>
        <v>#REF!</v>
      </c>
      <c r="H59" s="880"/>
      <c r="I59" s="418">
        <v>5</v>
      </c>
      <c r="J59" s="660" t="e">
        <f>#REF!</f>
        <v>#REF!</v>
      </c>
      <c r="K59" s="660" t="e">
        <f>#REF!</f>
        <v>#REF!</v>
      </c>
      <c r="L59" s="660" t="e">
        <f>#REF!</f>
        <v>#REF!</v>
      </c>
      <c r="M59" s="816" t="e">
        <f>#REF!</f>
        <v>#REF!</v>
      </c>
      <c r="N59" s="817" t="e">
        <f>#REF!</f>
        <v>#REF!</v>
      </c>
      <c r="O59" s="1430" t="e">
        <f>#REF!</f>
        <v>#REF!</v>
      </c>
      <c r="P59" s="1431"/>
      <c r="Q59" s="1431"/>
      <c r="R59" s="1432"/>
      <c r="S59" s="822" t="e">
        <f>#REF!</f>
        <v>#REF!</v>
      </c>
    </row>
    <row r="60" spans="1:24" ht="17.25" customHeight="1">
      <c r="A60" s="1126" t="s">
        <v>416</v>
      </c>
      <c r="B60" s="84" t="s">
        <v>0</v>
      </c>
      <c r="C60" s="1427" t="s">
        <v>633</v>
      </c>
      <c r="D60" s="1427"/>
      <c r="E60" s="1427"/>
      <c r="F60" s="827"/>
      <c r="G60" s="828"/>
      <c r="H60" s="815"/>
      <c r="I60" s="827"/>
      <c r="J60" s="828"/>
      <c r="K60" s="828"/>
      <c r="L60" s="828"/>
      <c r="M60" s="816"/>
      <c r="N60" s="818"/>
      <c r="O60" s="1333"/>
      <c r="P60" s="1334"/>
      <c r="Q60" s="1334"/>
      <c r="R60" s="1335"/>
      <c r="S60" s="895"/>
    </row>
    <row r="61" spans="1:24" ht="17.25" customHeight="1">
      <c r="A61" s="1189"/>
      <c r="B61" s="381" t="s">
        <v>43</v>
      </c>
      <c r="C61" s="1360" t="s">
        <v>633</v>
      </c>
      <c r="D61" s="1360"/>
      <c r="E61" s="1360"/>
      <c r="F61" s="418"/>
      <c r="G61" s="660"/>
      <c r="H61" s="880"/>
      <c r="I61" s="418"/>
      <c r="J61" s="660"/>
      <c r="K61" s="660"/>
      <c r="L61" s="660"/>
      <c r="M61" s="816"/>
      <c r="N61" s="818"/>
      <c r="O61" s="1333"/>
      <c r="P61" s="1334"/>
      <c r="Q61" s="1334"/>
      <c r="R61" s="1335"/>
      <c r="S61" s="855"/>
    </row>
    <row r="62" spans="1:24" ht="17.25" customHeight="1">
      <c r="A62" s="1126" t="s">
        <v>635</v>
      </c>
      <c r="B62" s="84" t="s">
        <v>0</v>
      </c>
      <c r="C62" s="1427" t="s">
        <v>633</v>
      </c>
      <c r="D62" s="1427"/>
      <c r="E62" s="1427"/>
      <c r="F62" s="827"/>
      <c r="G62" s="828"/>
      <c r="H62" s="815"/>
      <c r="I62" s="827"/>
      <c r="J62" s="828"/>
      <c r="K62" s="828"/>
      <c r="L62" s="828"/>
      <c r="M62" s="816"/>
      <c r="N62" s="817"/>
      <c r="O62" s="1436"/>
      <c r="P62" s="1436"/>
      <c r="Q62" s="1436"/>
      <c r="R62" s="1436"/>
      <c r="S62" s="848"/>
    </row>
    <row r="63" spans="1:24" ht="17.25" customHeight="1">
      <c r="A63" s="1189"/>
      <c r="B63" s="381" t="s">
        <v>43</v>
      </c>
      <c r="C63" s="1360" t="s">
        <v>633</v>
      </c>
      <c r="D63" s="1360"/>
      <c r="E63" s="1360"/>
      <c r="F63" s="418"/>
      <c r="G63" s="660"/>
      <c r="H63" s="880"/>
      <c r="I63" s="418"/>
      <c r="J63" s="660"/>
      <c r="K63" s="660"/>
      <c r="L63" s="660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26" t="s">
        <v>636</v>
      </c>
      <c r="B64" s="84" t="s">
        <v>0</v>
      </c>
      <c r="C64" s="1427" t="s">
        <v>633</v>
      </c>
      <c r="D64" s="1427"/>
      <c r="E64" s="1427"/>
      <c r="F64" s="827"/>
      <c r="G64" s="828"/>
      <c r="H64" s="815"/>
      <c r="I64" s="827"/>
      <c r="J64" s="828"/>
      <c r="K64" s="828"/>
      <c r="L64" s="828"/>
      <c r="M64" s="816"/>
      <c r="N64" s="817"/>
      <c r="O64" s="1436" t="e">
        <f>#REF!</f>
        <v>#REF!</v>
      </c>
      <c r="P64" s="1436"/>
      <c r="Q64" s="1436"/>
      <c r="R64" s="1436"/>
      <c r="S64" s="848" t="e">
        <f>#REF!</f>
        <v>#REF!</v>
      </c>
    </row>
    <row r="65" spans="1:79" ht="17.25" customHeight="1">
      <c r="A65" s="1127"/>
      <c r="B65" s="381" t="s">
        <v>43</v>
      </c>
      <c r="C65" s="1360" t="s">
        <v>633</v>
      </c>
      <c r="D65" s="1360"/>
      <c r="E65" s="1360"/>
      <c r="F65" s="418"/>
      <c r="G65" s="660"/>
      <c r="H65" s="880"/>
      <c r="I65" s="418"/>
      <c r="J65" s="660"/>
      <c r="K65" s="660"/>
      <c r="L65" s="660"/>
      <c r="M65" s="816"/>
      <c r="N65" s="817"/>
      <c r="O65" s="1436"/>
      <c r="P65" s="1436"/>
      <c r="Q65" s="1436"/>
      <c r="R65" s="1436"/>
      <c r="S65" s="821"/>
    </row>
    <row r="66" spans="1:79" ht="17.25" customHeight="1">
      <c r="A66" s="831"/>
      <c r="B66" s="841"/>
      <c r="C66" s="882"/>
      <c r="D66" s="883"/>
      <c r="E66" s="884"/>
      <c r="F66" s="827"/>
      <c r="G66" s="828"/>
      <c r="H66" s="815"/>
      <c r="I66" s="827"/>
      <c r="J66" s="832" t="s">
        <v>666</v>
      </c>
      <c r="K66" s="836" t="e">
        <f>SUM(K49:K65)</f>
        <v>#REF!</v>
      </c>
      <c r="L66" s="839"/>
      <c r="M66" s="816"/>
      <c r="N66" s="817"/>
      <c r="O66" s="1433"/>
      <c r="P66" s="1434"/>
      <c r="Q66" s="1434"/>
      <c r="R66" s="1435"/>
      <c r="S66" s="811"/>
    </row>
    <row r="67" spans="1:79" ht="17.25" customHeight="1">
      <c r="A67" s="1568" t="s">
        <v>25</v>
      </c>
      <c r="B67" s="84" t="s">
        <v>0</v>
      </c>
      <c r="C67" s="1427" t="s">
        <v>633</v>
      </c>
      <c r="D67" s="1427"/>
      <c r="E67" s="1427"/>
      <c r="F67" s="827"/>
      <c r="G67" s="828"/>
      <c r="H67" s="815"/>
      <c r="I67" s="827"/>
      <c r="J67" s="828"/>
      <c r="K67" s="828"/>
      <c r="L67" s="828"/>
      <c r="M67" s="659"/>
      <c r="N67" s="415"/>
      <c r="O67" s="1437"/>
      <c r="P67" s="1438"/>
      <c r="Q67" s="1438"/>
      <c r="R67" s="1439"/>
      <c r="S67" s="876"/>
    </row>
    <row r="68" spans="1:79" ht="17.25" customHeight="1">
      <c r="A68" s="1570"/>
      <c r="B68" s="381" t="s">
        <v>43</v>
      </c>
      <c r="C68" s="1360" t="s">
        <v>633</v>
      </c>
      <c r="D68" s="1360"/>
      <c r="E68" s="1360"/>
      <c r="F68" s="418"/>
      <c r="G68" s="660"/>
      <c r="H68" s="880"/>
      <c r="I68" s="418"/>
      <c r="J68" s="660"/>
      <c r="K68" s="660"/>
      <c r="L68" s="660"/>
      <c r="M68" s="659"/>
      <c r="N68" s="415"/>
      <c r="O68" s="1437"/>
      <c r="P68" s="1438"/>
      <c r="Q68" s="1438"/>
      <c r="R68" s="1439"/>
      <c r="S68" s="876"/>
    </row>
    <row r="69" spans="1:79" ht="17.25" customHeight="1">
      <c r="A69" s="1126" t="s">
        <v>62</v>
      </c>
      <c r="B69" s="84" t="s">
        <v>0</v>
      </c>
      <c r="C69" s="1427" t="s">
        <v>633</v>
      </c>
      <c r="D69" s="1427"/>
      <c r="E69" s="1427"/>
      <c r="F69" s="827"/>
      <c r="G69" s="828"/>
      <c r="H69" s="815"/>
      <c r="I69" s="827"/>
      <c r="J69" s="828"/>
      <c r="K69" s="828"/>
      <c r="L69" s="828"/>
      <c r="M69" s="659"/>
      <c r="N69" s="415"/>
      <c r="O69" s="1549"/>
      <c r="P69" s="1550"/>
      <c r="Q69" s="1550"/>
      <c r="R69" s="1551"/>
      <c r="S69" s="893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17.25" customHeight="1">
      <c r="A70" s="1189"/>
      <c r="B70" s="381" t="s">
        <v>43</v>
      </c>
      <c r="C70" s="1360" t="s">
        <v>633</v>
      </c>
      <c r="D70" s="1360"/>
      <c r="E70" s="1360"/>
      <c r="F70" s="418"/>
      <c r="G70" s="660"/>
      <c r="H70" s="880"/>
      <c r="I70" s="418"/>
      <c r="J70" s="660"/>
      <c r="K70" s="660"/>
      <c r="L70" s="660"/>
      <c r="M70" s="659"/>
      <c r="N70" s="415"/>
      <c r="O70" s="1549"/>
      <c r="P70" s="1550"/>
      <c r="Q70" s="1550"/>
      <c r="R70" s="1551"/>
      <c r="S70" s="893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26" t="s">
        <v>640</v>
      </c>
      <c r="B71" s="84" t="s">
        <v>0</v>
      </c>
      <c r="C71" s="1427" t="e">
        <f>#REF!</f>
        <v>#REF!</v>
      </c>
      <c r="D71" s="1427"/>
      <c r="E71" s="1427"/>
      <c r="F71" s="827" t="s">
        <v>799</v>
      </c>
      <c r="G71" s="828" t="e">
        <f>#REF!</f>
        <v>#REF!</v>
      </c>
      <c r="H71" s="815"/>
      <c r="I71" s="827">
        <v>3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658" t="e">
        <f>#REF!</f>
        <v>#REF!</v>
      </c>
      <c r="O71" s="1437" t="e">
        <f>#REF!</f>
        <v>#REF!</v>
      </c>
      <c r="P71" s="1438"/>
      <c r="Q71" s="1438"/>
      <c r="R71" s="1439"/>
      <c r="S71" s="823" t="e">
        <f>#REF!</f>
        <v>#REF!</v>
      </c>
    </row>
    <row r="72" spans="1:79" ht="17.25" customHeight="1">
      <c r="A72" s="1127"/>
      <c r="B72" s="881" t="s">
        <v>43</v>
      </c>
      <c r="C72" s="1360" t="e">
        <f>#REF!</f>
        <v>#REF!</v>
      </c>
      <c r="D72" s="1360"/>
      <c r="E72" s="1360"/>
      <c r="F72" s="418" t="s">
        <v>799</v>
      </c>
      <c r="G72" s="660" t="e">
        <f>#REF!</f>
        <v>#REF!</v>
      </c>
      <c r="H72" s="880"/>
      <c r="I72" s="418">
        <v>4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17.25" customHeight="1">
      <c r="A73" s="1440" t="s">
        <v>26</v>
      </c>
      <c r="B73" s="84" t="s">
        <v>0</v>
      </c>
      <c r="C73" s="1427" t="e">
        <f>#REF!</f>
        <v>#REF!</v>
      </c>
      <c r="D73" s="1427"/>
      <c r="E73" s="1427"/>
      <c r="F73" s="827" t="s">
        <v>732</v>
      </c>
      <c r="G73" s="828" t="e">
        <f>#REF!</f>
        <v>#REF!</v>
      </c>
      <c r="H73" s="815"/>
      <c r="I73" s="827">
        <v>0</v>
      </c>
      <c r="J73" s="828" t="e">
        <f>#REF!</f>
        <v>#REF!</v>
      </c>
      <c r="K73" s="828" t="e">
        <f>#REF!</f>
        <v>#REF!</v>
      </c>
      <c r="L73" s="828" t="e">
        <f>#REF!</f>
        <v>#REF!</v>
      </c>
      <c r="M73" s="842" t="e">
        <f>#REF!</f>
        <v>#REF!</v>
      </c>
      <c r="N73" s="415" t="e">
        <f>#REF!</f>
        <v>#REF!</v>
      </c>
      <c r="O73" s="1442" t="e">
        <f>#REF!</f>
        <v>#REF!</v>
      </c>
      <c r="P73" s="1443"/>
      <c r="Q73" s="1443"/>
      <c r="R73" s="1444"/>
      <c r="S73" s="822" t="e">
        <f>#REF!</f>
        <v>#REF!</v>
      </c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547"/>
      <c r="B74" s="881" t="s">
        <v>43</v>
      </c>
      <c r="C74" s="1360" t="s">
        <v>633</v>
      </c>
      <c r="D74" s="1360"/>
      <c r="E74" s="1360"/>
      <c r="F74" s="418"/>
      <c r="G74" s="660"/>
      <c r="H74" s="880"/>
      <c r="I74" s="418"/>
      <c r="J74" s="660"/>
      <c r="K74" s="660"/>
      <c r="L74" s="660"/>
      <c r="M74" s="842"/>
      <c r="N74" s="415"/>
      <c r="O74" s="1442"/>
      <c r="P74" s="1443"/>
      <c r="Q74" s="1443"/>
      <c r="R74" s="1444"/>
      <c r="S74" s="822"/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52.5" customHeight="1">
      <c r="A79" s="1126" t="s">
        <v>642</v>
      </c>
      <c r="B79" s="84" t="s">
        <v>0</v>
      </c>
      <c r="C79" s="1427" t="e">
        <f>#REF!</f>
        <v>#REF!</v>
      </c>
      <c r="D79" s="1427"/>
      <c r="E79" s="1427"/>
      <c r="F79" s="827" t="s">
        <v>1240</v>
      </c>
      <c r="G79" s="828" t="e">
        <f>#REF!</f>
        <v>#REF!</v>
      </c>
      <c r="H79" s="815"/>
      <c r="I79" s="827">
        <v>3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816" t="e">
        <f>#REF!</f>
        <v>#REF!</v>
      </c>
      <c r="N79" s="415" t="e">
        <f>#REF!</f>
        <v>#REF!</v>
      </c>
      <c r="O79" s="1437" t="e">
        <f>#REF!</f>
        <v>#REF!</v>
      </c>
      <c r="P79" s="1438"/>
      <c r="Q79" s="1438"/>
      <c r="R79" s="1439"/>
      <c r="S79" s="823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89"/>
      <c r="B80" s="881" t="s">
        <v>43</v>
      </c>
      <c r="C80" s="1360" t="e">
        <f>#REF!</f>
        <v>#REF!</v>
      </c>
      <c r="D80" s="1360"/>
      <c r="E80" s="1360"/>
      <c r="F80" s="418" t="s">
        <v>1240</v>
      </c>
      <c r="G80" s="660" t="e">
        <f>#REF!</f>
        <v>#REF!</v>
      </c>
      <c r="H80" s="880"/>
      <c r="I80" s="418">
        <v>11</v>
      </c>
      <c r="J80" s="660" t="e">
        <f>#REF!</f>
        <v>#REF!</v>
      </c>
      <c r="K80" s="660" t="e">
        <f>#REF!</f>
        <v>#REF!</v>
      </c>
      <c r="L80" s="660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643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554"/>
      <c r="P81" s="1555"/>
      <c r="Q81" s="1555"/>
      <c r="R81" s="1556"/>
      <c r="S81" s="877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7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554"/>
      <c r="P82" s="1555"/>
      <c r="Q82" s="1555"/>
      <c r="R82" s="1556"/>
      <c r="S82" s="877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651</v>
      </c>
      <c r="B83" s="84" t="s">
        <v>0</v>
      </c>
      <c r="C83" s="1427" t="e">
        <f>#REF!</f>
        <v>#REF!</v>
      </c>
      <c r="D83" s="1427"/>
      <c r="E83" s="1427"/>
      <c r="F83" s="827" t="s">
        <v>828</v>
      </c>
      <c r="G83" s="828" t="e">
        <f>#REF!</f>
        <v>#REF!</v>
      </c>
      <c r="H83" s="815"/>
      <c r="I83" s="827">
        <v>10</v>
      </c>
      <c r="J83" s="828" t="e">
        <f>#REF!</f>
        <v>#REF!</v>
      </c>
      <c r="K83" s="828" t="e">
        <f>#REF!</f>
        <v>#REF!</v>
      </c>
      <c r="L83" s="828" t="e">
        <f>#REF!</f>
        <v>#REF!</v>
      </c>
      <c r="M83" s="659" t="e">
        <f>#REF!</f>
        <v>#REF!</v>
      </c>
      <c r="N83" s="415" t="e">
        <f>#REF!</f>
        <v>#REF!</v>
      </c>
      <c r="O83" s="1437"/>
      <c r="P83" s="1438"/>
      <c r="Q83" s="1438"/>
      <c r="R83" s="1439"/>
      <c r="S83" s="823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7"/>
      <c r="B84" s="881" t="s">
        <v>43</v>
      </c>
      <c r="C84" s="1360" t="e">
        <f>#REF!</f>
        <v>#REF!</v>
      </c>
      <c r="D84" s="1360"/>
      <c r="E84" s="1360"/>
      <c r="F84" s="418" t="s">
        <v>828</v>
      </c>
      <c r="G84" s="660" t="e">
        <f>#REF!</f>
        <v>#REF!</v>
      </c>
      <c r="H84" s="880"/>
      <c r="I84" s="418">
        <v>10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 t="e">
        <f>SUM(K67:K84)</f>
        <v>#REF!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>
        <f>印401!I55</f>
        <v>0</v>
      </c>
      <c r="D87" s="1290"/>
      <c r="E87" s="1290"/>
      <c r="F87" s="1290"/>
      <c r="G87" s="1290"/>
      <c r="H87" s="849"/>
      <c r="I87" s="849">
        <f>印401!R55</f>
        <v>0</v>
      </c>
      <c r="J87" s="852">
        <f>印401!S55</f>
        <v>0</v>
      </c>
      <c r="K87" s="872">
        <f>印401!L55</f>
        <v>0</v>
      </c>
      <c r="L87" s="873">
        <f>印401!N55</f>
        <v>0</v>
      </c>
      <c r="M87" s="852">
        <f>印401!P55</f>
        <v>0</v>
      </c>
      <c r="N87" s="853">
        <f>印401!Q55</f>
        <v>0</v>
      </c>
      <c r="O87" s="1451"/>
      <c r="P87" s="1452"/>
      <c r="Q87" s="1452"/>
      <c r="R87" s="1453"/>
      <c r="S87" s="874">
        <f>印401!AB55</f>
        <v>0</v>
      </c>
    </row>
    <row r="88" spans="1:79" ht="18" customHeight="1">
      <c r="A88" s="1165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8" customHeight="1">
      <c r="A89" s="1461">
        <v>402</v>
      </c>
      <c r="B89" s="84" t="s">
        <v>205</v>
      </c>
      <c r="C89" s="1290" t="e">
        <f>#REF!</f>
        <v>#REF!</v>
      </c>
      <c r="D89" s="1290"/>
      <c r="E89" s="1290"/>
      <c r="F89" s="1290"/>
      <c r="G89" s="1290"/>
      <c r="H89" s="849"/>
      <c r="I89" s="849" t="e">
        <f>#REF!</f>
        <v>#REF!</v>
      </c>
      <c r="J89" s="852" t="e">
        <f>#REF!</f>
        <v>#REF!</v>
      </c>
      <c r="K89" s="872" t="e">
        <f>#REF!</f>
        <v>#REF!</v>
      </c>
      <c r="L89" s="873" t="e">
        <f>#REF!</f>
        <v>#REF!</v>
      </c>
      <c r="M89" s="852" t="e">
        <f>#REF!</f>
        <v>#REF!</v>
      </c>
      <c r="N89" s="853" t="e">
        <f>#REF!</f>
        <v>#REF!</v>
      </c>
      <c r="O89" s="1451"/>
      <c r="P89" s="1452"/>
      <c r="Q89" s="1452"/>
      <c r="R89" s="1453"/>
      <c r="S89" s="874" t="e">
        <f>#REF!</f>
        <v>#REF!</v>
      </c>
    </row>
    <row r="90" spans="1:79" ht="18" customHeight="1">
      <c r="A90" s="1462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7.25" customHeight="1">
      <c r="A91" s="1466">
        <v>403</v>
      </c>
      <c r="B91" s="244" t="s">
        <v>0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52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7.25" customHeight="1">
      <c r="A92" s="1467"/>
      <c r="B92" s="881" t="s">
        <v>43</v>
      </c>
      <c r="C92" s="1454" t="e">
        <f>#REF!</f>
        <v>#REF!</v>
      </c>
      <c r="D92" s="1454"/>
      <c r="E92" s="1454"/>
      <c r="F92" s="1454"/>
      <c r="G92" s="1454"/>
      <c r="H92" s="664"/>
      <c r="I92" s="664" t="e">
        <f>#REF!</f>
        <v>#REF!</v>
      </c>
      <c r="J92" s="840" t="e">
        <f>#REF!</f>
        <v>#REF!</v>
      </c>
      <c r="K92" s="424" t="e">
        <f>#REF!</f>
        <v>#REF!</v>
      </c>
      <c r="L92" s="840" t="e">
        <f>#REF!</f>
        <v>#REF!</v>
      </c>
      <c r="M92" s="840" t="e">
        <f>#REF!</f>
        <v>#REF!</v>
      </c>
      <c r="N92" s="672" t="e">
        <f>#REF!</f>
        <v>#REF!</v>
      </c>
      <c r="O92" s="1455"/>
      <c r="P92" s="1456"/>
      <c r="Q92" s="1456"/>
      <c r="R92" s="1457"/>
      <c r="S92" s="810" t="e">
        <f>#REF!</f>
        <v>#REF!</v>
      </c>
    </row>
    <row r="93" spans="1:79" ht="18" customHeight="1">
      <c r="A93" s="1199">
        <v>405</v>
      </c>
      <c r="B93" s="8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8" customHeight="1">
      <c r="A94" s="1216"/>
      <c r="B94" s="8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8" customHeight="1">
      <c r="A95" s="1165"/>
      <c r="B95" s="881" t="s">
        <v>43</v>
      </c>
      <c r="C95" s="1454" t="s">
        <v>633</v>
      </c>
      <c r="D95" s="1454"/>
      <c r="E95" s="1454"/>
      <c r="F95" s="1454"/>
      <c r="G95" s="1454"/>
      <c r="H95" s="664"/>
      <c r="I95" s="664"/>
      <c r="J95" s="840"/>
      <c r="K95" s="424"/>
      <c r="L95" s="840"/>
      <c r="M95" s="840"/>
      <c r="N95" s="672"/>
      <c r="O95" s="1455"/>
      <c r="P95" s="1456"/>
      <c r="Q95" s="1456"/>
      <c r="R95" s="1457"/>
      <c r="S95" s="810"/>
    </row>
    <row r="96" spans="1:79" ht="18" customHeight="1">
      <c r="A96" s="314"/>
      <c r="B96" s="841"/>
      <c r="C96" s="1458"/>
      <c r="D96" s="1459"/>
      <c r="E96" s="1459"/>
      <c r="F96" s="1459"/>
      <c r="G96" s="1460"/>
      <c r="H96" s="849"/>
      <c r="I96" s="849"/>
      <c r="J96" s="834" t="s">
        <v>666</v>
      </c>
      <c r="K96" s="835" t="e">
        <f>SUM(K87:K95)</f>
        <v>#REF!</v>
      </c>
      <c r="L96" s="1599" t="s">
        <v>1241</v>
      </c>
      <c r="M96" s="1600"/>
      <c r="N96" s="1601"/>
      <c r="O96" s="886"/>
      <c r="P96" s="887"/>
      <c r="Q96" s="887"/>
      <c r="R96" s="888"/>
      <c r="S96" s="854"/>
    </row>
    <row r="97" spans="1:19" s="76" customFormat="1" ht="31.7" hidden="1" customHeight="1">
      <c r="A97" s="400" t="s">
        <v>425</v>
      </c>
      <c r="B97" s="400" t="s">
        <v>193</v>
      </c>
      <c r="C97" s="1282" t="e">
        <f>[1]印403!J91</f>
        <v>#REF!</v>
      </c>
      <c r="D97" s="1283"/>
      <c r="E97" s="1283"/>
      <c r="F97" s="1283"/>
      <c r="G97" s="1468"/>
      <c r="H97" s="242" t="s">
        <v>216</v>
      </c>
      <c r="I97" s="242" t="s">
        <v>12</v>
      </c>
      <c r="J97" s="242" t="s">
        <v>13</v>
      </c>
      <c r="K97" s="405" t="s">
        <v>218</v>
      </c>
      <c r="L97" s="427" t="s">
        <v>60</v>
      </c>
      <c r="M97" s="399" t="e">
        <f>[1]印403!O90</f>
        <v>#REF!</v>
      </c>
      <c r="N97" s="257" t="s">
        <v>45</v>
      </c>
      <c r="O97" s="1448" t="s">
        <v>29</v>
      </c>
      <c r="P97" s="1449"/>
      <c r="Q97" s="1449"/>
      <c r="R97" s="1450"/>
      <c r="S97" s="417" t="s">
        <v>57</v>
      </c>
    </row>
    <row r="98" spans="1:19" ht="15" hidden="1" customHeight="1">
      <c r="A98" s="1199" t="s">
        <v>426</v>
      </c>
      <c r="B98" s="84" t="s">
        <v>205</v>
      </c>
      <c r="C98" s="1282" t="e">
        <f>[1]印403!J92</f>
        <v>#REF!</v>
      </c>
      <c r="D98" s="1283"/>
      <c r="E98" s="1283"/>
      <c r="F98" s="1283"/>
      <c r="G98" s="1468"/>
      <c r="H98" s="663"/>
      <c r="I98" s="663"/>
      <c r="J98" s="399"/>
      <c r="K98" s="665"/>
      <c r="L98" s="673"/>
      <c r="M98" s="399" t="e">
        <f>[1]印403!O91</f>
        <v>#REF!</v>
      </c>
      <c r="N98" s="399"/>
      <c r="O98" s="1469"/>
      <c r="P98" s="1245"/>
      <c r="Q98" s="1245"/>
      <c r="R98" s="1246"/>
      <c r="S98" s="1470"/>
    </row>
    <row r="99" spans="1:19" ht="13.7" hidden="1" customHeight="1">
      <c r="A99" s="1216"/>
      <c r="B99" s="84" t="s">
        <v>205</v>
      </c>
      <c r="C99" s="1282" t="e">
        <f>[1]印403!J93</f>
        <v>#REF!</v>
      </c>
      <c r="D99" s="1283"/>
      <c r="E99" s="1283"/>
      <c r="F99" s="1283"/>
      <c r="G99" s="1468"/>
      <c r="H99" s="663"/>
      <c r="I99" s="663"/>
      <c r="J99" s="399"/>
      <c r="K99" s="665"/>
      <c r="L99" s="673"/>
      <c r="M99" s="399" t="e">
        <f>[1]印403!O92</f>
        <v>#REF!</v>
      </c>
      <c r="N99" s="425"/>
      <c r="O99" s="666"/>
      <c r="P99" s="667"/>
      <c r="Q99" s="667"/>
      <c r="R99" s="668"/>
      <c r="S99" s="1471"/>
    </row>
    <row r="100" spans="1:19" ht="15" hidden="1" customHeight="1">
      <c r="A100" s="1216"/>
      <c r="B100" s="84" t="s">
        <v>205</v>
      </c>
      <c r="C100" s="1282" t="e">
        <f>[1]印403!J94</f>
        <v>#REF!</v>
      </c>
      <c r="D100" s="1283"/>
      <c r="E100" s="1283"/>
      <c r="F100" s="1283"/>
      <c r="G100" s="1468"/>
      <c r="H100" s="663"/>
      <c r="I100" s="663"/>
      <c r="J100" s="399"/>
      <c r="K100" s="665"/>
      <c r="L100" s="673"/>
      <c r="M100" s="399" t="e">
        <f>[1]印403!O93</f>
        <v>#REF!</v>
      </c>
      <c r="N100" s="425"/>
      <c r="O100" s="666"/>
      <c r="P100" s="667"/>
      <c r="Q100" s="667"/>
      <c r="R100" s="668"/>
      <c r="S100" s="1471"/>
    </row>
    <row r="101" spans="1:19" ht="15" hidden="1" customHeight="1">
      <c r="A101" s="1216"/>
      <c r="B101" s="84" t="s">
        <v>205</v>
      </c>
      <c r="C101" s="1282" t="e">
        <f>[1]印403!J95</f>
        <v>#REF!</v>
      </c>
      <c r="D101" s="1283"/>
      <c r="E101" s="1283"/>
      <c r="F101" s="1283"/>
      <c r="G101" s="1468"/>
      <c r="H101" s="663"/>
      <c r="I101" s="663"/>
      <c r="J101" s="399"/>
      <c r="K101" s="665"/>
      <c r="L101" s="673"/>
      <c r="M101" s="399" t="e">
        <f>[1]印403!O94</f>
        <v>#REF!</v>
      </c>
      <c r="N101" s="425"/>
      <c r="O101" s="666"/>
      <c r="P101" s="667"/>
      <c r="Q101" s="667"/>
      <c r="R101" s="668"/>
      <c r="S101" s="1471"/>
    </row>
    <row r="102" spans="1:19" ht="15" hidden="1" customHeight="1">
      <c r="A102" s="1216"/>
      <c r="B102" s="84" t="s">
        <v>205</v>
      </c>
      <c r="C102" s="1282" t="e">
        <f>[1]印403!J96</f>
        <v>#REF!</v>
      </c>
      <c r="D102" s="1283"/>
      <c r="E102" s="1283"/>
      <c r="F102" s="1283"/>
      <c r="G102" s="1468"/>
      <c r="H102" s="663"/>
      <c r="I102" s="663"/>
      <c r="J102" s="399"/>
      <c r="K102" s="665"/>
      <c r="L102" s="673"/>
      <c r="M102" s="399" t="e">
        <f>[1]印403!O95</f>
        <v>#REF!</v>
      </c>
      <c r="N102" s="425"/>
      <c r="O102" s="669"/>
      <c r="P102" s="670"/>
      <c r="Q102" s="670"/>
      <c r="R102" s="671"/>
      <c r="S102" s="1471"/>
    </row>
    <row r="103" spans="1:19" ht="16.5" hidden="1" customHeight="1">
      <c r="A103" s="1216"/>
      <c r="B103" s="881" t="s">
        <v>43</v>
      </c>
      <c r="C103" s="1282" t="e">
        <f>[1]印403!J97</f>
        <v>#REF!</v>
      </c>
      <c r="D103" s="1283"/>
      <c r="E103" s="1283"/>
      <c r="F103" s="1283"/>
      <c r="G103" s="1468"/>
      <c r="H103" s="664"/>
      <c r="I103" s="664"/>
      <c r="J103" s="840"/>
      <c r="K103" s="424"/>
      <c r="L103" s="426"/>
      <c r="M103" s="399" t="e">
        <f>[1]印403!O96</f>
        <v>#REF!</v>
      </c>
      <c r="N103" s="672"/>
      <c r="O103" s="1476"/>
      <c r="P103" s="1477"/>
      <c r="Q103" s="1477"/>
      <c r="R103" s="1478"/>
      <c r="S103" s="1485"/>
    </row>
    <row r="104" spans="1:19" ht="15" hidden="1" customHeight="1">
      <c r="A104" s="1216"/>
      <c r="B104" s="881" t="s">
        <v>43</v>
      </c>
      <c r="C104" s="1282" t="e">
        <f>[1]印403!J98</f>
        <v>#REF!</v>
      </c>
      <c r="D104" s="1283"/>
      <c r="E104" s="1283"/>
      <c r="F104" s="1283"/>
      <c r="G104" s="1468"/>
      <c r="H104" s="664"/>
      <c r="I104" s="664"/>
      <c r="J104" s="840"/>
      <c r="K104" s="424"/>
      <c r="L104" s="426"/>
      <c r="M104" s="399" t="e">
        <f>[1]印403!O97</f>
        <v>#REF!</v>
      </c>
      <c r="N104" s="672"/>
      <c r="O104" s="1479"/>
      <c r="P104" s="1480"/>
      <c r="Q104" s="1480"/>
      <c r="R104" s="1481"/>
      <c r="S104" s="1485"/>
    </row>
    <row r="105" spans="1:19" ht="15" hidden="1" customHeight="1">
      <c r="A105" s="1216"/>
      <c r="B105" s="881" t="s">
        <v>43</v>
      </c>
      <c r="C105" s="1282" t="e">
        <f>[1]印403!J99</f>
        <v>#REF!</v>
      </c>
      <c r="D105" s="1283"/>
      <c r="E105" s="1283"/>
      <c r="F105" s="1283"/>
      <c r="G105" s="1468"/>
      <c r="H105" s="664"/>
      <c r="I105" s="664"/>
      <c r="J105" s="840"/>
      <c r="K105" s="424"/>
      <c r="L105" s="426"/>
      <c r="M105" s="399" t="e">
        <f>[1]印403!O98</f>
        <v>#REF!</v>
      </c>
      <c r="N105" s="672"/>
      <c r="O105" s="1479"/>
      <c r="P105" s="1480"/>
      <c r="Q105" s="1480"/>
      <c r="R105" s="1481"/>
      <c r="S105" s="1485"/>
    </row>
    <row r="106" spans="1:19" ht="15" hidden="1" customHeight="1">
      <c r="A106" s="1165"/>
      <c r="B106" s="881" t="s">
        <v>43</v>
      </c>
      <c r="C106" s="1282" t="e">
        <f>[1]印403!J100</f>
        <v>#REF!</v>
      </c>
      <c r="D106" s="1283"/>
      <c r="E106" s="1283"/>
      <c r="F106" s="1283"/>
      <c r="G106" s="1468"/>
      <c r="H106" s="664"/>
      <c r="I106" s="664"/>
      <c r="J106" s="840"/>
      <c r="K106" s="424"/>
      <c r="L106" s="426"/>
      <c r="M106" s="399" t="e">
        <f>[1]印403!O99</f>
        <v>#REF!</v>
      </c>
      <c r="N106" s="672"/>
      <c r="O106" s="1482"/>
      <c r="P106" s="1483"/>
      <c r="Q106" s="1483"/>
      <c r="R106" s="1484"/>
      <c r="S106" s="1486"/>
    </row>
    <row r="107" spans="1:19" ht="6" customHeight="1">
      <c r="A107" s="248"/>
      <c r="C107" s="249"/>
    </row>
    <row r="108" spans="1:19" ht="6" customHeight="1" thickBot="1">
      <c r="A108" s="248"/>
      <c r="C108" s="249"/>
    </row>
    <row r="109" spans="1:19" ht="15" customHeight="1" thickTop="1">
      <c r="A109" s="1472" t="s">
        <v>30</v>
      </c>
      <c r="B109" s="1473"/>
      <c r="C109" s="1473"/>
      <c r="D109" s="1473"/>
      <c r="E109" s="376">
        <v>1750400</v>
      </c>
      <c r="F109" s="75" t="s">
        <v>64</v>
      </c>
      <c r="G109" s="1472" t="s">
        <v>31</v>
      </c>
      <c r="H109" s="1473"/>
      <c r="I109" s="1473"/>
      <c r="J109" s="1473"/>
      <c r="K109" s="1473"/>
      <c r="L109" s="377">
        <v>730000</v>
      </c>
      <c r="M109" s="75" t="s">
        <v>64</v>
      </c>
      <c r="N109" s="1472" t="s">
        <v>32</v>
      </c>
      <c r="O109" s="1473"/>
      <c r="P109" s="1473"/>
      <c r="Q109" s="377">
        <v>2607500</v>
      </c>
      <c r="R109" s="75" t="s">
        <v>64</v>
      </c>
      <c r="S109" s="75"/>
    </row>
    <row r="110" spans="1:19" ht="15" customHeight="1" thickBot="1">
      <c r="A110" s="1474" t="s">
        <v>66</v>
      </c>
      <c r="B110" s="1475"/>
      <c r="C110" s="1475"/>
      <c r="D110" s="1475"/>
      <c r="E110" s="674">
        <f>104*1000</f>
        <v>104000</v>
      </c>
      <c r="G110" s="1474" t="s">
        <v>66</v>
      </c>
      <c r="H110" s="1475"/>
      <c r="I110" s="1475"/>
      <c r="J110" s="1475"/>
      <c r="K110" s="1475"/>
      <c r="L110" s="674">
        <f>32*1000</f>
        <v>32000</v>
      </c>
      <c r="N110" s="1474" t="s">
        <v>33</v>
      </c>
      <c r="O110" s="1475"/>
      <c r="P110" s="1475"/>
      <c r="Q110" s="674">
        <f>(235+165)*1000</f>
        <v>400000</v>
      </c>
      <c r="R110" s="75"/>
      <c r="S110" s="75"/>
    </row>
    <row r="111" spans="1:19" ht="15" customHeight="1" thickTop="1" thickBot="1">
      <c r="A111" s="1487" t="s">
        <v>34</v>
      </c>
      <c r="B111" s="1488"/>
      <c r="C111" s="1488"/>
      <c r="D111" s="1488"/>
      <c r="E111" s="378">
        <f>E109+E110</f>
        <v>1854400</v>
      </c>
      <c r="F111" s="75" t="s">
        <v>64</v>
      </c>
      <c r="G111" s="1487" t="s">
        <v>35</v>
      </c>
      <c r="H111" s="1488"/>
      <c r="I111" s="1488"/>
      <c r="J111" s="1488"/>
      <c r="K111" s="1488"/>
      <c r="L111" s="379">
        <f>L109+L110</f>
        <v>762000</v>
      </c>
      <c r="M111" s="75" t="s">
        <v>64</v>
      </c>
      <c r="N111" s="1487" t="s">
        <v>36</v>
      </c>
      <c r="O111" s="1488"/>
      <c r="P111" s="1488"/>
      <c r="Q111" s="379">
        <f>Q109+Q110</f>
        <v>3007500</v>
      </c>
      <c r="R111" s="75" t="s">
        <v>64</v>
      </c>
      <c r="S111" s="75"/>
    </row>
    <row r="112" spans="1:19" ht="15" customHeight="1" thickTop="1" thickBot="1">
      <c r="E112" s="252">
        <f>印401!M64</f>
        <v>0</v>
      </c>
      <c r="L112" s="675" t="e">
        <f>#REF!</f>
        <v>#REF!</v>
      </c>
      <c r="O112" s="75"/>
      <c r="P112" s="75"/>
      <c r="Q112" s="675" t="e">
        <f>#REF!</f>
        <v>#REF!</v>
      </c>
      <c r="R112" s="75"/>
      <c r="S112" s="75"/>
    </row>
    <row r="113" spans="1:20" ht="15" customHeight="1" thickBot="1">
      <c r="A113" s="676" t="s">
        <v>37</v>
      </c>
      <c r="B113" s="677"/>
      <c r="C113" s="677"/>
      <c r="D113" s="678"/>
      <c r="E113" s="253">
        <f>印401!P64</f>
        <v>0</v>
      </c>
      <c r="F113" s="75" t="s">
        <v>64</v>
      </c>
      <c r="G113" s="676" t="s">
        <v>38</v>
      </c>
      <c r="H113" s="677"/>
      <c r="I113" s="677"/>
      <c r="J113" s="677"/>
      <c r="K113" s="677"/>
      <c r="L113" s="384" t="e">
        <f>#REF!</f>
        <v>#REF!</v>
      </c>
      <c r="M113" s="75" t="s">
        <v>64</v>
      </c>
      <c r="N113" s="676" t="s">
        <v>39</v>
      </c>
      <c r="O113" s="677"/>
      <c r="P113" s="677"/>
      <c r="Q113" s="384" t="e">
        <f>#REF!</f>
        <v>#REF!</v>
      </c>
      <c r="R113" s="75" t="s">
        <v>64</v>
      </c>
      <c r="S113" s="75"/>
    </row>
    <row r="114" spans="1:20" ht="3" customHeight="1" thickBot="1">
      <c r="J114" s="255"/>
      <c r="K114" s="256"/>
    </row>
    <row r="115" spans="1:20" ht="15" customHeight="1" thickTop="1">
      <c r="B115" s="1509" t="s">
        <v>69</v>
      </c>
      <c r="C115" s="1510"/>
      <c r="D115" s="1511" t="s">
        <v>305</v>
      </c>
      <c r="E115" s="1512"/>
      <c r="F115" s="1489" t="s">
        <v>306</v>
      </c>
      <c r="G115" s="1490"/>
      <c r="H115" s="1491" t="s">
        <v>307</v>
      </c>
      <c r="I115" s="1492"/>
      <c r="J115" s="1492"/>
      <c r="K115" s="1493"/>
      <c r="L115" s="1472" t="s">
        <v>657</v>
      </c>
      <c r="M115" s="1473"/>
      <c r="N115" s="1473"/>
      <c r="O115" s="377">
        <v>4585000</v>
      </c>
      <c r="P115" s="75" t="s">
        <v>64</v>
      </c>
      <c r="Q115" s="1496" t="s">
        <v>65</v>
      </c>
      <c r="R115" s="1497"/>
      <c r="S115" s="385">
        <v>45810536</v>
      </c>
    </row>
    <row r="116" spans="1:20" ht="15" customHeight="1" thickBot="1">
      <c r="B116" s="1498" t="s">
        <v>308</v>
      </c>
      <c r="C116" s="1499"/>
      <c r="D116" s="1500" t="e">
        <f>總表!D20</f>
        <v>#REF!</v>
      </c>
      <c r="E116" s="1501"/>
      <c r="F116" s="1502">
        <f>總表!E20</f>
        <v>1316871</v>
      </c>
      <c r="G116" s="1503"/>
      <c r="H116" s="1504" t="e">
        <f>(D116-F116)/D116</f>
        <v>#REF!</v>
      </c>
      <c r="I116" s="1505"/>
      <c r="J116" s="1505"/>
      <c r="K116" s="1506"/>
      <c r="L116" s="1474" t="s">
        <v>33</v>
      </c>
      <c r="M116" s="1475"/>
      <c r="N116" s="1475"/>
      <c r="O116" s="674">
        <f>(80+178)*1000</f>
        <v>258000</v>
      </c>
      <c r="P116" s="75"/>
      <c r="Q116" s="1507" t="s">
        <v>67</v>
      </c>
      <c r="R116" s="1508"/>
      <c r="S116" s="386" t="e">
        <f>SUM(L49:L84,L87:L95)</f>
        <v>#REF!</v>
      </c>
    </row>
    <row r="117" spans="1:20" ht="15" customHeight="1" thickTop="1" thickBot="1">
      <c r="B117" s="1513" t="s">
        <v>309</v>
      </c>
      <c r="C117" s="1514"/>
      <c r="D117" s="1515" t="e">
        <f>總表!C43</f>
        <v>#REF!</v>
      </c>
      <c r="E117" s="1516"/>
      <c r="F117" s="1502" t="e">
        <f>總表!F43</f>
        <v>#REF!</v>
      </c>
      <c r="G117" s="1503"/>
      <c r="H117" s="1504" t="e">
        <f>(D117-F117)/D117</f>
        <v>#REF!</v>
      </c>
      <c r="I117" s="1505"/>
      <c r="J117" s="1505"/>
      <c r="K117" s="1506"/>
      <c r="L117" s="1487" t="s">
        <v>658</v>
      </c>
      <c r="M117" s="1488"/>
      <c r="N117" s="1488"/>
      <c r="O117" s="379">
        <f>O115+O116</f>
        <v>4843000</v>
      </c>
      <c r="P117" s="75" t="s">
        <v>64</v>
      </c>
      <c r="Q117" s="1494" t="s">
        <v>68</v>
      </c>
      <c r="R117" s="1495"/>
      <c r="S117" s="387" t="e">
        <f>S115+S116</f>
        <v>#REF!</v>
      </c>
    </row>
    <row r="118" spans="1:20" ht="14.1" customHeight="1" thickTop="1" thickBot="1">
      <c r="B118" s="250" t="s">
        <v>310</v>
      </c>
      <c r="C118" s="250"/>
      <c r="D118" s="250"/>
      <c r="E118" s="233"/>
      <c r="O118" s="675" t="e">
        <f>#REF!</f>
        <v>#REF!</v>
      </c>
      <c r="P118" s="75"/>
      <c r="Q118" s="75"/>
      <c r="R118" s="254" t="e">
        <f>總表!E43+總表!E52</f>
        <v>#REF!</v>
      </c>
      <c r="S118" s="254" t="e">
        <f>R118-S117</f>
        <v>#REF!</v>
      </c>
    </row>
    <row r="119" spans="1:20" ht="17.25" customHeight="1" thickBot="1">
      <c r="B119" s="250" t="s">
        <v>40</v>
      </c>
      <c r="C119" s="233"/>
      <c r="D119" s="233"/>
      <c r="E119" s="233"/>
      <c r="F119" s="233"/>
      <c r="L119" s="676" t="s">
        <v>659</v>
      </c>
      <c r="M119" s="677"/>
      <c r="N119" s="677"/>
      <c r="O119" s="384" t="e">
        <f>#REF!</f>
        <v>#REF!</v>
      </c>
      <c r="P119" s="75" t="s">
        <v>64</v>
      </c>
      <c r="T119" s="233"/>
    </row>
    <row r="120" spans="1:20" ht="15.75" customHeight="1">
      <c r="B120" s="75" t="s">
        <v>41</v>
      </c>
      <c r="N120" s="233"/>
      <c r="S120" s="75"/>
    </row>
  </sheetData>
  <mergeCells count="289">
    <mergeCell ref="O8:R8"/>
    <mergeCell ref="L4:M4"/>
    <mergeCell ref="N4:P4"/>
    <mergeCell ref="Q4:R4"/>
    <mergeCell ref="L5:M5"/>
    <mergeCell ref="N5:P5"/>
    <mergeCell ref="Q5:R5"/>
    <mergeCell ref="O12:R12"/>
    <mergeCell ref="G6:I6"/>
    <mergeCell ref="K6:M6"/>
    <mergeCell ref="O6:R6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A7:A8"/>
    <mergeCell ref="G7:I7"/>
    <mergeCell ref="K7:M7"/>
    <mergeCell ref="O7:R7"/>
    <mergeCell ref="G8:I8"/>
    <mergeCell ref="K8:M8"/>
    <mergeCell ref="O84:R84"/>
    <mergeCell ref="C92:G92"/>
    <mergeCell ref="O92:R92"/>
    <mergeCell ref="O17:R17"/>
    <mergeCell ref="G18:I18"/>
    <mergeCell ref="K18:M18"/>
    <mergeCell ref="O18:R18"/>
    <mergeCell ref="C50:E50"/>
    <mergeCell ref="O50:R50"/>
    <mergeCell ref="O29:R29"/>
    <mergeCell ref="C46:E46"/>
    <mergeCell ref="M46:M48"/>
    <mergeCell ref="O46:R48"/>
    <mergeCell ref="O52:R52"/>
    <mergeCell ref="C53:E53"/>
    <mergeCell ref="O53:R53"/>
    <mergeCell ref="C68:E68"/>
    <mergeCell ref="O68:R68"/>
    <mergeCell ref="C80:E80"/>
    <mergeCell ref="O80:R80"/>
    <mergeCell ref="O10:R10"/>
    <mergeCell ref="A30:A36"/>
    <mergeCell ref="C30:E30"/>
    <mergeCell ref="M30:M32"/>
    <mergeCell ref="O30:R32"/>
    <mergeCell ref="A37:A42"/>
    <mergeCell ref="C37:E37"/>
    <mergeCell ref="M37:M39"/>
    <mergeCell ref="O37:R39"/>
    <mergeCell ref="A15:A16"/>
    <mergeCell ref="G15:I15"/>
    <mergeCell ref="K15:M15"/>
    <mergeCell ref="O15:R15"/>
    <mergeCell ref="G16:I16"/>
    <mergeCell ref="K16:M16"/>
    <mergeCell ref="O16:R16"/>
    <mergeCell ref="A17:A18"/>
    <mergeCell ref="G17:I17"/>
    <mergeCell ref="K17:M17"/>
    <mergeCell ref="O19:R19"/>
    <mergeCell ref="G20:I20"/>
    <mergeCell ref="O20:R20"/>
    <mergeCell ref="A11:A12"/>
    <mergeCell ref="G11:I11"/>
    <mergeCell ref="K11:M11"/>
    <mergeCell ref="O11:R11"/>
    <mergeCell ref="G12:I12"/>
    <mergeCell ref="K12:M12"/>
    <mergeCell ref="A13:A14"/>
    <mergeCell ref="G13:I13"/>
    <mergeCell ref="K13:M13"/>
    <mergeCell ref="O13:R13"/>
    <mergeCell ref="G14:I14"/>
    <mergeCell ref="K14:M14"/>
    <mergeCell ref="O14:R14"/>
    <mergeCell ref="V50:X50"/>
    <mergeCell ref="A51:A53"/>
    <mergeCell ref="S51:S52"/>
    <mergeCell ref="C57:E57"/>
    <mergeCell ref="O57:R57"/>
    <mergeCell ref="C51:E51"/>
    <mergeCell ref="O51:R51"/>
    <mergeCell ref="C52:E52"/>
    <mergeCell ref="K22:M22"/>
    <mergeCell ref="O22:R22"/>
    <mergeCell ref="A23:A28"/>
    <mergeCell ref="G23:I23"/>
    <mergeCell ref="K23:M25"/>
    <mergeCell ref="O23:R25"/>
    <mergeCell ref="S23:S25"/>
    <mergeCell ref="G24:I24"/>
    <mergeCell ref="G25:I25"/>
    <mergeCell ref="G26:I26"/>
    <mergeCell ref="K26:M28"/>
    <mergeCell ref="O26:R28"/>
    <mergeCell ref="S26:S28"/>
    <mergeCell ref="G27:I27"/>
    <mergeCell ref="G28:I28"/>
    <mergeCell ref="C29:E29"/>
    <mergeCell ref="S30:S32"/>
    <mergeCell ref="C31:E31"/>
    <mergeCell ref="C32:E32"/>
    <mergeCell ref="C33:E33"/>
    <mergeCell ref="M33:M36"/>
    <mergeCell ref="O33:R36"/>
    <mergeCell ref="S33:S36"/>
    <mergeCell ref="C34:E34"/>
    <mergeCell ref="C35:E35"/>
    <mergeCell ref="C36:E36"/>
    <mergeCell ref="S46:S48"/>
    <mergeCell ref="C47:E47"/>
    <mergeCell ref="C48:E48"/>
    <mergeCell ref="S37:S39"/>
    <mergeCell ref="C38:E38"/>
    <mergeCell ref="C39:E39"/>
    <mergeCell ref="C40:E40"/>
    <mergeCell ref="M40:M42"/>
    <mergeCell ref="O40:R42"/>
    <mergeCell ref="S40:S42"/>
    <mergeCell ref="C41:E41"/>
    <mergeCell ref="C42:E42"/>
    <mergeCell ref="A54:A55"/>
    <mergeCell ref="C54:E54"/>
    <mergeCell ref="O54:R54"/>
    <mergeCell ref="C55:E55"/>
    <mergeCell ref="O55:R55"/>
    <mergeCell ref="C56:E56"/>
    <mergeCell ref="O56:R56"/>
    <mergeCell ref="A56:A57"/>
    <mergeCell ref="A58:A59"/>
    <mergeCell ref="C58:E58"/>
    <mergeCell ref="O58:R58"/>
    <mergeCell ref="C59:E59"/>
    <mergeCell ref="O59:R59"/>
    <mergeCell ref="A64:A65"/>
    <mergeCell ref="C64:E64"/>
    <mergeCell ref="O64:R64"/>
    <mergeCell ref="C65:E65"/>
    <mergeCell ref="O65:R65"/>
    <mergeCell ref="O66:R66"/>
    <mergeCell ref="A67:A68"/>
    <mergeCell ref="C67:E67"/>
    <mergeCell ref="O67:R67"/>
    <mergeCell ref="A60:A61"/>
    <mergeCell ref="C60:E60"/>
    <mergeCell ref="O60:R60"/>
    <mergeCell ref="C61:E61"/>
    <mergeCell ref="O61:R61"/>
    <mergeCell ref="A62:A63"/>
    <mergeCell ref="C62:E62"/>
    <mergeCell ref="O62:R62"/>
    <mergeCell ref="C63:E63"/>
    <mergeCell ref="O63:R63"/>
    <mergeCell ref="A69:A70"/>
    <mergeCell ref="C69:E69"/>
    <mergeCell ref="O69:R69"/>
    <mergeCell ref="C70:E70"/>
    <mergeCell ref="O70:R70"/>
    <mergeCell ref="C74:E74"/>
    <mergeCell ref="A73:A74"/>
    <mergeCell ref="C73:E73"/>
    <mergeCell ref="O73:R73"/>
    <mergeCell ref="O74:R74"/>
    <mergeCell ref="A71:A72"/>
    <mergeCell ref="C71:E71"/>
    <mergeCell ref="O71:R71"/>
    <mergeCell ref="C72:E72"/>
    <mergeCell ref="O72:R72"/>
    <mergeCell ref="A75:A76"/>
    <mergeCell ref="C75:E75"/>
    <mergeCell ref="O75:R75"/>
    <mergeCell ref="C76:E76"/>
    <mergeCell ref="O76:R76"/>
    <mergeCell ref="A77:A78"/>
    <mergeCell ref="C77:E77"/>
    <mergeCell ref="O77:R77"/>
    <mergeCell ref="C78:E78"/>
    <mergeCell ref="O78:R78"/>
    <mergeCell ref="A79:A80"/>
    <mergeCell ref="C79:E79"/>
    <mergeCell ref="O79:R79"/>
    <mergeCell ref="A81:A82"/>
    <mergeCell ref="C81:E81"/>
    <mergeCell ref="O81:R81"/>
    <mergeCell ref="C82:E82"/>
    <mergeCell ref="O82:R82"/>
    <mergeCell ref="O85:R85"/>
    <mergeCell ref="A83:A84"/>
    <mergeCell ref="C83:E83"/>
    <mergeCell ref="O83:R83"/>
    <mergeCell ref="C84:E84"/>
    <mergeCell ref="A87:A88"/>
    <mergeCell ref="C87:G87"/>
    <mergeCell ref="O87:R87"/>
    <mergeCell ref="C88:G88"/>
    <mergeCell ref="O88:R88"/>
    <mergeCell ref="C86:G86"/>
    <mergeCell ref="O86:R86"/>
    <mergeCell ref="A89:A90"/>
    <mergeCell ref="C89:G89"/>
    <mergeCell ref="O89:R89"/>
    <mergeCell ref="C90:G90"/>
    <mergeCell ref="O90:R90"/>
    <mergeCell ref="C95:G95"/>
    <mergeCell ref="C91:G91"/>
    <mergeCell ref="O91:R91"/>
    <mergeCell ref="A91:A92"/>
    <mergeCell ref="C93:G93"/>
    <mergeCell ref="O93:R93"/>
    <mergeCell ref="C94:G94"/>
    <mergeCell ref="O94:R94"/>
    <mergeCell ref="A93:A95"/>
    <mergeCell ref="O95:R95"/>
    <mergeCell ref="S98:S102"/>
    <mergeCell ref="C99:G99"/>
    <mergeCell ref="C100:G100"/>
    <mergeCell ref="C101:G101"/>
    <mergeCell ref="C102:G102"/>
    <mergeCell ref="C103:G103"/>
    <mergeCell ref="O103:R106"/>
    <mergeCell ref="S103:S106"/>
    <mergeCell ref="C104:G104"/>
    <mergeCell ref="C105:G105"/>
    <mergeCell ref="N109:P109"/>
    <mergeCell ref="A110:D110"/>
    <mergeCell ref="G110:K110"/>
    <mergeCell ref="N110:P110"/>
    <mergeCell ref="F116:G116"/>
    <mergeCell ref="H116:K116"/>
    <mergeCell ref="L116:N116"/>
    <mergeCell ref="C96:G96"/>
    <mergeCell ref="L96:N96"/>
    <mergeCell ref="C97:G97"/>
    <mergeCell ref="O97:R97"/>
    <mergeCell ref="A98:A106"/>
    <mergeCell ref="C98:G98"/>
    <mergeCell ref="O98:R98"/>
    <mergeCell ref="C106:G106"/>
    <mergeCell ref="Q116:R116"/>
    <mergeCell ref="A111:D111"/>
    <mergeCell ref="G111:K111"/>
    <mergeCell ref="N111:P111"/>
    <mergeCell ref="B115:C115"/>
    <mergeCell ref="D115:E115"/>
    <mergeCell ref="F115:G115"/>
    <mergeCell ref="A109:D109"/>
    <mergeCell ref="G109:K109"/>
    <mergeCell ref="B117:C117"/>
    <mergeCell ref="D117:E117"/>
    <mergeCell ref="F117:G117"/>
    <mergeCell ref="H117:K117"/>
    <mergeCell ref="L117:N117"/>
    <mergeCell ref="Q117:R117"/>
    <mergeCell ref="Q115:R115"/>
    <mergeCell ref="B116:C116"/>
    <mergeCell ref="D116:E116"/>
    <mergeCell ref="H115:K115"/>
    <mergeCell ref="L115:N115"/>
    <mergeCell ref="V49:X49"/>
    <mergeCell ref="A9:A10"/>
    <mergeCell ref="G9:I9"/>
    <mergeCell ref="K9:M9"/>
    <mergeCell ref="O9:R9"/>
    <mergeCell ref="G10:I10"/>
    <mergeCell ref="K10:M10"/>
    <mergeCell ref="G21:I21"/>
    <mergeCell ref="O21:R21"/>
    <mergeCell ref="A19:A21"/>
    <mergeCell ref="K20:M21"/>
    <mergeCell ref="S20:S21"/>
    <mergeCell ref="C49:E49"/>
    <mergeCell ref="O49:R49"/>
    <mergeCell ref="A49:A50"/>
    <mergeCell ref="G19:I19"/>
    <mergeCell ref="K19:M19"/>
    <mergeCell ref="A43:A48"/>
    <mergeCell ref="C43:E43"/>
    <mergeCell ref="M43:M45"/>
    <mergeCell ref="O43:R45"/>
    <mergeCell ref="S43:S45"/>
    <mergeCell ref="C44:E44"/>
    <mergeCell ref="C45:E45"/>
  </mergeCells>
  <phoneticPr fontId="26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A126"/>
  <sheetViews>
    <sheetView topLeftCell="I99" workbookViewId="0">
      <selection activeCell="S123" sqref="S123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4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1070</v>
      </c>
      <c r="O2" s="1319"/>
      <c r="P2" s="1320"/>
      <c r="Q2" s="1318" t="s">
        <v>1243</v>
      </c>
      <c r="R2" s="1320"/>
      <c r="S2" s="642" t="s">
        <v>998</v>
      </c>
    </row>
    <row r="3" spans="1:23" ht="85.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1263</v>
      </c>
      <c r="O3" s="1319"/>
      <c r="P3" s="1320"/>
      <c r="Q3" s="1318" t="s">
        <v>1244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1199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45259</v>
      </c>
      <c r="D5" s="419" t="s">
        <v>1242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548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649">
        <v>1.38</v>
      </c>
      <c r="E9" s="815">
        <v>805</v>
      </c>
      <c r="F9" s="815">
        <f>'102'!O68</f>
        <v>850</v>
      </c>
      <c r="G9" s="1311">
        <f>'102'!K68</f>
        <v>9851</v>
      </c>
      <c r="H9" s="1312"/>
      <c r="I9" s="1313"/>
      <c r="J9" s="814">
        <f>'102'!L68</f>
        <v>0</v>
      </c>
      <c r="K9" s="1314">
        <f>'102'!P68</f>
        <v>0.96578431372549023</v>
      </c>
      <c r="L9" s="1315"/>
      <c r="M9" s="1316"/>
      <c r="N9" s="820">
        <f>J9/(G9+J9)</f>
        <v>0</v>
      </c>
      <c r="O9" s="1521" t="str">
        <f>'102'!U68</f>
        <v>19:02最後一支交接班</v>
      </c>
      <c r="P9" s="1522"/>
      <c r="Q9" s="1522"/>
      <c r="R9" s="1523"/>
      <c r="S9" s="892" t="str">
        <f>'102'!V68</f>
        <v>阮明演</v>
      </c>
      <c r="U9" s="420" t="s">
        <v>633</v>
      </c>
      <c r="V9" s="880"/>
      <c r="W9" s="880"/>
    </row>
    <row r="10" spans="1:23" ht="17.25" customHeight="1">
      <c r="A10" s="1336"/>
      <c r="B10" s="881" t="s">
        <v>43</v>
      </c>
      <c r="C10" s="422" t="s">
        <v>42</v>
      </c>
      <c r="D10" s="421">
        <v>1.38</v>
      </c>
      <c r="E10" s="880">
        <v>805</v>
      </c>
      <c r="F10" s="880">
        <f>'102'!O69</f>
        <v>850</v>
      </c>
      <c r="G10" s="1327">
        <f>'102'!K69</f>
        <v>10935</v>
      </c>
      <c r="H10" s="1328"/>
      <c r="I10" s="1329"/>
      <c r="J10" s="423">
        <f>'102'!L69</f>
        <v>0</v>
      </c>
      <c r="K10" s="1314">
        <f>'102'!P69</f>
        <v>1.0720588235294117</v>
      </c>
      <c r="L10" s="1315"/>
      <c r="M10" s="1316"/>
      <c r="N10" s="820">
        <f>J10/(G10+J10)</f>
        <v>0</v>
      </c>
      <c r="O10" s="1521" t="str">
        <f>'102'!U69</f>
        <v>08:08最後一支交接班</v>
      </c>
      <c r="P10" s="1522"/>
      <c r="Q10" s="1522"/>
      <c r="R10" s="1523"/>
      <c r="S10" s="892" t="str">
        <f>'102'!V69</f>
        <v>阮宏山</v>
      </c>
      <c r="U10" s="420" t="s">
        <v>633</v>
      </c>
      <c r="V10" s="880"/>
      <c r="W10" s="880"/>
    </row>
    <row r="11" spans="1:23" ht="17.25" customHeight="1">
      <c r="A11" s="1325" t="s">
        <v>7</v>
      </c>
      <c r="B11" s="84" t="s">
        <v>205</v>
      </c>
      <c r="C11" s="850" t="s">
        <v>44</v>
      </c>
      <c r="D11" s="649">
        <v>0.25</v>
      </c>
      <c r="E11" s="815">
        <v>870</v>
      </c>
      <c r="F11" s="815">
        <f>'103'!O66</f>
        <v>350</v>
      </c>
      <c r="G11" s="1311">
        <f>'103'!K66</f>
        <v>4030</v>
      </c>
      <c r="H11" s="1312"/>
      <c r="I11" s="1313"/>
      <c r="J11" s="814">
        <f>'103'!L66</f>
        <v>0</v>
      </c>
      <c r="K11" s="1314">
        <f>'103'!P66</f>
        <v>0.95952380952380956</v>
      </c>
      <c r="L11" s="1315"/>
      <c r="M11" s="1316"/>
      <c r="N11" s="820">
        <f>J11/(G11+J11)</f>
        <v>0</v>
      </c>
      <c r="O11" s="1308" t="str">
        <f>'103'!U66</f>
        <v>19:22最後一支交接班</v>
      </c>
      <c r="P11" s="1309"/>
      <c r="Q11" s="1309"/>
      <c r="R11" s="1310"/>
      <c r="S11" s="822" t="str">
        <f>'103'!V66</f>
        <v>潘文銅</v>
      </c>
    </row>
    <row r="12" spans="1:23" ht="17.25" customHeight="1">
      <c r="A12" s="1336"/>
      <c r="B12" s="881" t="s">
        <v>207</v>
      </c>
      <c r="C12" s="422" t="s">
        <v>44</v>
      </c>
      <c r="D12" s="421">
        <v>0.25</v>
      </c>
      <c r="E12" s="880">
        <v>870</v>
      </c>
      <c r="F12" s="880">
        <f>'103'!O67</f>
        <v>350</v>
      </c>
      <c r="G12" s="1327">
        <f>'103'!K67</f>
        <v>4019</v>
      </c>
      <c r="H12" s="1328"/>
      <c r="I12" s="1329"/>
      <c r="J12" s="423">
        <f>'103'!L67</f>
        <v>0</v>
      </c>
      <c r="K12" s="1314">
        <f>'103'!P67</f>
        <v>0.95690476190476192</v>
      </c>
      <c r="L12" s="1315"/>
      <c r="M12" s="1316"/>
      <c r="N12" s="820">
        <f>J12/(G12+J12)</f>
        <v>0</v>
      </c>
      <c r="O12" s="1308" t="str">
        <f>'103'!U67</f>
        <v>07:30最後一支交接班</v>
      </c>
      <c r="P12" s="1309"/>
      <c r="Q12" s="1309"/>
      <c r="R12" s="1310"/>
      <c r="S12" s="822" t="str">
        <f>'103'!V67</f>
        <v>阮功體</v>
      </c>
    </row>
    <row r="13" spans="1:23" ht="17.25" customHeight="1">
      <c r="A13" s="1354" t="s">
        <v>8</v>
      </c>
      <c r="B13" s="84" t="s">
        <v>205</v>
      </c>
      <c r="C13" s="850" t="s">
        <v>44</v>
      </c>
      <c r="D13" s="649" t="s">
        <v>633</v>
      </c>
      <c r="E13" s="856"/>
      <c r="F13" s="815"/>
      <c r="G13" s="1355"/>
      <c r="H13" s="1355"/>
      <c r="I13" s="1355"/>
      <c r="J13" s="814"/>
      <c r="K13" s="1314"/>
      <c r="L13" s="1315"/>
      <c r="M13" s="1316"/>
      <c r="N13" s="820"/>
      <c r="O13" s="1356"/>
      <c r="P13" s="1357"/>
      <c r="Q13" s="1357"/>
      <c r="R13" s="1357"/>
      <c r="S13" s="822"/>
    </row>
    <row r="14" spans="1:23" ht="17.25" customHeight="1">
      <c r="A14" s="1354"/>
      <c r="B14" s="881" t="s">
        <v>207</v>
      </c>
      <c r="C14" s="422" t="s">
        <v>44</v>
      </c>
      <c r="D14" s="421" t="s">
        <v>633</v>
      </c>
      <c r="E14" s="646"/>
      <c r="F14" s="880"/>
      <c r="G14" s="1358"/>
      <c r="H14" s="1358"/>
      <c r="I14" s="1358"/>
      <c r="J14" s="423"/>
      <c r="K14" s="1314"/>
      <c r="L14" s="1315"/>
      <c r="M14" s="1316"/>
      <c r="N14" s="820"/>
      <c r="O14" s="1356"/>
      <c r="P14" s="1357"/>
      <c r="Q14" s="1357"/>
      <c r="R14" s="1357"/>
      <c r="S14" s="822"/>
    </row>
    <row r="15" spans="1:23" ht="17.25" customHeight="1">
      <c r="A15" s="1101" t="s">
        <v>9</v>
      </c>
      <c r="B15" s="84" t="s">
        <v>205</v>
      </c>
      <c r="C15" s="850" t="s">
        <v>44</v>
      </c>
      <c r="D15" s="649" t="s">
        <v>633</v>
      </c>
      <c r="E15" s="815"/>
      <c r="F15" s="815"/>
      <c r="G15" s="1311"/>
      <c r="H15" s="1312"/>
      <c r="I15" s="1313"/>
      <c r="J15" s="814"/>
      <c r="K15" s="1330"/>
      <c r="L15" s="1331"/>
      <c r="M15" s="1332"/>
      <c r="N15" s="820"/>
      <c r="O15" s="1333"/>
      <c r="P15" s="1334"/>
      <c r="Q15" s="1334"/>
      <c r="R15" s="1335"/>
      <c r="S15" s="860"/>
    </row>
    <row r="16" spans="1:23" ht="17.25" customHeight="1">
      <c r="A16" s="1102"/>
      <c r="B16" s="881" t="s">
        <v>43</v>
      </c>
      <c r="C16" s="422" t="s">
        <v>44</v>
      </c>
      <c r="D16" s="421" t="s">
        <v>633</v>
      </c>
      <c r="E16" s="880"/>
      <c r="F16" s="880"/>
      <c r="G16" s="1327"/>
      <c r="H16" s="1328"/>
      <c r="I16" s="1329"/>
      <c r="J16" s="423"/>
      <c r="K16" s="1330"/>
      <c r="L16" s="1331"/>
      <c r="M16" s="1332"/>
      <c r="N16" s="820"/>
      <c r="O16" s="1333"/>
      <c r="P16" s="1334"/>
      <c r="Q16" s="1334"/>
      <c r="R16" s="1335"/>
      <c r="S16" s="860"/>
    </row>
    <row r="17" spans="1:19" ht="17.25" customHeight="1">
      <c r="A17" s="1370" t="s">
        <v>644</v>
      </c>
      <c r="B17" s="84" t="s">
        <v>205</v>
      </c>
      <c r="C17" s="850" t="s">
        <v>42</v>
      </c>
      <c r="D17" s="649" t="s">
        <v>633</v>
      </c>
      <c r="E17" s="815"/>
      <c r="F17" s="815"/>
      <c r="G17" s="1311"/>
      <c r="H17" s="1312"/>
      <c r="I17" s="1313"/>
      <c r="J17" s="814"/>
      <c r="K17" s="1330"/>
      <c r="L17" s="1331"/>
      <c r="M17" s="1332"/>
      <c r="N17" s="820"/>
      <c r="O17" s="1364"/>
      <c r="P17" s="1365"/>
      <c r="Q17" s="1365"/>
      <c r="R17" s="1366"/>
      <c r="S17" s="822"/>
    </row>
    <row r="18" spans="1:19" ht="17.25" customHeight="1">
      <c r="A18" s="1371"/>
      <c r="B18" s="881" t="s">
        <v>43</v>
      </c>
      <c r="C18" s="422" t="s">
        <v>42</v>
      </c>
      <c r="D18" s="421" t="s">
        <v>633</v>
      </c>
      <c r="E18" s="880"/>
      <c r="F18" s="880"/>
      <c r="G18" s="1327"/>
      <c r="H18" s="1328"/>
      <c r="I18" s="1329"/>
      <c r="J18" s="423"/>
      <c r="K18" s="1541"/>
      <c r="L18" s="1542"/>
      <c r="M18" s="1543"/>
      <c r="N18" s="820"/>
      <c r="O18" s="1348"/>
      <c r="P18" s="1349"/>
      <c r="Q18" s="1349"/>
      <c r="R18" s="1350"/>
      <c r="S18" s="877"/>
    </row>
    <row r="19" spans="1:19" ht="17.25" customHeight="1">
      <c r="A19" s="1362" t="s">
        <v>418</v>
      </c>
      <c r="B19" s="84" t="s">
        <v>205</v>
      </c>
      <c r="C19" s="850" t="s">
        <v>1277</v>
      </c>
      <c r="D19" s="649">
        <v>0.6</v>
      </c>
      <c r="E19" s="815">
        <v>830</v>
      </c>
      <c r="F19" s="815">
        <f>'107'!O69</f>
        <v>450</v>
      </c>
      <c r="G19" s="1311">
        <f>'107'!K69</f>
        <v>5029</v>
      </c>
      <c r="H19" s="1312"/>
      <c r="I19" s="1313"/>
      <c r="J19" s="814">
        <f>'107'!L69</f>
        <v>0</v>
      </c>
      <c r="K19" s="1314">
        <f>'107'!P69</f>
        <v>0.93129629629629629</v>
      </c>
      <c r="L19" s="1315"/>
      <c r="M19" s="1316"/>
      <c r="N19" s="820">
        <f>J19/(G19+J19)</f>
        <v>0</v>
      </c>
      <c r="O19" s="1364" t="str">
        <f>'107'!U69</f>
        <v>19:20最後一支交接班</v>
      </c>
      <c r="P19" s="1365"/>
      <c r="Q19" s="1365"/>
      <c r="R19" s="1366"/>
      <c r="S19" s="822" t="str">
        <f>'107'!V69</f>
        <v>黎文中</v>
      </c>
    </row>
    <row r="20" spans="1:19" ht="17.25" customHeight="1">
      <c r="A20" s="1363"/>
      <c r="B20" s="881" t="s">
        <v>43</v>
      </c>
      <c r="C20" s="422" t="s">
        <v>1277</v>
      </c>
      <c r="D20" s="421">
        <v>0.6</v>
      </c>
      <c r="E20" s="880">
        <v>830</v>
      </c>
      <c r="F20" s="880">
        <f>'107'!O70</f>
        <v>450</v>
      </c>
      <c r="G20" s="1327">
        <f>'107'!K70</f>
        <v>5541</v>
      </c>
      <c r="H20" s="1328"/>
      <c r="I20" s="1329"/>
      <c r="J20" s="423">
        <f>'107'!L70</f>
        <v>0</v>
      </c>
      <c r="K20" s="1314">
        <f>'107'!P70</f>
        <v>1.0261111111111112</v>
      </c>
      <c r="L20" s="1315"/>
      <c r="M20" s="1316"/>
      <c r="N20" s="820">
        <f>J20/(G20+J20)</f>
        <v>0</v>
      </c>
      <c r="O20" s="1364" t="str">
        <f>'107'!U70</f>
        <v>07:57最後一支交接班</v>
      </c>
      <c r="P20" s="1365"/>
      <c r="Q20" s="1365"/>
      <c r="R20" s="1366"/>
      <c r="S20" s="822" t="str">
        <f>'107'!V70</f>
        <v>磨文林</v>
      </c>
    </row>
    <row r="21" spans="1:19" ht="17.25" customHeight="1">
      <c r="A21" s="843"/>
      <c r="B21" s="841"/>
      <c r="C21" s="850"/>
      <c r="D21" s="851"/>
      <c r="E21" s="815"/>
      <c r="F21" s="815"/>
      <c r="G21" s="832" t="s">
        <v>666</v>
      </c>
      <c r="H21" s="838"/>
      <c r="I21" s="833">
        <f>SUM(G7:I20)</f>
        <v>39405</v>
      </c>
      <c r="J21" s="833">
        <f>SUM(J7:J20)</f>
        <v>0</v>
      </c>
      <c r="K21" s="1314"/>
      <c r="L21" s="1315"/>
      <c r="M21" s="1316"/>
      <c r="N21" s="647"/>
      <c r="O21" s="1372"/>
      <c r="P21" s="1373"/>
      <c r="Q21" s="1373"/>
      <c r="R21" s="1374"/>
      <c r="S21" s="812"/>
    </row>
    <row r="22" spans="1:19" ht="20.100000000000001" hidden="1" customHeight="1">
      <c r="A22" s="1400" t="s">
        <v>10</v>
      </c>
      <c r="B22" s="84" t="s">
        <v>205</v>
      </c>
      <c r="C22" s="648" t="s">
        <v>44</v>
      </c>
      <c r="D22" s="649">
        <v>2.35</v>
      </c>
      <c r="E22" s="85">
        <v>800</v>
      </c>
      <c r="F22" s="85"/>
      <c r="G22" s="1401"/>
      <c r="H22" s="1401"/>
      <c r="I22" s="1401"/>
      <c r="J22" s="650"/>
      <c r="K22" s="1402"/>
      <c r="L22" s="1403"/>
      <c r="M22" s="1404"/>
      <c r="N22" s="647" t="e">
        <f t="shared" ref="N22:N27" si="0">J22/(G22+J22)</f>
        <v>#DIV/0!</v>
      </c>
      <c r="O22" s="1348"/>
      <c r="P22" s="1349"/>
      <c r="Q22" s="1349"/>
      <c r="R22" s="1350"/>
      <c r="S22" s="1414"/>
    </row>
    <row r="23" spans="1:19" ht="20.100000000000001" hidden="1" customHeight="1">
      <c r="A23" s="1400"/>
      <c r="B23" s="84" t="s">
        <v>0</v>
      </c>
      <c r="C23" s="648" t="s">
        <v>44</v>
      </c>
      <c r="D23" s="649">
        <v>1.85</v>
      </c>
      <c r="E23" s="85">
        <v>800</v>
      </c>
      <c r="F23" s="85"/>
      <c r="G23" s="1401"/>
      <c r="H23" s="1401"/>
      <c r="I23" s="1401"/>
      <c r="J23" s="650"/>
      <c r="K23" s="1405"/>
      <c r="L23" s="1406"/>
      <c r="M23" s="1407"/>
      <c r="N23" s="647" t="e">
        <f t="shared" si="0"/>
        <v>#DIV/0!</v>
      </c>
      <c r="O23" s="1411"/>
      <c r="P23" s="1412"/>
      <c r="Q23" s="1412"/>
      <c r="R23" s="1413"/>
      <c r="S23" s="1415"/>
    </row>
    <row r="24" spans="1:19" ht="20.100000000000001" hidden="1" customHeight="1">
      <c r="A24" s="1400"/>
      <c r="B24" s="84" t="s">
        <v>205</v>
      </c>
      <c r="C24" s="648" t="s">
        <v>44</v>
      </c>
      <c r="D24" s="649"/>
      <c r="E24" s="85"/>
      <c r="F24" s="85"/>
      <c r="G24" s="1401"/>
      <c r="H24" s="1401"/>
      <c r="I24" s="1401"/>
      <c r="J24" s="650"/>
      <c r="K24" s="1408"/>
      <c r="L24" s="1409"/>
      <c r="M24" s="1410"/>
      <c r="N24" s="647" t="e">
        <f t="shared" si="0"/>
        <v>#DIV/0!</v>
      </c>
      <c r="O24" s="1367"/>
      <c r="P24" s="1368"/>
      <c r="Q24" s="1368"/>
      <c r="R24" s="1369"/>
      <c r="S24" s="1416"/>
    </row>
    <row r="25" spans="1:19" ht="20.100000000000001" hidden="1" customHeight="1">
      <c r="A25" s="1400"/>
      <c r="B25" s="881" t="s">
        <v>207</v>
      </c>
      <c r="C25" s="422" t="s">
        <v>44</v>
      </c>
      <c r="D25" s="420">
        <v>2.35</v>
      </c>
      <c r="E25" s="880">
        <v>800</v>
      </c>
      <c r="F25" s="880"/>
      <c r="G25" s="1358"/>
      <c r="H25" s="1358"/>
      <c r="I25" s="1358"/>
      <c r="J25" s="423"/>
      <c r="K25" s="1402"/>
      <c r="L25" s="1403"/>
      <c r="M25" s="1404"/>
      <c r="N25" s="647" t="e">
        <f t="shared" si="0"/>
        <v>#DIV/0!</v>
      </c>
      <c r="O25" s="1348"/>
      <c r="P25" s="1349"/>
      <c r="Q25" s="1349"/>
      <c r="R25" s="1350"/>
      <c r="S25" s="1375"/>
    </row>
    <row r="26" spans="1:19" ht="20.100000000000001" hidden="1" customHeight="1">
      <c r="A26" s="1400"/>
      <c r="B26" s="881" t="s">
        <v>207</v>
      </c>
      <c r="C26" s="422" t="s">
        <v>44</v>
      </c>
      <c r="D26" s="420">
        <v>1.75</v>
      </c>
      <c r="E26" s="880">
        <v>715</v>
      </c>
      <c r="F26" s="880"/>
      <c r="G26" s="1358"/>
      <c r="H26" s="1358"/>
      <c r="I26" s="1358"/>
      <c r="J26" s="423"/>
      <c r="K26" s="1405"/>
      <c r="L26" s="1406"/>
      <c r="M26" s="1407"/>
      <c r="N26" s="647" t="e">
        <f t="shared" si="0"/>
        <v>#DIV/0!</v>
      </c>
      <c r="O26" s="1411"/>
      <c r="P26" s="1412"/>
      <c r="Q26" s="1412"/>
      <c r="R26" s="1413"/>
      <c r="S26" s="1376"/>
    </row>
    <row r="27" spans="1:19" ht="20.100000000000001" hidden="1" customHeight="1">
      <c r="A27" s="1400"/>
      <c r="B27" s="881" t="s">
        <v>207</v>
      </c>
      <c r="C27" s="422" t="s">
        <v>44</v>
      </c>
      <c r="D27" s="420">
        <v>1.6</v>
      </c>
      <c r="E27" s="880">
        <v>715</v>
      </c>
      <c r="F27" s="880"/>
      <c r="G27" s="1358"/>
      <c r="H27" s="1358"/>
      <c r="I27" s="1358"/>
      <c r="J27" s="423"/>
      <c r="K27" s="1408"/>
      <c r="L27" s="1409"/>
      <c r="M27" s="1410"/>
      <c r="N27" s="647" t="e">
        <f t="shared" si="0"/>
        <v>#DIV/0!</v>
      </c>
      <c r="O27" s="1367"/>
      <c r="P27" s="1368"/>
      <c r="Q27" s="1368"/>
      <c r="R27" s="1369"/>
      <c r="S27" s="1377"/>
    </row>
    <row r="28" spans="1:19" s="76" customFormat="1" ht="31.7" customHeight="1">
      <c r="A28" s="56" t="s">
        <v>212</v>
      </c>
      <c r="B28" s="388" t="s">
        <v>193</v>
      </c>
      <c r="C28" s="1378" t="s">
        <v>11</v>
      </c>
      <c r="D28" s="1379"/>
      <c r="E28" s="1380"/>
      <c r="F28" s="409" t="s">
        <v>12</v>
      </c>
      <c r="G28" s="409" t="s">
        <v>13</v>
      </c>
      <c r="H28" s="410" t="s">
        <v>215</v>
      </c>
      <c r="I28" s="411" t="s">
        <v>14</v>
      </c>
      <c r="J28" s="412" t="s">
        <v>15</v>
      </c>
      <c r="K28" s="651" t="s">
        <v>16</v>
      </c>
      <c r="L28" s="652" t="s">
        <v>60</v>
      </c>
      <c r="M28" s="653" t="s">
        <v>17</v>
      </c>
      <c r="N28" s="652" t="s">
        <v>18</v>
      </c>
      <c r="O28" s="1381" t="s">
        <v>29</v>
      </c>
      <c r="P28" s="1381"/>
      <c r="Q28" s="1381"/>
      <c r="R28" s="1381"/>
      <c r="S28" s="383" t="s">
        <v>4</v>
      </c>
    </row>
    <row r="29" spans="1:19" s="132" customFormat="1" ht="16.5" hidden="1" customHeight="1">
      <c r="A29" s="1126" t="s">
        <v>19</v>
      </c>
      <c r="B29" s="134" t="s">
        <v>0</v>
      </c>
      <c r="C29" s="1382"/>
      <c r="D29" s="1383"/>
      <c r="E29" s="1384"/>
      <c r="F29" s="380"/>
      <c r="G29" s="246">
        <f>SUM(G9:G27)</f>
        <v>39405</v>
      </c>
      <c r="H29" s="95"/>
      <c r="I29" s="844" t="e">
        <f>SUM(#REF!)</f>
        <v>#REF!</v>
      </c>
      <c r="J29" s="390"/>
      <c r="K29" s="390"/>
      <c r="L29" s="389"/>
      <c r="M29" s="1385"/>
      <c r="N29" s="654"/>
      <c r="O29" s="1388"/>
      <c r="P29" s="1389"/>
      <c r="Q29" s="1389"/>
      <c r="R29" s="1390"/>
      <c r="S29" s="1397"/>
    </row>
    <row r="30" spans="1:19" s="132" customFormat="1" ht="16.5" hidden="1" customHeight="1">
      <c r="A30" s="1189"/>
      <c r="B30" s="134" t="s">
        <v>0</v>
      </c>
      <c r="C30" s="1382"/>
      <c r="D30" s="1383"/>
      <c r="E30" s="1384"/>
      <c r="F30" s="380"/>
      <c r="G30" s="246"/>
      <c r="H30" s="95"/>
      <c r="I30" s="95"/>
      <c r="J30" s="390"/>
      <c r="K30" s="390"/>
      <c r="L30" s="389"/>
      <c r="M30" s="1386"/>
      <c r="N30" s="654"/>
      <c r="O30" s="1391"/>
      <c r="P30" s="1392"/>
      <c r="Q30" s="1392"/>
      <c r="R30" s="1393"/>
      <c r="S30" s="1398"/>
    </row>
    <row r="31" spans="1:19" s="132" customFormat="1" ht="16.5" hidden="1" customHeight="1">
      <c r="A31" s="1189"/>
      <c r="B31" s="134" t="s">
        <v>0</v>
      </c>
      <c r="C31" s="1382"/>
      <c r="D31" s="1383"/>
      <c r="E31" s="1384"/>
      <c r="F31" s="380"/>
      <c r="G31" s="246"/>
      <c r="H31" s="95"/>
      <c r="I31" s="95"/>
      <c r="J31" s="390"/>
      <c r="K31" s="390"/>
      <c r="L31" s="389"/>
      <c r="M31" s="1387"/>
      <c r="N31" s="654"/>
      <c r="O31" s="1394"/>
      <c r="P31" s="1395"/>
      <c r="Q31" s="1395"/>
      <c r="R31" s="1396"/>
      <c r="S31" s="1399"/>
    </row>
    <row r="32" spans="1:19" ht="18" hidden="1" customHeight="1">
      <c r="A32" s="1189"/>
      <c r="B32" s="381" t="s">
        <v>43</v>
      </c>
      <c r="C32" s="1417"/>
      <c r="D32" s="1418"/>
      <c r="E32" s="1419"/>
      <c r="F32" s="114"/>
      <c r="G32" s="243"/>
      <c r="H32" s="114"/>
      <c r="I32" s="114"/>
      <c r="J32" s="655"/>
      <c r="K32" s="391"/>
      <c r="L32" s="240"/>
      <c r="M32" s="1385"/>
      <c r="N32" s="654"/>
      <c r="O32" s="1388"/>
      <c r="P32" s="1389"/>
      <c r="Q32" s="1389"/>
      <c r="R32" s="1390"/>
      <c r="S32" s="1420"/>
    </row>
    <row r="33" spans="1:24" ht="18" hidden="1" customHeight="1">
      <c r="A33" s="1189"/>
      <c r="B33" s="381" t="s">
        <v>43</v>
      </c>
      <c r="C33" s="1417"/>
      <c r="D33" s="1418"/>
      <c r="E33" s="1419"/>
      <c r="F33" s="114"/>
      <c r="G33" s="243"/>
      <c r="H33" s="114"/>
      <c r="I33" s="114"/>
      <c r="J33" s="655"/>
      <c r="K33" s="391"/>
      <c r="L33" s="240"/>
      <c r="M33" s="1386"/>
      <c r="N33" s="654"/>
      <c r="O33" s="1391"/>
      <c r="P33" s="1392"/>
      <c r="Q33" s="1392"/>
      <c r="R33" s="1393"/>
      <c r="S33" s="1421"/>
    </row>
    <row r="34" spans="1:24" ht="18" hidden="1" customHeight="1">
      <c r="A34" s="1189"/>
      <c r="B34" s="381" t="s">
        <v>43</v>
      </c>
      <c r="C34" s="1417"/>
      <c r="D34" s="1418"/>
      <c r="E34" s="1419"/>
      <c r="F34" s="114"/>
      <c r="G34" s="243"/>
      <c r="H34" s="114"/>
      <c r="I34" s="114"/>
      <c r="J34" s="655"/>
      <c r="K34" s="391"/>
      <c r="L34" s="240"/>
      <c r="M34" s="1386"/>
      <c r="N34" s="654"/>
      <c r="O34" s="1391"/>
      <c r="P34" s="1392"/>
      <c r="Q34" s="1392"/>
      <c r="R34" s="1393"/>
      <c r="S34" s="1421"/>
    </row>
    <row r="35" spans="1:24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7"/>
      <c r="N35" s="654"/>
      <c r="O35" s="1394"/>
      <c r="P35" s="1395"/>
      <c r="Q35" s="1395"/>
      <c r="R35" s="1396"/>
      <c r="S35" s="1422"/>
    </row>
    <row r="36" spans="1:24" ht="18" hidden="1" customHeight="1">
      <c r="A36" s="1426" t="s">
        <v>61</v>
      </c>
      <c r="B36" s="84" t="s">
        <v>205</v>
      </c>
      <c r="C36" s="1382"/>
      <c r="D36" s="1383"/>
      <c r="E36" s="1384"/>
      <c r="F36" s="380"/>
      <c r="G36" s="245"/>
      <c r="H36" s="85"/>
      <c r="I36" s="85"/>
      <c r="J36" s="656"/>
      <c r="K36" s="392"/>
      <c r="L36" s="251"/>
      <c r="M36" s="1385"/>
      <c r="N36" s="428"/>
      <c r="O36" s="1388"/>
      <c r="P36" s="1389"/>
      <c r="Q36" s="1389"/>
      <c r="R36" s="1390"/>
      <c r="S36" s="1423"/>
    </row>
    <row r="37" spans="1:24" s="132" customFormat="1" ht="16.5" hidden="1" customHeight="1">
      <c r="A37" s="1426"/>
      <c r="B37" s="134" t="s">
        <v>0</v>
      </c>
      <c r="C37" s="1382"/>
      <c r="D37" s="1383"/>
      <c r="E37" s="1384"/>
      <c r="F37" s="380"/>
      <c r="G37" s="246"/>
      <c r="H37" s="95"/>
      <c r="I37" s="95"/>
      <c r="J37" s="390"/>
      <c r="K37" s="390"/>
      <c r="L37" s="389"/>
      <c r="M37" s="1386"/>
      <c r="N37" s="654"/>
      <c r="O37" s="1391"/>
      <c r="P37" s="1392"/>
      <c r="Q37" s="1392"/>
      <c r="R37" s="1393"/>
      <c r="S37" s="1424"/>
    </row>
    <row r="38" spans="1:24" s="132" customFormat="1" ht="16.5" hidden="1" customHeight="1">
      <c r="A38" s="1426"/>
      <c r="B38" s="134" t="s">
        <v>0</v>
      </c>
      <c r="C38" s="1382"/>
      <c r="D38" s="1383"/>
      <c r="E38" s="1384"/>
      <c r="F38" s="380"/>
      <c r="G38" s="246"/>
      <c r="H38" s="95"/>
      <c r="I38" s="95"/>
      <c r="J38" s="390"/>
      <c r="K38" s="390"/>
      <c r="L38" s="389"/>
      <c r="M38" s="1387"/>
      <c r="N38" s="654"/>
      <c r="O38" s="1394"/>
      <c r="P38" s="1395"/>
      <c r="Q38" s="1395"/>
      <c r="R38" s="1396"/>
      <c r="S38" s="1425"/>
    </row>
    <row r="39" spans="1:24" ht="18" hidden="1" customHeight="1">
      <c r="A39" s="1426"/>
      <c r="B39" s="381" t="s">
        <v>43</v>
      </c>
      <c r="C39" s="1417"/>
      <c r="D39" s="1418"/>
      <c r="E39" s="1419"/>
      <c r="F39" s="114"/>
      <c r="G39" s="243"/>
      <c r="H39" s="114"/>
      <c r="I39" s="114"/>
      <c r="J39" s="655"/>
      <c r="K39" s="391"/>
      <c r="L39" s="240"/>
      <c r="M39" s="1385"/>
      <c r="N39" s="654"/>
      <c r="O39" s="1388"/>
      <c r="P39" s="1389"/>
      <c r="Q39" s="1389"/>
      <c r="R39" s="1390"/>
      <c r="S39" s="1420"/>
    </row>
    <row r="40" spans="1:24" ht="18" hidden="1" customHeight="1">
      <c r="A40" s="1426"/>
      <c r="B40" s="381" t="s">
        <v>43</v>
      </c>
      <c r="C40" s="1417"/>
      <c r="D40" s="1418"/>
      <c r="E40" s="1419"/>
      <c r="F40" s="114"/>
      <c r="G40" s="243"/>
      <c r="H40" s="114"/>
      <c r="I40" s="114"/>
      <c r="J40" s="655"/>
      <c r="K40" s="391"/>
      <c r="L40" s="240"/>
      <c r="M40" s="1386"/>
      <c r="N40" s="654"/>
      <c r="O40" s="1391"/>
      <c r="P40" s="1392"/>
      <c r="Q40" s="1392"/>
      <c r="R40" s="1393"/>
      <c r="S40" s="1421"/>
    </row>
    <row r="41" spans="1:24" ht="18" hidden="1" customHeight="1">
      <c r="A41" s="1426"/>
      <c r="B41" s="381" t="s">
        <v>207</v>
      </c>
      <c r="C41" s="1417"/>
      <c r="D41" s="1418"/>
      <c r="E41" s="1419"/>
      <c r="F41" s="657"/>
      <c r="G41" s="243"/>
      <c r="H41" s="114"/>
      <c r="I41" s="114"/>
      <c r="J41" s="655"/>
      <c r="K41" s="391"/>
      <c r="L41" s="240"/>
      <c r="M41" s="1387"/>
      <c r="N41" s="428"/>
      <c r="O41" s="1394"/>
      <c r="P41" s="1395"/>
      <c r="Q41" s="1395"/>
      <c r="R41" s="1396"/>
      <c r="S41" s="1422"/>
    </row>
    <row r="42" spans="1:24" ht="18" hidden="1" customHeight="1">
      <c r="A42" s="1260" t="s">
        <v>20</v>
      </c>
      <c r="B42" s="84" t="s">
        <v>205</v>
      </c>
      <c r="C42" s="1382"/>
      <c r="D42" s="1383"/>
      <c r="E42" s="1384"/>
      <c r="F42" s="380"/>
      <c r="G42" s="245"/>
      <c r="H42" s="85"/>
      <c r="I42" s="85"/>
      <c r="J42" s="656"/>
      <c r="K42" s="393"/>
      <c r="L42" s="251"/>
      <c r="M42" s="1385"/>
      <c r="N42" s="428"/>
      <c r="O42" s="1388"/>
      <c r="P42" s="1389"/>
      <c r="Q42" s="1389"/>
      <c r="R42" s="1390"/>
      <c r="S42" s="1423"/>
    </row>
    <row r="43" spans="1:24" s="132" customFormat="1" ht="16.5" hidden="1" customHeight="1">
      <c r="A43" s="1260"/>
      <c r="B43" s="134" t="s">
        <v>0</v>
      </c>
      <c r="C43" s="1382"/>
      <c r="D43" s="1383"/>
      <c r="E43" s="1384"/>
      <c r="F43" s="380"/>
      <c r="G43" s="246"/>
      <c r="H43" s="95"/>
      <c r="I43" s="95"/>
      <c r="J43" s="390"/>
      <c r="K43" s="390"/>
      <c r="L43" s="389"/>
      <c r="M43" s="1386"/>
      <c r="N43" s="654"/>
      <c r="O43" s="1391"/>
      <c r="P43" s="1392"/>
      <c r="Q43" s="1392"/>
      <c r="R43" s="1393"/>
      <c r="S43" s="1424"/>
    </row>
    <row r="44" spans="1:24" s="132" customFormat="1" ht="16.5" hidden="1" customHeight="1">
      <c r="A44" s="1260"/>
      <c r="B44" s="134" t="s">
        <v>0</v>
      </c>
      <c r="C44" s="1382"/>
      <c r="D44" s="1383"/>
      <c r="E44" s="1384"/>
      <c r="F44" s="380"/>
      <c r="G44" s="246"/>
      <c r="H44" s="95"/>
      <c r="I44" s="95"/>
      <c r="J44" s="390"/>
      <c r="K44" s="390"/>
      <c r="L44" s="389"/>
      <c r="M44" s="1387"/>
      <c r="N44" s="654"/>
      <c r="O44" s="1394"/>
      <c r="P44" s="1395"/>
      <c r="Q44" s="1395"/>
      <c r="R44" s="1396"/>
      <c r="S44" s="1425"/>
    </row>
    <row r="45" spans="1:24" ht="18" hidden="1" customHeight="1">
      <c r="A45" s="1260"/>
      <c r="B45" s="381" t="s">
        <v>43</v>
      </c>
      <c r="C45" s="1417"/>
      <c r="D45" s="1418"/>
      <c r="E45" s="1419"/>
      <c r="F45" s="114"/>
      <c r="G45" s="243"/>
      <c r="H45" s="114"/>
      <c r="I45" s="114"/>
      <c r="J45" s="655"/>
      <c r="K45" s="391"/>
      <c r="L45" s="240"/>
      <c r="M45" s="1385"/>
      <c r="N45" s="654"/>
      <c r="O45" s="1388"/>
      <c r="P45" s="1389"/>
      <c r="Q45" s="1389"/>
      <c r="R45" s="1390"/>
      <c r="S45" s="1420"/>
    </row>
    <row r="46" spans="1:24" ht="18" hidden="1" customHeight="1">
      <c r="A46" s="1260"/>
      <c r="B46" s="381" t="s">
        <v>43</v>
      </c>
      <c r="C46" s="1417"/>
      <c r="D46" s="1418"/>
      <c r="E46" s="1419"/>
      <c r="F46" s="114"/>
      <c r="G46" s="243"/>
      <c r="H46" s="114"/>
      <c r="I46" s="114"/>
      <c r="J46" s="655"/>
      <c r="K46" s="391"/>
      <c r="L46" s="240"/>
      <c r="M46" s="1386"/>
      <c r="N46" s="654"/>
      <c r="O46" s="1391"/>
      <c r="P46" s="1392"/>
      <c r="Q46" s="1392"/>
      <c r="R46" s="1393"/>
      <c r="S46" s="1421"/>
    </row>
    <row r="47" spans="1:24" ht="15.75" hidden="1" customHeight="1">
      <c r="A47" s="1260"/>
      <c r="B47" s="381" t="s">
        <v>207</v>
      </c>
      <c r="C47" s="1417"/>
      <c r="D47" s="1418"/>
      <c r="E47" s="1419"/>
      <c r="F47" s="657"/>
      <c r="G47" s="243"/>
      <c r="H47" s="114"/>
      <c r="I47" s="114"/>
      <c r="J47" s="655"/>
      <c r="K47" s="391"/>
      <c r="L47" s="240"/>
      <c r="M47" s="1387"/>
      <c r="N47" s="428"/>
      <c r="O47" s="1394"/>
      <c r="P47" s="1395"/>
      <c r="Q47" s="1395"/>
      <c r="R47" s="1396"/>
      <c r="S47" s="1422"/>
    </row>
    <row r="48" spans="1:24" ht="54.75" customHeight="1">
      <c r="A48" s="1126" t="s">
        <v>21</v>
      </c>
      <c r="B48" s="84" t="s">
        <v>0</v>
      </c>
      <c r="C48" s="1427" t="e">
        <f>#REF!</f>
        <v>#REF!</v>
      </c>
      <c r="D48" s="1427"/>
      <c r="E48" s="1427"/>
      <c r="F48" s="827" t="s">
        <v>899</v>
      </c>
      <c r="G48" s="828" t="e">
        <f>#REF!</f>
        <v>#REF!</v>
      </c>
      <c r="H48" s="815"/>
      <c r="I48" s="827">
        <v>3</v>
      </c>
      <c r="J48" s="828" t="e">
        <f>#REF!</f>
        <v>#REF!</v>
      </c>
      <c r="K48" s="828" t="e">
        <f>#REF!</f>
        <v>#REF!</v>
      </c>
      <c r="L48" s="828" t="e">
        <f>#REF!</f>
        <v>#REF!</v>
      </c>
      <c r="M48" s="661" t="e">
        <f>#REF!</f>
        <v>#REF!</v>
      </c>
      <c r="N48" s="662" t="e">
        <f>#REF!</f>
        <v>#REF!</v>
      </c>
      <c r="O48" s="1361" t="e">
        <f>#REF!</f>
        <v>#REF!</v>
      </c>
      <c r="P48" s="1361"/>
      <c r="Q48" s="1361"/>
      <c r="R48" s="1361"/>
      <c r="S48" s="822" t="e">
        <f>#REF!</f>
        <v>#REF!</v>
      </c>
      <c r="V48" s="1382" t="s">
        <v>633</v>
      </c>
      <c r="W48" s="1383"/>
      <c r="X48" s="1384"/>
    </row>
    <row r="49" spans="1:24" ht="37.5" customHeight="1">
      <c r="A49" s="1127"/>
      <c r="B49" s="881" t="s">
        <v>43</v>
      </c>
      <c r="C49" s="1360" t="e">
        <f>#REF!</f>
        <v>#REF!</v>
      </c>
      <c r="D49" s="1360"/>
      <c r="E49" s="1360"/>
      <c r="F49" s="418" t="s">
        <v>899</v>
      </c>
      <c r="G49" s="660" t="e">
        <f>#REF!</f>
        <v>#REF!</v>
      </c>
      <c r="H49" s="880"/>
      <c r="I49" s="418">
        <v>3</v>
      </c>
      <c r="J49" s="660" t="e">
        <f>#REF!</f>
        <v>#REF!</v>
      </c>
      <c r="K49" s="660" t="e">
        <f>#REF!</f>
        <v>#REF!</v>
      </c>
      <c r="L49" s="660" t="e">
        <f>#REF!</f>
        <v>#REF!</v>
      </c>
      <c r="M49" s="661" t="e">
        <f>#REF!</f>
        <v>#REF!</v>
      </c>
      <c r="N49" s="662" t="e">
        <f>#REF!</f>
        <v>#REF!</v>
      </c>
      <c r="O49" s="1361" t="e">
        <f>#REF!</f>
        <v>#REF!</v>
      </c>
      <c r="P49" s="1361"/>
      <c r="Q49" s="1361"/>
      <c r="R49" s="1361"/>
      <c r="S49" s="822" t="e">
        <f>#REF!</f>
        <v>#REF!</v>
      </c>
      <c r="V49" s="1382" t="s">
        <v>633</v>
      </c>
      <c r="W49" s="1383"/>
      <c r="X49" s="1384"/>
    </row>
    <row r="50" spans="1:24" ht="33.75" customHeight="1">
      <c r="A50" s="1126" t="s">
        <v>22</v>
      </c>
      <c r="B50" s="84" t="s">
        <v>0</v>
      </c>
      <c r="C50" s="1427" t="e">
        <f>#REF!</f>
        <v>#REF!</v>
      </c>
      <c r="D50" s="1427"/>
      <c r="E50" s="1427"/>
      <c r="F50" s="827" t="s">
        <v>1239</v>
      </c>
      <c r="G50" s="852" t="e">
        <f>#REF!</f>
        <v>#REF!</v>
      </c>
      <c r="H50" s="815"/>
      <c r="I50" s="827">
        <v>2</v>
      </c>
      <c r="J50" s="852" t="e">
        <f>#REF!</f>
        <v>#REF!</v>
      </c>
      <c r="K50" s="885" t="e">
        <f>#REF!</f>
        <v>#REF!</v>
      </c>
      <c r="L50" s="885" t="e">
        <f>#REF!</f>
        <v>#REF!</v>
      </c>
      <c r="M50" s="863" t="e">
        <f>#REF!</f>
        <v>#REF!</v>
      </c>
      <c r="N50" s="415" t="e">
        <f>#REF!</f>
        <v>#REF!</v>
      </c>
      <c r="O50" s="1364" t="e">
        <f>#REF!</f>
        <v>#REF!</v>
      </c>
      <c r="P50" s="1365"/>
      <c r="Q50" s="1365"/>
      <c r="R50" s="1366"/>
      <c r="S50" s="821" t="e">
        <f>#REF!</f>
        <v>#REF!</v>
      </c>
    </row>
    <row r="51" spans="1:24" ht="33" customHeight="1">
      <c r="A51" s="1127"/>
      <c r="B51" s="881" t="s">
        <v>43</v>
      </c>
      <c r="C51" s="1360" t="e">
        <f>#REF!</f>
        <v>#REF!</v>
      </c>
      <c r="D51" s="1360"/>
      <c r="E51" s="1360"/>
      <c r="F51" s="418" t="s">
        <v>1239</v>
      </c>
      <c r="G51" s="840" t="e">
        <f>#REF!</f>
        <v>#REF!</v>
      </c>
      <c r="H51" s="880"/>
      <c r="I51" s="418">
        <v>1</v>
      </c>
      <c r="J51" s="840" t="e">
        <f>#REF!</f>
        <v>#REF!</v>
      </c>
      <c r="K51" s="890" t="e">
        <f>#REF!</f>
        <v>#REF!</v>
      </c>
      <c r="L51" s="890" t="e">
        <f>#REF!</f>
        <v>#REF!</v>
      </c>
      <c r="M51" s="863" t="e">
        <f>#REF!</f>
        <v>#REF!</v>
      </c>
      <c r="N51" s="415" t="e">
        <f>#REF!</f>
        <v>#REF!</v>
      </c>
      <c r="O51" s="1364" t="e">
        <f>#REF!</f>
        <v>#REF!</v>
      </c>
      <c r="P51" s="1365"/>
      <c r="Q51" s="1365"/>
      <c r="R51" s="1366"/>
      <c r="S51" s="821" t="e">
        <f>#REF!</f>
        <v>#REF!</v>
      </c>
    </row>
    <row r="52" spans="1:24" ht="37.5" customHeight="1">
      <c r="A52" s="1428" t="s">
        <v>23</v>
      </c>
      <c r="B52" s="84" t="s">
        <v>0</v>
      </c>
      <c r="C52" s="1427" t="e">
        <f>#REF!</f>
        <v>#REF!</v>
      </c>
      <c r="D52" s="1427"/>
      <c r="E52" s="1427"/>
      <c r="F52" s="827" t="s">
        <v>724</v>
      </c>
      <c r="G52" s="828" t="e">
        <f>#REF!</f>
        <v>#REF!</v>
      </c>
      <c r="H52" s="815"/>
      <c r="I52" s="827">
        <v>4</v>
      </c>
      <c r="J52" s="828" t="e">
        <f>#REF!</f>
        <v>#REF!</v>
      </c>
      <c r="K52" s="828" t="e">
        <f>#REF!</f>
        <v>#REF!</v>
      </c>
      <c r="L52" s="828" t="e">
        <f>#REF!</f>
        <v>#REF!</v>
      </c>
      <c r="M52" s="865" t="e">
        <f>#REF!</f>
        <v>#REF!</v>
      </c>
      <c r="N52" s="662" t="e">
        <f>#REF!</f>
        <v>#REF!</v>
      </c>
      <c r="O52" s="1364" t="e">
        <f>#REF!</f>
        <v>#REF!</v>
      </c>
      <c r="P52" s="1365"/>
      <c r="Q52" s="1365"/>
      <c r="R52" s="1366"/>
      <c r="S52" s="822" t="e">
        <f>#REF!</f>
        <v>#REF!</v>
      </c>
    </row>
    <row r="53" spans="1:24" ht="17.25" customHeight="1">
      <c r="A53" s="1563"/>
      <c r="B53" s="381" t="s">
        <v>43</v>
      </c>
      <c r="C53" s="1360" t="e">
        <f>#REF!</f>
        <v>#REF!</v>
      </c>
      <c r="D53" s="1360"/>
      <c r="E53" s="1360"/>
      <c r="F53" s="418" t="s">
        <v>724</v>
      </c>
      <c r="G53" s="660" t="e">
        <f>#REF!</f>
        <v>#REF!</v>
      </c>
      <c r="H53" s="880"/>
      <c r="I53" s="418">
        <v>3</v>
      </c>
      <c r="J53" s="660" t="e">
        <f>#REF!</f>
        <v>#REF!</v>
      </c>
      <c r="K53" s="660" t="e">
        <f>#REF!</f>
        <v>#REF!</v>
      </c>
      <c r="L53" s="660" t="e">
        <f>#REF!</f>
        <v>#REF!</v>
      </c>
      <c r="M53" s="865" t="e">
        <f>#REF!</f>
        <v>#REF!</v>
      </c>
      <c r="N53" s="662" t="e">
        <f>#REF!</f>
        <v>#REF!</v>
      </c>
      <c r="O53" s="1364" t="e">
        <f>#REF!</f>
        <v>#REF!</v>
      </c>
      <c r="P53" s="1365"/>
      <c r="Q53" s="1365"/>
      <c r="R53" s="1366"/>
      <c r="S53" s="822" t="e">
        <f>#REF!</f>
        <v>#REF!</v>
      </c>
    </row>
    <row r="54" spans="1:24" ht="17.25" customHeight="1">
      <c r="A54" s="1126" t="s">
        <v>24</v>
      </c>
      <c r="B54" s="84" t="s">
        <v>0</v>
      </c>
      <c r="C54" s="1427" t="e">
        <f>#REF!</f>
        <v>#REF!</v>
      </c>
      <c r="D54" s="1427"/>
      <c r="E54" s="1427"/>
      <c r="F54" s="827" t="s">
        <v>1253</v>
      </c>
      <c r="G54" s="828" t="e">
        <f>#REF!</f>
        <v>#REF!</v>
      </c>
      <c r="H54" s="815"/>
      <c r="I54" s="827">
        <v>3</v>
      </c>
      <c r="J54" s="828" t="e">
        <f>#REF!</f>
        <v>#REF!</v>
      </c>
      <c r="K54" s="828" t="e">
        <f>#REF!</f>
        <v>#REF!</v>
      </c>
      <c r="L54" s="828" t="e">
        <f>#REF!</f>
        <v>#REF!</v>
      </c>
      <c r="M54" s="661" t="e">
        <f>#REF!</f>
        <v>#REF!</v>
      </c>
      <c r="N54" s="662" t="e">
        <f>#REF!</f>
        <v>#REF!</v>
      </c>
      <c r="O54" s="1361" t="e">
        <f>#REF!</f>
        <v>#REF!</v>
      </c>
      <c r="P54" s="1361"/>
      <c r="Q54" s="1361"/>
      <c r="R54" s="1361"/>
      <c r="S54" s="877" t="e">
        <f>#REF!</f>
        <v>#REF!</v>
      </c>
    </row>
    <row r="55" spans="1:24" ht="17.25" customHeight="1">
      <c r="A55" s="1127"/>
      <c r="B55" s="381" t="s">
        <v>43</v>
      </c>
      <c r="C55" s="1360" t="e">
        <f>#REF!</f>
        <v>#REF!</v>
      </c>
      <c r="D55" s="1360"/>
      <c r="E55" s="1360"/>
      <c r="F55" s="418" t="s">
        <v>1253</v>
      </c>
      <c r="G55" s="660" t="e">
        <f>#REF!</f>
        <v>#REF!</v>
      </c>
      <c r="H55" s="880"/>
      <c r="I55" s="418">
        <v>3</v>
      </c>
      <c r="J55" s="660" t="e">
        <f>#REF!</f>
        <v>#REF!</v>
      </c>
      <c r="K55" s="660" t="e">
        <f>#REF!</f>
        <v>#REF!</v>
      </c>
      <c r="L55" s="660" t="e">
        <f>#REF!</f>
        <v>#REF!</v>
      </c>
      <c r="M55" s="661" t="e">
        <f>#REF!</f>
        <v>#REF!</v>
      </c>
      <c r="N55" s="662" t="e">
        <f>#REF!</f>
        <v>#REF!</v>
      </c>
      <c r="O55" s="1361" t="e">
        <f>#REF!</f>
        <v>#REF!</v>
      </c>
      <c r="P55" s="1361"/>
      <c r="Q55" s="1361"/>
      <c r="R55" s="1361"/>
      <c r="S55" s="877" t="e">
        <f>#REF!</f>
        <v>#REF!</v>
      </c>
    </row>
    <row r="56" spans="1:24" ht="36" customHeight="1">
      <c r="A56" s="1126" t="s">
        <v>634</v>
      </c>
      <c r="B56" s="84" t="s">
        <v>0</v>
      </c>
      <c r="C56" s="1427" t="e">
        <f>#REF!</f>
        <v>#REF!</v>
      </c>
      <c r="D56" s="1427"/>
      <c r="E56" s="1427"/>
      <c r="F56" s="827" t="s">
        <v>772</v>
      </c>
      <c r="G56" s="828" t="e">
        <f>#REF!</f>
        <v>#REF!</v>
      </c>
      <c r="H56" s="815"/>
      <c r="I56" s="827">
        <v>5</v>
      </c>
      <c r="J56" s="828" t="e">
        <f>#REF!</f>
        <v>#REF!</v>
      </c>
      <c r="K56" s="828" t="e">
        <f>#REF!</f>
        <v>#REF!</v>
      </c>
      <c r="L56" s="828" t="e">
        <f>#REF!</f>
        <v>#REF!</v>
      </c>
      <c r="M56" s="816" t="e">
        <f>#REF!</f>
        <v>#REF!</v>
      </c>
      <c r="N56" s="817" t="e">
        <f>#REF!</f>
        <v>#REF!</v>
      </c>
      <c r="O56" s="1430" t="e">
        <f>#REF!</f>
        <v>#REF!</v>
      </c>
      <c r="P56" s="1431"/>
      <c r="Q56" s="1431"/>
      <c r="R56" s="1432"/>
      <c r="S56" s="822" t="e">
        <f>#REF!</f>
        <v>#REF!</v>
      </c>
    </row>
    <row r="57" spans="1:24" ht="17.25" customHeight="1">
      <c r="A57" s="1189"/>
      <c r="B57" s="381" t="s">
        <v>43</v>
      </c>
      <c r="C57" s="1360" t="e">
        <f>#REF!</f>
        <v>#REF!</v>
      </c>
      <c r="D57" s="1360"/>
      <c r="E57" s="1360"/>
      <c r="F57" s="418" t="s">
        <v>775</v>
      </c>
      <c r="G57" s="660" t="e">
        <f>#REF!</f>
        <v>#REF!</v>
      </c>
      <c r="H57" s="880"/>
      <c r="I57" s="418">
        <v>2</v>
      </c>
      <c r="J57" s="660" t="e">
        <f>#REF!</f>
        <v>#REF!</v>
      </c>
      <c r="K57" s="660" t="e">
        <f>#REF!</f>
        <v>#REF!</v>
      </c>
      <c r="L57" s="660" t="e">
        <f>#REF!</f>
        <v>#REF!</v>
      </c>
      <c r="M57" s="816" t="e">
        <f>#REF!</f>
        <v>#REF!</v>
      </c>
      <c r="N57" s="817" t="e">
        <f>#REF!</f>
        <v>#REF!</v>
      </c>
      <c r="O57" s="1590" t="e">
        <f>#REF!</f>
        <v>#REF!</v>
      </c>
      <c r="P57" s="1591"/>
      <c r="Q57" s="1591"/>
      <c r="R57" s="1592"/>
      <c r="S57" s="1517" t="e">
        <f>#REF!</f>
        <v>#REF!</v>
      </c>
    </row>
    <row r="58" spans="1:24" ht="17.25" customHeight="1">
      <c r="A58" s="1127"/>
      <c r="B58" s="381" t="s">
        <v>43</v>
      </c>
      <c r="C58" s="1360" t="e">
        <f>#REF!</f>
        <v>#REF!</v>
      </c>
      <c r="D58" s="1360"/>
      <c r="E58" s="1360"/>
      <c r="F58" s="418" t="s">
        <v>775</v>
      </c>
      <c r="G58" s="660" t="e">
        <f>#REF!</f>
        <v>#REF!</v>
      </c>
      <c r="H58" s="880"/>
      <c r="I58" s="418">
        <v>1</v>
      </c>
      <c r="J58" s="660" t="e">
        <f>#REF!</f>
        <v>#REF!</v>
      </c>
      <c r="K58" s="660" t="e">
        <f>#REF!</f>
        <v>#REF!</v>
      </c>
      <c r="L58" s="660" t="e">
        <f>#REF!</f>
        <v>#REF!</v>
      </c>
      <c r="M58" s="816" t="e">
        <f>#REF!</f>
        <v>#REF!</v>
      </c>
      <c r="N58" s="817" t="e">
        <f>#REF!</f>
        <v>#REF!</v>
      </c>
      <c r="O58" s="1593" t="e">
        <f>#REF!</f>
        <v>#REF!</v>
      </c>
      <c r="P58" s="1594"/>
      <c r="Q58" s="1594"/>
      <c r="R58" s="1595"/>
      <c r="S58" s="1518"/>
    </row>
    <row r="59" spans="1:24" ht="17.25" customHeight="1">
      <c r="A59" s="1126" t="s">
        <v>416</v>
      </c>
      <c r="B59" s="84" t="s">
        <v>0</v>
      </c>
      <c r="C59" s="1427" t="s">
        <v>633</v>
      </c>
      <c r="D59" s="1427"/>
      <c r="E59" s="1427"/>
      <c r="F59" s="827"/>
      <c r="G59" s="828"/>
      <c r="H59" s="815"/>
      <c r="I59" s="827"/>
      <c r="J59" s="828"/>
      <c r="K59" s="828"/>
      <c r="L59" s="828"/>
      <c r="M59" s="816"/>
      <c r="N59" s="818"/>
      <c r="O59" s="1333"/>
      <c r="P59" s="1334"/>
      <c r="Q59" s="1334"/>
      <c r="R59" s="1335"/>
      <c r="S59" s="895"/>
    </row>
    <row r="60" spans="1:24" ht="17.25" customHeight="1">
      <c r="A60" s="1189"/>
      <c r="B60" s="381" t="s">
        <v>43</v>
      </c>
      <c r="C60" s="1360" t="s">
        <v>633</v>
      </c>
      <c r="D60" s="1360"/>
      <c r="E60" s="1360"/>
      <c r="F60" s="418"/>
      <c r="G60" s="660"/>
      <c r="H60" s="880"/>
      <c r="I60" s="418"/>
      <c r="J60" s="660"/>
      <c r="K60" s="660"/>
      <c r="L60" s="660"/>
      <c r="M60" s="816"/>
      <c r="N60" s="818"/>
      <c r="O60" s="1333"/>
      <c r="P60" s="1334"/>
      <c r="Q60" s="1334"/>
      <c r="R60" s="1335"/>
      <c r="S60" s="855"/>
    </row>
    <row r="61" spans="1:24" ht="17.25" customHeight="1">
      <c r="A61" s="1126" t="s">
        <v>635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7"/>
      <c r="O61" s="1436"/>
      <c r="P61" s="1436"/>
      <c r="Q61" s="1436"/>
      <c r="R61" s="1436"/>
      <c r="S61" s="848"/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7"/>
      <c r="O62" s="1436"/>
      <c r="P62" s="1436"/>
      <c r="Q62" s="1436"/>
      <c r="R62" s="1436"/>
      <c r="S62" s="848"/>
    </row>
    <row r="63" spans="1:24" ht="34.5" customHeight="1">
      <c r="A63" s="1126" t="s">
        <v>636</v>
      </c>
      <c r="B63" s="84" t="s">
        <v>0</v>
      </c>
      <c r="C63" s="1427" t="e">
        <f>#REF!</f>
        <v>#REF!</v>
      </c>
      <c r="D63" s="1427"/>
      <c r="E63" s="1427"/>
      <c r="F63" s="827" t="s">
        <v>1255</v>
      </c>
      <c r="G63" s="828" t="e">
        <f>#REF!</f>
        <v>#REF!</v>
      </c>
      <c r="H63" s="815"/>
      <c r="I63" s="827">
        <v>3</v>
      </c>
      <c r="J63" s="828" t="e">
        <f>#REF!</f>
        <v>#REF!</v>
      </c>
      <c r="K63" s="828" t="e">
        <f>#REF!</f>
        <v>#REF!</v>
      </c>
      <c r="L63" s="828" t="e">
        <f>#REF!</f>
        <v>#REF!</v>
      </c>
      <c r="M63" s="816" t="e">
        <f>#REF!</f>
        <v>#REF!</v>
      </c>
      <c r="N63" s="817" t="e">
        <f>#REF!</f>
        <v>#REF!</v>
      </c>
      <c r="O63" s="1436" t="e">
        <f>#REF!</f>
        <v>#REF!</v>
      </c>
      <c r="P63" s="1436"/>
      <c r="Q63" s="1436"/>
      <c r="R63" s="1436"/>
      <c r="S63" s="848" t="e">
        <f>#REF!</f>
        <v>#REF!</v>
      </c>
    </row>
    <row r="64" spans="1:24" ht="17.25" customHeight="1">
      <c r="A64" s="1127"/>
      <c r="B64" s="381" t="s">
        <v>43</v>
      </c>
      <c r="C64" s="1360" t="e">
        <f>#REF!</f>
        <v>#REF!</v>
      </c>
      <c r="D64" s="1360"/>
      <c r="E64" s="1360"/>
      <c r="F64" s="418" t="s">
        <v>1256</v>
      </c>
      <c r="G64" s="660" t="e">
        <f>#REF!</f>
        <v>#REF!</v>
      </c>
      <c r="H64" s="880"/>
      <c r="I64" s="418">
        <v>2</v>
      </c>
      <c r="J64" s="660" t="e">
        <f>#REF!</f>
        <v>#REF!</v>
      </c>
      <c r="K64" s="660" t="e">
        <f>#REF!</f>
        <v>#REF!</v>
      </c>
      <c r="L64" s="660" t="e">
        <f>#REF!</f>
        <v>#REF!</v>
      </c>
      <c r="M64" s="816" t="e">
        <f>#REF!</f>
        <v>#REF!</v>
      </c>
      <c r="N64" s="817" t="e">
        <f>#REF!</f>
        <v>#REF!</v>
      </c>
      <c r="O64" s="1436" t="e">
        <f>#REF!</f>
        <v>#REF!</v>
      </c>
      <c r="P64" s="1436"/>
      <c r="Q64" s="1436"/>
      <c r="R64" s="1436"/>
      <c r="S64" s="848" t="e">
        <f>#REF!</f>
        <v>#REF!</v>
      </c>
    </row>
    <row r="65" spans="1:79" ht="17.25" customHeight="1">
      <c r="A65" s="831"/>
      <c r="B65" s="841"/>
      <c r="C65" s="882"/>
      <c r="D65" s="883"/>
      <c r="E65" s="884"/>
      <c r="F65" s="827"/>
      <c r="G65" s="828"/>
      <c r="H65" s="815"/>
      <c r="I65" s="827"/>
      <c r="J65" s="832" t="s">
        <v>666</v>
      </c>
      <c r="K65" s="836" t="e">
        <f>SUM(K48:K64)</f>
        <v>#REF!</v>
      </c>
      <c r="L65" s="839"/>
      <c r="M65" s="816"/>
      <c r="N65" s="817"/>
      <c r="O65" s="1433"/>
      <c r="P65" s="1434"/>
      <c r="Q65" s="1434"/>
      <c r="R65" s="1435"/>
      <c r="S65" s="811"/>
    </row>
    <row r="66" spans="1:79" ht="17.25" customHeight="1">
      <c r="A66" s="1568" t="s">
        <v>25</v>
      </c>
      <c r="B66" s="84" t="s">
        <v>0</v>
      </c>
      <c r="C66" s="1427" t="s">
        <v>633</v>
      </c>
      <c r="D66" s="1427"/>
      <c r="E66" s="1427"/>
      <c r="F66" s="827"/>
      <c r="G66" s="828"/>
      <c r="H66" s="815"/>
      <c r="I66" s="827"/>
      <c r="J66" s="828"/>
      <c r="K66" s="828"/>
      <c r="L66" s="828"/>
      <c r="M66" s="659"/>
      <c r="N66" s="415"/>
      <c r="O66" s="1437"/>
      <c r="P66" s="1438"/>
      <c r="Q66" s="1438"/>
      <c r="R66" s="1439"/>
      <c r="S66" s="876"/>
    </row>
    <row r="67" spans="1:79" ht="17.25" customHeight="1">
      <c r="A67" s="1570"/>
      <c r="B67" s="381" t="s">
        <v>43</v>
      </c>
      <c r="C67" s="1360" t="s">
        <v>633</v>
      </c>
      <c r="D67" s="1360"/>
      <c r="E67" s="1360"/>
      <c r="F67" s="418"/>
      <c r="G67" s="660"/>
      <c r="H67" s="880"/>
      <c r="I67" s="418"/>
      <c r="J67" s="660"/>
      <c r="K67" s="660"/>
      <c r="L67" s="660"/>
      <c r="M67" s="659"/>
      <c r="N67" s="415"/>
      <c r="O67" s="1437"/>
      <c r="P67" s="1438"/>
      <c r="Q67" s="1438"/>
      <c r="R67" s="1439"/>
      <c r="S67" s="876"/>
    </row>
    <row r="68" spans="1:79" ht="17.25" customHeight="1">
      <c r="A68" s="1126" t="s">
        <v>62</v>
      </c>
      <c r="B68" s="84" t="s">
        <v>0</v>
      </c>
      <c r="C68" s="1427" t="s">
        <v>633</v>
      </c>
      <c r="D68" s="1427"/>
      <c r="E68" s="1427"/>
      <c r="F68" s="827"/>
      <c r="G68" s="828"/>
      <c r="H68" s="815"/>
      <c r="I68" s="827"/>
      <c r="J68" s="828"/>
      <c r="K68" s="828"/>
      <c r="L68" s="828"/>
      <c r="M68" s="659"/>
      <c r="N68" s="415"/>
      <c r="O68" s="1549"/>
      <c r="P68" s="1550"/>
      <c r="Q68" s="1550"/>
      <c r="R68" s="1551"/>
      <c r="S68" s="893"/>
      <c r="T68" s="793"/>
      <c r="U68" s="793"/>
      <c r="V68" s="793"/>
      <c r="W68" s="793"/>
      <c r="X68" s="793"/>
      <c r="Y68" s="793"/>
      <c r="Z68" s="793"/>
      <c r="AA68" s="793"/>
      <c r="AB68" s="793"/>
      <c r="AC68" s="793"/>
      <c r="AD68" s="793"/>
      <c r="AE68" s="793"/>
      <c r="AF68" s="793"/>
      <c r="AG68" s="793"/>
      <c r="AH68" s="793"/>
      <c r="AI68" s="793"/>
      <c r="AJ68" s="793"/>
      <c r="AK68" s="793"/>
      <c r="AL68" s="793"/>
      <c r="AM68" s="793"/>
      <c r="AN68" s="793"/>
      <c r="AO68" s="793"/>
      <c r="AP68" s="793"/>
      <c r="AQ68" s="793"/>
      <c r="AR68" s="793"/>
      <c r="AS68" s="793"/>
      <c r="AT68" s="793"/>
      <c r="AU68" s="793"/>
      <c r="AV68" s="793"/>
      <c r="AW68" s="793"/>
      <c r="AX68" s="793"/>
      <c r="AY68" s="793"/>
      <c r="AZ68" s="793"/>
      <c r="BA68" s="793"/>
      <c r="BB68" s="793"/>
      <c r="BC68" s="793"/>
      <c r="BD68" s="793"/>
      <c r="BE68" s="793"/>
      <c r="BF68" s="793"/>
      <c r="BG68" s="793"/>
      <c r="BH68" s="793"/>
      <c r="BI68" s="793"/>
      <c r="BJ68" s="793"/>
      <c r="BK68" s="793"/>
      <c r="BL68" s="793"/>
      <c r="BM68" s="793"/>
      <c r="BN68" s="793"/>
      <c r="BO68" s="793"/>
      <c r="BP68" s="793"/>
      <c r="BQ68" s="793"/>
      <c r="BR68" s="793"/>
      <c r="BS68" s="793"/>
      <c r="BT68" s="793"/>
      <c r="BU68" s="793"/>
      <c r="BV68" s="793"/>
      <c r="BW68" s="793"/>
      <c r="BX68" s="793"/>
      <c r="BY68" s="793"/>
      <c r="BZ68" s="793"/>
      <c r="CA68" s="793"/>
    </row>
    <row r="69" spans="1:79" ht="17.25" customHeight="1">
      <c r="A69" s="1189"/>
      <c r="B69" s="381" t="s">
        <v>43</v>
      </c>
      <c r="C69" s="1360" t="s">
        <v>633</v>
      </c>
      <c r="D69" s="1360"/>
      <c r="E69" s="1360"/>
      <c r="F69" s="418"/>
      <c r="G69" s="660"/>
      <c r="H69" s="880"/>
      <c r="I69" s="418"/>
      <c r="J69" s="660"/>
      <c r="K69" s="660"/>
      <c r="L69" s="660"/>
      <c r="M69" s="659"/>
      <c r="N69" s="415"/>
      <c r="O69" s="1549"/>
      <c r="P69" s="1550"/>
      <c r="Q69" s="1550"/>
      <c r="R69" s="1551"/>
      <c r="S69" s="893"/>
      <c r="T69" s="793"/>
      <c r="U69" s="793"/>
      <c r="V69" s="793"/>
      <c r="W69" s="793"/>
      <c r="X69" s="793"/>
      <c r="Y69" s="793"/>
      <c r="Z69" s="793"/>
      <c r="AA69" s="793"/>
      <c r="AB69" s="793"/>
      <c r="AC69" s="793"/>
      <c r="AD69" s="793"/>
      <c r="AE69" s="793"/>
      <c r="AF69" s="793"/>
      <c r="AG69" s="793"/>
      <c r="AH69" s="793"/>
      <c r="AI69" s="793"/>
      <c r="AJ69" s="793"/>
      <c r="AK69" s="793"/>
      <c r="AL69" s="793"/>
      <c r="AM69" s="793"/>
      <c r="AN69" s="793"/>
      <c r="AO69" s="793"/>
      <c r="AP69" s="793"/>
      <c r="AQ69" s="793"/>
      <c r="AR69" s="793"/>
      <c r="AS69" s="793"/>
      <c r="AT69" s="793"/>
      <c r="AU69" s="793"/>
      <c r="AV69" s="793"/>
      <c r="AW69" s="793"/>
      <c r="AX69" s="793"/>
      <c r="AY69" s="793"/>
      <c r="AZ69" s="793"/>
      <c r="BA69" s="793"/>
      <c r="BB69" s="793"/>
      <c r="BC69" s="793"/>
      <c r="BD69" s="793"/>
      <c r="BE69" s="793"/>
      <c r="BF69" s="793"/>
      <c r="BG69" s="793"/>
      <c r="BH69" s="793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</row>
    <row r="70" spans="1:79" ht="34.5" customHeight="1">
      <c r="A70" s="1126" t="s">
        <v>640</v>
      </c>
      <c r="B70" s="84" t="s">
        <v>0</v>
      </c>
      <c r="C70" s="1427" t="e">
        <f>#REF!</f>
        <v>#REF!</v>
      </c>
      <c r="D70" s="1427"/>
      <c r="E70" s="1427"/>
      <c r="F70" s="827" t="s">
        <v>799</v>
      </c>
      <c r="G70" s="828" t="e">
        <f>#REF!</f>
        <v>#REF!</v>
      </c>
      <c r="H70" s="815"/>
      <c r="I70" s="827">
        <v>1</v>
      </c>
      <c r="J70" s="828" t="e">
        <f>#REF!</f>
        <v>#REF!</v>
      </c>
      <c r="K70" s="828" t="e">
        <f>#REF!</f>
        <v>#REF!</v>
      </c>
      <c r="L70" s="828" t="e">
        <f>#REF!</f>
        <v>#REF!</v>
      </c>
      <c r="M70" s="659" t="e">
        <f>#REF!</f>
        <v>#REF!</v>
      </c>
      <c r="N70" s="658" t="e">
        <f>#REF!</f>
        <v>#REF!</v>
      </c>
      <c r="O70" s="1554" t="e">
        <f>#REF!</f>
        <v>#REF!</v>
      </c>
      <c r="P70" s="1555"/>
      <c r="Q70" s="1555"/>
      <c r="R70" s="1556"/>
      <c r="S70" s="1552" t="e">
        <f>#REF!</f>
        <v>#REF!</v>
      </c>
    </row>
    <row r="71" spans="1:79" ht="17.25" customHeight="1">
      <c r="A71" s="1189"/>
      <c r="B71" s="84" t="s">
        <v>0</v>
      </c>
      <c r="C71" s="1427" t="e">
        <f>#REF!</f>
        <v>#REF!</v>
      </c>
      <c r="D71" s="1427"/>
      <c r="E71" s="1427"/>
      <c r="F71" s="827" t="s">
        <v>1257</v>
      </c>
      <c r="G71" s="828" t="e">
        <f>#REF!</f>
        <v>#REF!</v>
      </c>
      <c r="H71" s="815"/>
      <c r="I71" s="827">
        <v>2</v>
      </c>
      <c r="J71" s="828" t="e">
        <f>#REF!</f>
        <v>#REF!</v>
      </c>
      <c r="K71" s="828" t="e">
        <f>#REF!</f>
        <v>#REF!</v>
      </c>
      <c r="L71" s="828" t="e">
        <f>#REF!</f>
        <v>#REF!</v>
      </c>
      <c r="M71" s="659" t="e">
        <f>#REF!</f>
        <v>#REF!</v>
      </c>
      <c r="N71" s="658" t="e">
        <f>#REF!</f>
        <v>#REF!</v>
      </c>
      <c r="O71" s="1549" t="e">
        <f>#REF!</f>
        <v>#REF!</v>
      </c>
      <c r="P71" s="1550"/>
      <c r="Q71" s="1550"/>
      <c r="R71" s="1551"/>
      <c r="S71" s="1553"/>
    </row>
    <row r="72" spans="1:79" ht="17.25" customHeight="1">
      <c r="A72" s="1127"/>
      <c r="B72" s="881" t="s">
        <v>43</v>
      </c>
      <c r="C72" s="1360" t="e">
        <f>#REF!</f>
        <v>#REF!</v>
      </c>
      <c r="D72" s="1360"/>
      <c r="E72" s="1360"/>
      <c r="F72" s="418" t="s">
        <v>1258</v>
      </c>
      <c r="G72" s="660" t="e">
        <f>#REF!</f>
        <v>#REF!</v>
      </c>
      <c r="H72" s="880"/>
      <c r="I72" s="418">
        <v>4</v>
      </c>
      <c r="J72" s="660" t="e">
        <f>#REF!</f>
        <v>#REF!</v>
      </c>
      <c r="K72" s="660" t="e">
        <f>#REF!</f>
        <v>#REF!</v>
      </c>
      <c r="L72" s="660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17.25" customHeight="1">
      <c r="A73" s="1440" t="s">
        <v>26</v>
      </c>
      <c r="B73" s="84" t="s">
        <v>0</v>
      </c>
      <c r="C73" s="1427" t="s">
        <v>633</v>
      </c>
      <c r="D73" s="1427"/>
      <c r="E73" s="1427"/>
      <c r="F73" s="827"/>
      <c r="G73" s="828"/>
      <c r="H73" s="815"/>
      <c r="I73" s="827"/>
      <c r="J73" s="828"/>
      <c r="K73" s="828"/>
      <c r="L73" s="828"/>
      <c r="M73" s="842"/>
      <c r="N73" s="415"/>
      <c r="O73" s="1442"/>
      <c r="P73" s="1443"/>
      <c r="Q73" s="1443"/>
      <c r="R73" s="1444"/>
      <c r="S73" s="822"/>
      <c r="T73" s="793"/>
      <c r="U73" s="793"/>
      <c r="V73" s="793"/>
      <c r="W73" s="793"/>
      <c r="X73" s="793"/>
      <c r="Y73" s="793"/>
      <c r="Z73" s="793"/>
      <c r="AA73" s="793"/>
      <c r="AB73" s="793"/>
      <c r="AC73" s="793"/>
      <c r="AD73" s="793"/>
      <c r="AE73" s="793"/>
      <c r="AF73" s="793"/>
      <c r="AG73" s="793"/>
      <c r="AH73" s="793"/>
      <c r="AI73" s="793"/>
      <c r="AJ73" s="793"/>
      <c r="AK73" s="793"/>
      <c r="AL73" s="793"/>
      <c r="AM73" s="793"/>
      <c r="AN73" s="793"/>
      <c r="AO73" s="793"/>
      <c r="AP73" s="793"/>
      <c r="AQ73" s="793"/>
      <c r="AR73" s="793"/>
      <c r="AS73" s="793"/>
      <c r="AT73" s="793"/>
      <c r="AU73" s="793"/>
      <c r="AV73" s="793"/>
      <c r="AW73" s="793"/>
      <c r="AX73" s="793"/>
      <c r="AY73" s="793"/>
      <c r="AZ73" s="793"/>
      <c r="BA73" s="793"/>
      <c r="BB73" s="793"/>
      <c r="BC73" s="793"/>
      <c r="BD73" s="793"/>
      <c r="BE73" s="793"/>
      <c r="BF73" s="793"/>
      <c r="BG73" s="793"/>
      <c r="BH73" s="793"/>
      <c r="BI73" s="793"/>
      <c r="BJ73" s="793"/>
      <c r="BK73" s="793"/>
      <c r="BL73" s="793"/>
      <c r="BM73" s="793"/>
      <c r="BN73" s="793"/>
      <c r="BO73" s="793"/>
      <c r="BP73" s="793"/>
      <c r="BQ73" s="793"/>
      <c r="BR73" s="793"/>
      <c r="BS73" s="793"/>
      <c r="BT73" s="793"/>
      <c r="BU73" s="793"/>
      <c r="BV73" s="793"/>
      <c r="BW73" s="793"/>
      <c r="BX73" s="793"/>
      <c r="BY73" s="793"/>
      <c r="BZ73" s="793"/>
      <c r="CA73" s="793"/>
    </row>
    <row r="74" spans="1:79" ht="17.25" customHeight="1">
      <c r="A74" s="1547"/>
      <c r="B74" s="881" t="s">
        <v>43</v>
      </c>
      <c r="C74" s="1360" t="e">
        <f>#REF!</f>
        <v>#REF!</v>
      </c>
      <c r="D74" s="1360"/>
      <c r="E74" s="1360"/>
      <c r="F74" s="418" t="s">
        <v>732</v>
      </c>
      <c r="G74" s="660" t="e">
        <f>#REF!</f>
        <v>#REF!</v>
      </c>
      <c r="H74" s="880"/>
      <c r="I74" s="418">
        <v>2</v>
      </c>
      <c r="J74" s="660" t="e">
        <f>#REF!</f>
        <v>#REF!</v>
      </c>
      <c r="K74" s="660" t="e">
        <f>#REF!</f>
        <v>#REF!</v>
      </c>
      <c r="L74" s="660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17.25" customHeight="1">
      <c r="A75" s="1440" t="s">
        <v>27</v>
      </c>
      <c r="B75" s="841" t="s">
        <v>0</v>
      </c>
      <c r="C75" s="1427" t="s">
        <v>633</v>
      </c>
      <c r="D75" s="1427"/>
      <c r="E75" s="1427"/>
      <c r="F75" s="827"/>
      <c r="G75" s="828"/>
      <c r="H75" s="815"/>
      <c r="I75" s="827"/>
      <c r="J75" s="828"/>
      <c r="K75" s="828"/>
      <c r="L75" s="828"/>
      <c r="M75" s="842"/>
      <c r="N75" s="415"/>
      <c r="O75" s="1442"/>
      <c r="P75" s="1443"/>
      <c r="Q75" s="1443"/>
      <c r="R75" s="1444"/>
      <c r="S75" s="822"/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547"/>
      <c r="B76" s="881" t="s">
        <v>43</v>
      </c>
      <c r="C76" s="1360" t="s">
        <v>633</v>
      </c>
      <c r="D76" s="1360"/>
      <c r="E76" s="1360"/>
      <c r="F76" s="418"/>
      <c r="G76" s="660"/>
      <c r="H76" s="880"/>
      <c r="I76" s="418"/>
      <c r="J76" s="660"/>
      <c r="K76" s="660"/>
      <c r="L76" s="660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440" t="s">
        <v>641</v>
      </c>
      <c r="B77" s="84" t="s">
        <v>0</v>
      </c>
      <c r="C77" s="1427" t="s">
        <v>633</v>
      </c>
      <c r="D77" s="1427"/>
      <c r="E77" s="1427"/>
      <c r="F77" s="827"/>
      <c r="G77" s="828"/>
      <c r="H77" s="815"/>
      <c r="I77" s="827"/>
      <c r="J77" s="828"/>
      <c r="K77" s="828"/>
      <c r="L77" s="828"/>
      <c r="M77" s="659"/>
      <c r="N77" s="415"/>
      <c r="O77" s="1437"/>
      <c r="P77" s="1438"/>
      <c r="Q77" s="1438"/>
      <c r="R77" s="1439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547"/>
      <c r="B78" s="881" t="s">
        <v>43</v>
      </c>
      <c r="C78" s="1360" t="s">
        <v>633</v>
      </c>
      <c r="D78" s="1360"/>
      <c r="E78" s="1360"/>
      <c r="F78" s="418"/>
      <c r="G78" s="660"/>
      <c r="H78" s="880"/>
      <c r="I78" s="418"/>
      <c r="J78" s="660"/>
      <c r="K78" s="660"/>
      <c r="L78" s="660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126" t="s">
        <v>642</v>
      </c>
      <c r="B79" s="84" t="s">
        <v>0</v>
      </c>
      <c r="C79" s="1427" t="e">
        <f>#REF!</f>
        <v>#REF!</v>
      </c>
      <c r="D79" s="1427"/>
      <c r="E79" s="1427"/>
      <c r="F79" s="827" t="s">
        <v>1240</v>
      </c>
      <c r="G79" s="828" t="e">
        <f>#REF!</f>
        <v>#REF!</v>
      </c>
      <c r="H79" s="815"/>
      <c r="I79" s="827">
        <v>8</v>
      </c>
      <c r="J79" s="828" t="e">
        <f>#REF!</f>
        <v>#REF!</v>
      </c>
      <c r="K79" s="828" t="e">
        <f>#REF!</f>
        <v>#REF!</v>
      </c>
      <c r="L79" s="828" t="e">
        <f>#REF!</f>
        <v>#REF!</v>
      </c>
      <c r="M79" s="816" t="e">
        <f>#REF!</f>
        <v>#REF!</v>
      </c>
      <c r="N79" s="415" t="e">
        <f>#REF!</f>
        <v>#REF!</v>
      </c>
      <c r="O79" s="1437"/>
      <c r="P79" s="1438"/>
      <c r="Q79" s="1438"/>
      <c r="R79" s="1439"/>
      <c r="S79" s="823" t="e">
        <f>#REF!</f>
        <v>#REF!</v>
      </c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17.25" customHeight="1">
      <c r="A80" s="1189"/>
      <c r="B80" s="881" t="s">
        <v>43</v>
      </c>
      <c r="C80" s="1360" t="e">
        <f>#REF!</f>
        <v>#REF!</v>
      </c>
      <c r="D80" s="1360"/>
      <c r="E80" s="1360"/>
      <c r="F80" s="418" t="s">
        <v>1240</v>
      </c>
      <c r="G80" s="660" t="e">
        <f>#REF!</f>
        <v>#REF!</v>
      </c>
      <c r="H80" s="880"/>
      <c r="I80" s="418">
        <v>9</v>
      </c>
      <c r="J80" s="660" t="e">
        <f>#REF!</f>
        <v>#REF!</v>
      </c>
      <c r="K80" s="660" t="e">
        <f>#REF!</f>
        <v>#REF!</v>
      </c>
      <c r="L80" s="660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26" t="s">
        <v>643</v>
      </c>
      <c r="B81" s="84" t="s">
        <v>0</v>
      </c>
      <c r="C81" s="1427" t="s">
        <v>633</v>
      </c>
      <c r="D81" s="1427"/>
      <c r="E81" s="1427"/>
      <c r="F81" s="827"/>
      <c r="G81" s="828"/>
      <c r="H81" s="815"/>
      <c r="I81" s="827"/>
      <c r="J81" s="828"/>
      <c r="K81" s="828"/>
      <c r="L81" s="828"/>
      <c r="M81" s="659"/>
      <c r="N81" s="415"/>
      <c r="O81" s="1554"/>
      <c r="P81" s="1555"/>
      <c r="Q81" s="1555"/>
      <c r="R81" s="1556"/>
      <c r="S81" s="877"/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17.25" customHeight="1">
      <c r="A82" s="1127"/>
      <c r="B82" s="881" t="s">
        <v>43</v>
      </c>
      <c r="C82" s="1360" t="s">
        <v>633</v>
      </c>
      <c r="D82" s="1360"/>
      <c r="E82" s="1360"/>
      <c r="F82" s="418"/>
      <c r="G82" s="660"/>
      <c r="H82" s="880"/>
      <c r="I82" s="418"/>
      <c r="J82" s="660"/>
      <c r="K82" s="660"/>
      <c r="L82" s="660"/>
      <c r="M82" s="659"/>
      <c r="N82" s="415"/>
      <c r="O82" s="1554"/>
      <c r="P82" s="1555"/>
      <c r="Q82" s="1555"/>
      <c r="R82" s="1556"/>
      <c r="S82" s="877"/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26" t="s">
        <v>651</v>
      </c>
      <c r="B83" s="84" t="s">
        <v>0</v>
      </c>
      <c r="C83" s="1427" t="s">
        <v>633</v>
      </c>
      <c r="D83" s="1427"/>
      <c r="E83" s="1427"/>
      <c r="F83" s="827"/>
      <c r="G83" s="828"/>
      <c r="H83" s="815"/>
      <c r="I83" s="827"/>
      <c r="J83" s="828"/>
      <c r="K83" s="828"/>
      <c r="L83" s="828"/>
      <c r="M83" s="659"/>
      <c r="N83" s="415"/>
      <c r="O83" s="1437"/>
      <c r="P83" s="1438"/>
      <c r="Q83" s="1438"/>
      <c r="R83" s="1439"/>
      <c r="S83" s="823"/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7"/>
      <c r="B84" s="881" t="s">
        <v>43</v>
      </c>
      <c r="C84" s="1360" t="e">
        <f>#REF!</f>
        <v>#REF!</v>
      </c>
      <c r="D84" s="1360"/>
      <c r="E84" s="1360"/>
      <c r="F84" s="418" t="s">
        <v>828</v>
      </c>
      <c r="G84" s="660" t="e">
        <f>#REF!</f>
        <v>#REF!</v>
      </c>
      <c r="H84" s="880"/>
      <c r="I84" s="418">
        <v>11</v>
      </c>
      <c r="J84" s="660" t="e">
        <f>#REF!</f>
        <v>#REF!</v>
      </c>
      <c r="K84" s="660" t="e">
        <f>#REF!</f>
        <v>#REF!</v>
      </c>
      <c r="L84" s="660" t="e">
        <f>#REF!</f>
        <v>#REF!</v>
      </c>
      <c r="M84" s="659" t="e">
        <f>#REF!</f>
        <v>#REF!</v>
      </c>
      <c r="N84" s="415" t="e">
        <f>#REF!</f>
        <v>#REF!</v>
      </c>
      <c r="O84" s="1437" t="e">
        <f>#REF!</f>
        <v>#REF!</v>
      </c>
      <c r="P84" s="1438"/>
      <c r="Q84" s="1438"/>
      <c r="R84" s="1439"/>
      <c r="S84" s="823" t="e">
        <f>#REF!</f>
        <v>#REF!</v>
      </c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837"/>
      <c r="B85" s="841"/>
      <c r="C85" s="882"/>
      <c r="D85" s="883"/>
      <c r="E85" s="883"/>
      <c r="F85" s="845"/>
      <c r="G85" s="846"/>
      <c r="H85" s="815"/>
      <c r="I85" s="827"/>
      <c r="J85" s="834" t="s">
        <v>666</v>
      </c>
      <c r="K85" s="847" t="e">
        <f>SUM(K66:K84)</f>
        <v>#REF!</v>
      </c>
      <c r="L85" s="829"/>
      <c r="M85" s="659"/>
      <c r="N85" s="415"/>
      <c r="O85" s="1437"/>
      <c r="P85" s="1438"/>
      <c r="Q85" s="1438"/>
      <c r="R85" s="1439"/>
      <c r="S85" s="862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s="76" customFormat="1" ht="39" customHeight="1">
      <c r="A86" s="400" t="s">
        <v>63</v>
      </c>
      <c r="B86" s="400" t="s">
        <v>193</v>
      </c>
      <c r="C86" s="1445" t="s">
        <v>11</v>
      </c>
      <c r="D86" s="1446"/>
      <c r="E86" s="1446"/>
      <c r="F86" s="1446"/>
      <c r="G86" s="1447"/>
      <c r="H86" s="242" t="s">
        <v>216</v>
      </c>
      <c r="I86" s="242" t="s">
        <v>12</v>
      </c>
      <c r="J86" s="242" t="s">
        <v>13</v>
      </c>
      <c r="K86" s="405" t="s">
        <v>218</v>
      </c>
      <c r="L86" s="416" t="s">
        <v>60</v>
      </c>
      <c r="M86" s="257" t="s">
        <v>28</v>
      </c>
      <c r="N86" s="257" t="s">
        <v>45</v>
      </c>
      <c r="O86" s="1448" t="s">
        <v>29</v>
      </c>
      <c r="P86" s="1449"/>
      <c r="Q86" s="1449"/>
      <c r="R86" s="1450"/>
      <c r="S86" s="417" t="s">
        <v>57</v>
      </c>
    </row>
    <row r="87" spans="1:79" ht="18" customHeight="1">
      <c r="A87" s="1199">
        <v>401</v>
      </c>
      <c r="B87" s="84" t="s">
        <v>0</v>
      </c>
      <c r="C87" s="1290">
        <f>印401!I56</f>
        <v>0</v>
      </c>
      <c r="D87" s="1290"/>
      <c r="E87" s="1290"/>
      <c r="F87" s="1290"/>
      <c r="G87" s="1290"/>
      <c r="H87" s="849"/>
      <c r="I87" s="849">
        <f>印401!R56</f>
        <v>0</v>
      </c>
      <c r="J87" s="852">
        <f>印401!S56</f>
        <v>0</v>
      </c>
      <c r="K87" s="872">
        <f>印401!L56</f>
        <v>0</v>
      </c>
      <c r="L87" s="873">
        <f>印401!N56</f>
        <v>0</v>
      </c>
      <c r="M87" s="852">
        <f>印401!P56</f>
        <v>0</v>
      </c>
      <c r="N87" s="853">
        <f>印401!Q56</f>
        <v>0</v>
      </c>
      <c r="O87" s="1451"/>
      <c r="P87" s="1452"/>
      <c r="Q87" s="1452"/>
      <c r="R87" s="1453"/>
      <c r="S87" s="874">
        <f>印401!AB56</f>
        <v>0</v>
      </c>
    </row>
    <row r="88" spans="1:79" ht="18" customHeight="1">
      <c r="A88" s="1165"/>
      <c r="B88" s="881" t="s">
        <v>43</v>
      </c>
      <c r="C88" s="1454" t="s">
        <v>633</v>
      </c>
      <c r="D88" s="1454"/>
      <c r="E88" s="1454"/>
      <c r="F88" s="1454"/>
      <c r="G88" s="1454"/>
      <c r="H88" s="664"/>
      <c r="I88" s="664"/>
      <c r="J88" s="840"/>
      <c r="K88" s="424"/>
      <c r="L88" s="830"/>
      <c r="M88" s="840"/>
      <c r="N88" s="672"/>
      <c r="O88" s="1455"/>
      <c r="P88" s="1456"/>
      <c r="Q88" s="1456"/>
      <c r="R88" s="1457"/>
      <c r="S88" s="810"/>
    </row>
    <row r="89" spans="1:79" ht="18" customHeight="1">
      <c r="A89" s="1461">
        <v>402</v>
      </c>
      <c r="B89" s="84" t="s">
        <v>205</v>
      </c>
      <c r="C89" s="1290" t="e">
        <f>#REF!</f>
        <v>#REF!</v>
      </c>
      <c r="D89" s="1290"/>
      <c r="E89" s="1290"/>
      <c r="F89" s="1290"/>
      <c r="G89" s="1290"/>
      <c r="H89" s="849"/>
      <c r="I89" s="849" t="e">
        <f>#REF!</f>
        <v>#REF!</v>
      </c>
      <c r="J89" s="852" t="e">
        <f>#REF!</f>
        <v>#REF!</v>
      </c>
      <c r="K89" s="872" t="e">
        <f>#REF!</f>
        <v>#REF!</v>
      </c>
      <c r="L89" s="873" t="e">
        <f>#REF!</f>
        <v>#REF!</v>
      </c>
      <c r="M89" s="852" t="e">
        <f>#REF!</f>
        <v>#REF!</v>
      </c>
      <c r="N89" s="853" t="e">
        <f>#REF!</f>
        <v>#REF!</v>
      </c>
      <c r="O89" s="1451"/>
      <c r="P89" s="1452"/>
      <c r="Q89" s="1452"/>
      <c r="R89" s="1453"/>
      <c r="S89" s="874" t="e">
        <f>#REF!</f>
        <v>#REF!</v>
      </c>
    </row>
    <row r="90" spans="1:79" ht="18" customHeight="1">
      <c r="A90" s="1571"/>
      <c r="B90" s="84" t="s">
        <v>205</v>
      </c>
      <c r="C90" s="1290" t="e">
        <f>#REF!</f>
        <v>#REF!</v>
      </c>
      <c r="D90" s="1290"/>
      <c r="E90" s="1290"/>
      <c r="F90" s="1290"/>
      <c r="G90" s="1290"/>
      <c r="H90" s="849"/>
      <c r="I90" s="849" t="e">
        <f>#REF!</f>
        <v>#REF!</v>
      </c>
      <c r="J90" s="852" t="e">
        <f>#REF!</f>
        <v>#REF!</v>
      </c>
      <c r="K90" s="872" t="e">
        <f>#REF!</f>
        <v>#REF!</v>
      </c>
      <c r="L90" s="873" t="e">
        <f>#REF!</f>
        <v>#REF!</v>
      </c>
      <c r="M90" s="852" t="e">
        <f>#REF!</f>
        <v>#REF!</v>
      </c>
      <c r="N90" s="853" t="e">
        <f>#REF!</f>
        <v>#REF!</v>
      </c>
      <c r="O90" s="1451"/>
      <c r="P90" s="1452"/>
      <c r="Q90" s="1452"/>
      <c r="R90" s="1453"/>
      <c r="S90" s="874" t="e">
        <f>#REF!</f>
        <v>#REF!</v>
      </c>
    </row>
    <row r="91" spans="1:79" ht="18" customHeight="1">
      <c r="A91" s="1462"/>
      <c r="B91" s="881" t="s">
        <v>43</v>
      </c>
      <c r="C91" s="1454" t="s">
        <v>633</v>
      </c>
      <c r="D91" s="1454"/>
      <c r="E91" s="1454"/>
      <c r="F91" s="1454"/>
      <c r="G91" s="1454"/>
      <c r="H91" s="664"/>
      <c r="I91" s="664"/>
      <c r="J91" s="840"/>
      <c r="K91" s="424"/>
      <c r="L91" s="830"/>
      <c r="M91" s="840"/>
      <c r="N91" s="672"/>
      <c r="O91" s="1455"/>
      <c r="P91" s="1456"/>
      <c r="Q91" s="1456"/>
      <c r="R91" s="1457"/>
      <c r="S91" s="810"/>
    </row>
    <row r="92" spans="1:79" ht="17.25" customHeight="1">
      <c r="A92" s="1466">
        <v>403</v>
      </c>
      <c r="B92" s="244" t="s">
        <v>0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52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7.25" customHeight="1">
      <c r="A93" s="1533"/>
      <c r="B93" s="244" t="s">
        <v>0</v>
      </c>
      <c r="C93" s="1290" t="e">
        <f>#REF!</f>
        <v>#REF!</v>
      </c>
      <c r="D93" s="1290"/>
      <c r="E93" s="1290"/>
      <c r="F93" s="1290"/>
      <c r="G93" s="1290"/>
      <c r="H93" s="849"/>
      <c r="I93" s="849" t="e">
        <f>#REF!</f>
        <v>#REF!</v>
      </c>
      <c r="J93" s="852" t="e">
        <f>#REF!</f>
        <v>#REF!</v>
      </c>
      <c r="K93" s="872" t="e">
        <f>#REF!</f>
        <v>#REF!</v>
      </c>
      <c r="L93" s="852" t="e">
        <f>#REF!</f>
        <v>#REF!</v>
      </c>
      <c r="M93" s="852" t="e">
        <f>#REF!</f>
        <v>#REF!</v>
      </c>
      <c r="N93" s="853" t="e">
        <f>#REF!</f>
        <v>#REF!</v>
      </c>
      <c r="O93" s="1451"/>
      <c r="P93" s="1452"/>
      <c r="Q93" s="1452"/>
      <c r="R93" s="1453"/>
      <c r="S93" s="874" t="e">
        <f>#REF!</f>
        <v>#REF!</v>
      </c>
    </row>
    <row r="94" spans="1:79" ht="17.25" customHeight="1">
      <c r="A94" s="1533"/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467"/>
      <c r="B95" s="881" t="s">
        <v>43</v>
      </c>
      <c r="C95" s="1454" t="e">
        <f>#REF!</f>
        <v>#REF!</v>
      </c>
      <c r="D95" s="1454"/>
      <c r="E95" s="1454"/>
      <c r="F95" s="1454"/>
      <c r="G95" s="1454"/>
      <c r="H95" s="664"/>
      <c r="I95" s="664" t="e">
        <f>#REF!</f>
        <v>#REF!</v>
      </c>
      <c r="J95" s="840" t="e">
        <f>#REF!</f>
        <v>#REF!</v>
      </c>
      <c r="K95" s="424" t="e">
        <f>#REF!</f>
        <v>#REF!</v>
      </c>
      <c r="L95" s="840" t="e">
        <f>#REF!</f>
        <v>#REF!</v>
      </c>
      <c r="M95" s="840" t="e">
        <f>#REF!</f>
        <v>#REF!</v>
      </c>
      <c r="N95" s="672" t="e">
        <f>#REF!</f>
        <v>#REF!</v>
      </c>
      <c r="O95" s="1455"/>
      <c r="P95" s="1456"/>
      <c r="Q95" s="1456"/>
      <c r="R95" s="1457"/>
      <c r="S95" s="810" t="e">
        <f>#REF!</f>
        <v>#REF!</v>
      </c>
    </row>
    <row r="96" spans="1:79" ht="18" customHeight="1">
      <c r="A96" s="1199">
        <v>405</v>
      </c>
      <c r="B96" s="8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8" customHeight="1">
      <c r="A97" s="1216"/>
      <c r="B97" s="84" t="s">
        <v>0</v>
      </c>
      <c r="C97" s="1290" t="e">
        <f>#REF!</f>
        <v>#REF!</v>
      </c>
      <c r="D97" s="1290"/>
      <c r="E97" s="1290"/>
      <c r="F97" s="1290"/>
      <c r="G97" s="1290"/>
      <c r="H97" s="849"/>
      <c r="I97" s="849" t="e">
        <f>#REF!</f>
        <v>#REF!</v>
      </c>
      <c r="J97" s="852" t="e">
        <f>#REF!</f>
        <v>#REF!</v>
      </c>
      <c r="K97" s="872" t="e">
        <f>#REF!</f>
        <v>#REF!</v>
      </c>
      <c r="L97" s="852" t="e">
        <f>#REF!</f>
        <v>#REF!</v>
      </c>
      <c r="M97" s="852" t="e">
        <f>#REF!</f>
        <v>#REF!</v>
      </c>
      <c r="N97" s="853" t="e">
        <f>#REF!</f>
        <v>#REF!</v>
      </c>
      <c r="O97" s="1451"/>
      <c r="P97" s="1452"/>
      <c r="Q97" s="1452"/>
      <c r="R97" s="1453"/>
      <c r="S97" s="874" t="e">
        <f>#REF!</f>
        <v>#REF!</v>
      </c>
    </row>
    <row r="98" spans="1:19" ht="18" customHeight="1">
      <c r="A98" s="1216"/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216"/>
      <c r="B99" s="84" t="s">
        <v>0</v>
      </c>
      <c r="C99" s="1290" t="e">
        <f>#REF!</f>
        <v>#REF!</v>
      </c>
      <c r="D99" s="1290"/>
      <c r="E99" s="1290"/>
      <c r="F99" s="1290"/>
      <c r="G99" s="1290"/>
      <c r="H99" s="849"/>
      <c r="I99" s="849" t="e">
        <f>#REF!</f>
        <v>#REF!</v>
      </c>
      <c r="J99" s="852" t="e">
        <f>#REF!</f>
        <v>#REF!</v>
      </c>
      <c r="K99" s="872" t="e">
        <f>#REF!</f>
        <v>#REF!</v>
      </c>
      <c r="L99" s="852" t="e">
        <f>#REF!</f>
        <v>#REF!</v>
      </c>
      <c r="M99" s="852" t="e">
        <f>#REF!</f>
        <v>#REF!</v>
      </c>
      <c r="N99" s="853" t="e">
        <f>#REF!</f>
        <v>#REF!</v>
      </c>
      <c r="O99" s="1451"/>
      <c r="P99" s="1452"/>
      <c r="Q99" s="1452"/>
      <c r="R99" s="1453"/>
      <c r="S99" s="874" t="e">
        <f>#REF!</f>
        <v>#REF!</v>
      </c>
    </row>
    <row r="100" spans="1:19" ht="18" customHeight="1">
      <c r="A100" s="1216"/>
      <c r="B100" s="84" t="s">
        <v>0</v>
      </c>
      <c r="C100" s="1290" t="e">
        <f>#REF!</f>
        <v>#REF!</v>
      </c>
      <c r="D100" s="1290"/>
      <c r="E100" s="1290"/>
      <c r="F100" s="1290"/>
      <c r="G100" s="1290"/>
      <c r="H100" s="849"/>
      <c r="I100" s="849" t="e">
        <f>#REF!</f>
        <v>#REF!</v>
      </c>
      <c r="J100" s="852" t="e">
        <f>#REF!</f>
        <v>#REF!</v>
      </c>
      <c r="K100" s="872" t="e">
        <f>#REF!</f>
        <v>#REF!</v>
      </c>
      <c r="L100" s="852" t="e">
        <f>#REF!</f>
        <v>#REF!</v>
      </c>
      <c r="M100" s="852" t="e">
        <f>#REF!</f>
        <v>#REF!</v>
      </c>
      <c r="N100" s="853" t="e">
        <f>#REF!</f>
        <v>#REF!</v>
      </c>
      <c r="O100" s="1451"/>
      <c r="P100" s="1452"/>
      <c r="Q100" s="1452"/>
      <c r="R100" s="1453"/>
      <c r="S100" s="874" t="e">
        <f>#REF!</f>
        <v>#REF!</v>
      </c>
    </row>
    <row r="101" spans="1:19" ht="18" customHeight="1">
      <c r="A101" s="1165"/>
      <c r="B101" s="881" t="s">
        <v>43</v>
      </c>
      <c r="C101" s="1454" t="s">
        <v>633</v>
      </c>
      <c r="D101" s="1454"/>
      <c r="E101" s="1454"/>
      <c r="F101" s="1454"/>
      <c r="G101" s="1454"/>
      <c r="H101" s="664"/>
      <c r="I101" s="664"/>
      <c r="J101" s="840"/>
      <c r="K101" s="424"/>
      <c r="L101" s="840"/>
      <c r="M101" s="840"/>
      <c r="N101" s="672"/>
      <c r="O101" s="1455"/>
      <c r="P101" s="1456"/>
      <c r="Q101" s="1456"/>
      <c r="R101" s="1457"/>
      <c r="S101" s="810"/>
    </row>
    <row r="102" spans="1:19" ht="18" customHeight="1">
      <c r="A102" s="314"/>
      <c r="B102" s="841"/>
      <c r="C102" s="1458"/>
      <c r="D102" s="1459"/>
      <c r="E102" s="1459"/>
      <c r="F102" s="1459"/>
      <c r="G102" s="1460"/>
      <c r="H102" s="849"/>
      <c r="I102" s="849"/>
      <c r="J102" s="834" t="s">
        <v>666</v>
      </c>
      <c r="K102" s="835" t="e">
        <f>SUM(K87:K101)</f>
        <v>#REF!</v>
      </c>
      <c r="L102" s="1599" t="s">
        <v>1259</v>
      </c>
      <c r="M102" s="1600"/>
      <c r="N102" s="1601"/>
      <c r="O102" s="886"/>
      <c r="P102" s="887"/>
      <c r="Q102" s="887"/>
      <c r="R102" s="888"/>
      <c r="S102" s="854"/>
    </row>
    <row r="103" spans="1:19" s="76" customFormat="1" ht="31.7" hidden="1" customHeight="1">
      <c r="A103" s="400" t="s">
        <v>425</v>
      </c>
      <c r="B103" s="400" t="s">
        <v>193</v>
      </c>
      <c r="C103" s="1282" t="e">
        <f>[1]印403!J91</f>
        <v>#REF!</v>
      </c>
      <c r="D103" s="1283"/>
      <c r="E103" s="1283"/>
      <c r="F103" s="1283"/>
      <c r="G103" s="1468"/>
      <c r="H103" s="242" t="s">
        <v>216</v>
      </c>
      <c r="I103" s="242" t="s">
        <v>12</v>
      </c>
      <c r="J103" s="242" t="s">
        <v>13</v>
      </c>
      <c r="K103" s="405" t="s">
        <v>218</v>
      </c>
      <c r="L103" s="427" t="s">
        <v>60</v>
      </c>
      <c r="M103" s="399" t="e">
        <f>[1]印403!O90</f>
        <v>#REF!</v>
      </c>
      <c r="N103" s="257" t="s">
        <v>45</v>
      </c>
      <c r="O103" s="1448" t="s">
        <v>29</v>
      </c>
      <c r="P103" s="1449"/>
      <c r="Q103" s="1449"/>
      <c r="R103" s="1450"/>
      <c r="S103" s="417" t="s">
        <v>57</v>
      </c>
    </row>
    <row r="104" spans="1:19" ht="15" hidden="1" customHeight="1">
      <c r="A104" s="1199" t="s">
        <v>426</v>
      </c>
      <c r="B104" s="84" t="s">
        <v>205</v>
      </c>
      <c r="C104" s="1282" t="e">
        <f>[1]印403!J92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[1]印403!O91</f>
        <v>#REF!</v>
      </c>
      <c r="N104" s="399"/>
      <c r="O104" s="1469"/>
      <c r="P104" s="1245"/>
      <c r="Q104" s="1245"/>
      <c r="R104" s="1246"/>
      <c r="S104" s="1470"/>
    </row>
    <row r="105" spans="1:19" ht="13.7" hidden="1" customHeight="1">
      <c r="A105" s="1216"/>
      <c r="B105" s="84" t="s">
        <v>205</v>
      </c>
      <c r="C105" s="1282" t="e">
        <f>[1]印403!J93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[1]印403!O92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[1]印403!J94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[1]印403!O93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[1]印403!J95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[1]印403!O94</f>
        <v>#REF!</v>
      </c>
      <c r="N107" s="425"/>
      <c r="O107" s="666"/>
      <c r="P107" s="667"/>
      <c r="Q107" s="667"/>
      <c r="R107" s="668"/>
      <c r="S107" s="1471"/>
    </row>
    <row r="108" spans="1:19" ht="15" hidden="1" customHeight="1">
      <c r="A108" s="1216"/>
      <c r="B108" s="84" t="s">
        <v>205</v>
      </c>
      <c r="C108" s="1282" t="e">
        <f>[1]印403!J96</f>
        <v>#REF!</v>
      </c>
      <c r="D108" s="1283"/>
      <c r="E108" s="1283"/>
      <c r="F108" s="1283"/>
      <c r="G108" s="1468"/>
      <c r="H108" s="663"/>
      <c r="I108" s="663"/>
      <c r="J108" s="399"/>
      <c r="K108" s="665"/>
      <c r="L108" s="673"/>
      <c r="M108" s="399" t="e">
        <f>[1]印403!O95</f>
        <v>#REF!</v>
      </c>
      <c r="N108" s="425"/>
      <c r="O108" s="669"/>
      <c r="P108" s="670"/>
      <c r="Q108" s="670"/>
      <c r="R108" s="671"/>
      <c r="S108" s="1471"/>
    </row>
    <row r="109" spans="1:19" ht="16.5" hidden="1" customHeight="1">
      <c r="A109" s="1216"/>
      <c r="B109" s="881" t="s">
        <v>43</v>
      </c>
      <c r="C109" s="1282" t="e">
        <f>[1]印403!J97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[1]印403!O96</f>
        <v>#REF!</v>
      </c>
      <c r="N109" s="672"/>
      <c r="O109" s="1476"/>
      <c r="P109" s="1477"/>
      <c r="Q109" s="1477"/>
      <c r="R109" s="1478"/>
      <c r="S109" s="1485"/>
    </row>
    <row r="110" spans="1:19" ht="15" hidden="1" customHeight="1">
      <c r="A110" s="1216"/>
      <c r="B110" s="881" t="s">
        <v>43</v>
      </c>
      <c r="C110" s="1282" t="e">
        <f>[1]印403!J98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[1]印403!O97</f>
        <v>#REF!</v>
      </c>
      <c r="N110" s="672"/>
      <c r="O110" s="1479"/>
      <c r="P110" s="1480"/>
      <c r="Q110" s="1480"/>
      <c r="R110" s="1481"/>
      <c r="S110" s="1485"/>
    </row>
    <row r="111" spans="1:19" ht="15" hidden="1" customHeight="1">
      <c r="A111" s="1216"/>
      <c r="B111" s="881" t="s">
        <v>43</v>
      </c>
      <c r="C111" s="1282" t="e">
        <f>[1]印403!J99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[1]印403!O98</f>
        <v>#REF!</v>
      </c>
      <c r="N111" s="672"/>
      <c r="O111" s="1479"/>
      <c r="P111" s="1480"/>
      <c r="Q111" s="1480"/>
      <c r="R111" s="1481"/>
      <c r="S111" s="1485"/>
    </row>
    <row r="112" spans="1:19" ht="15" hidden="1" customHeight="1">
      <c r="A112" s="1165"/>
      <c r="B112" s="881" t="s">
        <v>43</v>
      </c>
      <c r="C112" s="1282" t="e">
        <f>[1]印403!J100</f>
        <v>#REF!</v>
      </c>
      <c r="D112" s="1283"/>
      <c r="E112" s="1283"/>
      <c r="F112" s="1283"/>
      <c r="G112" s="1468"/>
      <c r="H112" s="664"/>
      <c r="I112" s="664"/>
      <c r="J112" s="840"/>
      <c r="K112" s="424"/>
      <c r="L112" s="426"/>
      <c r="M112" s="399" t="e">
        <f>[1]印403!O99</f>
        <v>#REF!</v>
      </c>
      <c r="N112" s="672"/>
      <c r="O112" s="1482"/>
      <c r="P112" s="1483"/>
      <c r="Q112" s="1483"/>
      <c r="R112" s="1484"/>
      <c r="S112" s="1486"/>
    </row>
    <row r="113" spans="1:20" ht="6" customHeight="1">
      <c r="A113" s="248"/>
      <c r="C113" s="249"/>
    </row>
    <row r="114" spans="1:20" ht="6" customHeight="1" thickBot="1">
      <c r="A114" s="248"/>
      <c r="C114" s="249"/>
    </row>
    <row r="115" spans="1:20" ht="15" customHeight="1" thickTop="1">
      <c r="A115" s="1472" t="s">
        <v>30</v>
      </c>
      <c r="B115" s="1473"/>
      <c r="C115" s="1473"/>
      <c r="D115" s="1473"/>
      <c r="E115" s="376">
        <v>1854400</v>
      </c>
      <c r="F115" s="75" t="s">
        <v>64</v>
      </c>
      <c r="G115" s="1472" t="s">
        <v>31</v>
      </c>
      <c r="H115" s="1473"/>
      <c r="I115" s="1473"/>
      <c r="J115" s="1473"/>
      <c r="K115" s="1473"/>
      <c r="L115" s="377">
        <v>762000</v>
      </c>
      <c r="M115" s="75" t="s">
        <v>64</v>
      </c>
      <c r="N115" s="1472" t="s">
        <v>32</v>
      </c>
      <c r="O115" s="1473"/>
      <c r="P115" s="1473"/>
      <c r="Q115" s="377">
        <v>3007500</v>
      </c>
      <c r="R115" s="75" t="s">
        <v>64</v>
      </c>
      <c r="S115" s="75"/>
    </row>
    <row r="116" spans="1:20" ht="15" customHeight="1" thickBot="1">
      <c r="A116" s="1474" t="s">
        <v>66</v>
      </c>
      <c r="B116" s="1475"/>
      <c r="C116" s="1475"/>
      <c r="D116" s="1475"/>
      <c r="E116" s="674">
        <f>100*1000</f>
        <v>100000</v>
      </c>
      <c r="G116" s="1474" t="s">
        <v>66</v>
      </c>
      <c r="H116" s="1475"/>
      <c r="I116" s="1475"/>
      <c r="J116" s="1475"/>
      <c r="K116" s="1475"/>
      <c r="L116" s="674">
        <f>(18+33)*1000</f>
        <v>51000</v>
      </c>
      <c r="N116" s="1474" t="s">
        <v>33</v>
      </c>
      <c r="O116" s="1475"/>
      <c r="P116" s="1475"/>
      <c r="Q116" s="674">
        <f>(56+30+63+161)*1000</f>
        <v>310000</v>
      </c>
      <c r="R116" s="75"/>
      <c r="S116" s="75"/>
    </row>
    <row r="117" spans="1:20" ht="15" customHeight="1" thickTop="1" thickBot="1">
      <c r="A117" s="1487" t="s">
        <v>34</v>
      </c>
      <c r="B117" s="1488"/>
      <c r="C117" s="1488"/>
      <c r="D117" s="1488"/>
      <c r="E117" s="378">
        <f>E115+E116</f>
        <v>1954400</v>
      </c>
      <c r="F117" s="75" t="s">
        <v>64</v>
      </c>
      <c r="G117" s="1487" t="s">
        <v>35</v>
      </c>
      <c r="H117" s="1488"/>
      <c r="I117" s="1488"/>
      <c r="J117" s="1488"/>
      <c r="K117" s="1488"/>
      <c r="L117" s="379">
        <f>L115+L116</f>
        <v>813000</v>
      </c>
      <c r="M117" s="75" t="s">
        <v>64</v>
      </c>
      <c r="N117" s="1487" t="s">
        <v>36</v>
      </c>
      <c r="O117" s="1488"/>
      <c r="P117" s="1488"/>
      <c r="Q117" s="379">
        <f>Q115+Q116</f>
        <v>3317500</v>
      </c>
      <c r="R117" s="75" t="s">
        <v>64</v>
      </c>
      <c r="S117" s="75"/>
    </row>
    <row r="118" spans="1:20" ht="15" customHeight="1" thickTop="1" thickBot="1">
      <c r="E118" s="252">
        <f>印401!M64</f>
        <v>0</v>
      </c>
      <c r="L118" s="675" t="e">
        <f>#REF!</f>
        <v>#REF!</v>
      </c>
      <c r="O118" s="75"/>
      <c r="P118" s="75"/>
      <c r="Q118" s="675" t="e">
        <f>#REF!</f>
        <v>#REF!</v>
      </c>
      <c r="R118" s="75"/>
      <c r="S118" s="75"/>
    </row>
    <row r="119" spans="1:20" ht="15" customHeight="1" thickBot="1">
      <c r="A119" s="676" t="s">
        <v>37</v>
      </c>
      <c r="B119" s="677"/>
      <c r="C119" s="677"/>
      <c r="D119" s="678"/>
      <c r="E119" s="253">
        <f>印401!P64</f>
        <v>0</v>
      </c>
      <c r="F119" s="75" t="s">
        <v>64</v>
      </c>
      <c r="G119" s="676" t="s">
        <v>38</v>
      </c>
      <c r="H119" s="677"/>
      <c r="I119" s="677"/>
      <c r="J119" s="677"/>
      <c r="K119" s="677"/>
      <c r="L119" s="384" t="e">
        <f>#REF!</f>
        <v>#REF!</v>
      </c>
      <c r="M119" s="75" t="s">
        <v>64</v>
      </c>
      <c r="N119" s="676" t="s">
        <v>39</v>
      </c>
      <c r="O119" s="677"/>
      <c r="P119" s="677"/>
      <c r="Q119" s="384" t="e">
        <f>#REF!</f>
        <v>#REF!</v>
      </c>
      <c r="R119" s="75" t="s">
        <v>64</v>
      </c>
      <c r="S119" s="75"/>
    </row>
    <row r="120" spans="1:20" ht="3" customHeight="1" thickBot="1">
      <c r="J120" s="255"/>
      <c r="K120" s="256"/>
    </row>
    <row r="121" spans="1:20" ht="15" customHeight="1" thickTop="1">
      <c r="B121" s="1509" t="s">
        <v>69</v>
      </c>
      <c r="C121" s="1510"/>
      <c r="D121" s="1511" t="s">
        <v>305</v>
      </c>
      <c r="E121" s="1512"/>
      <c r="F121" s="1489" t="s">
        <v>306</v>
      </c>
      <c r="G121" s="1490"/>
      <c r="H121" s="1491" t="s">
        <v>307</v>
      </c>
      <c r="I121" s="1492"/>
      <c r="J121" s="1492"/>
      <c r="K121" s="1493"/>
      <c r="L121" s="1472" t="s">
        <v>657</v>
      </c>
      <c r="M121" s="1473"/>
      <c r="N121" s="1473"/>
      <c r="O121" s="377">
        <v>4843000</v>
      </c>
      <c r="P121" s="75" t="s">
        <v>64</v>
      </c>
      <c r="Q121" s="1496" t="s">
        <v>65</v>
      </c>
      <c r="R121" s="1497"/>
      <c r="S121" s="385">
        <v>47859538</v>
      </c>
    </row>
    <row r="122" spans="1:20" ht="15" customHeight="1" thickBot="1">
      <c r="B122" s="1498" t="s">
        <v>308</v>
      </c>
      <c r="C122" s="1499"/>
      <c r="D122" s="1500" t="e">
        <f>總表!D20</f>
        <v>#REF!</v>
      </c>
      <c r="E122" s="1501"/>
      <c r="F122" s="1502">
        <f>總表!E20</f>
        <v>1316871</v>
      </c>
      <c r="G122" s="1503"/>
      <c r="H122" s="1504" t="e">
        <f>(D122-F122)/D122</f>
        <v>#REF!</v>
      </c>
      <c r="I122" s="1505"/>
      <c r="J122" s="1505"/>
      <c r="K122" s="1506"/>
      <c r="L122" s="1474" t="s">
        <v>33</v>
      </c>
      <c r="M122" s="1475"/>
      <c r="N122" s="1475"/>
      <c r="O122" s="674">
        <f>(50+50+70+56+30)*1000</f>
        <v>256000</v>
      </c>
      <c r="P122" s="75"/>
      <c r="Q122" s="1507" t="s">
        <v>67</v>
      </c>
      <c r="R122" s="1508"/>
      <c r="S122" s="386" t="e">
        <f>SUM(L48:L84,L87:L101)</f>
        <v>#REF!</v>
      </c>
    </row>
    <row r="123" spans="1:20" ht="15" customHeight="1" thickTop="1" thickBot="1">
      <c r="B123" s="1513" t="s">
        <v>309</v>
      </c>
      <c r="C123" s="1514"/>
      <c r="D123" s="1515" t="e">
        <f>總表!C43</f>
        <v>#REF!</v>
      </c>
      <c r="E123" s="1516"/>
      <c r="F123" s="1502" t="e">
        <f>總表!F43</f>
        <v>#REF!</v>
      </c>
      <c r="G123" s="1503"/>
      <c r="H123" s="1504" t="e">
        <f>(D123-F123)/D123</f>
        <v>#REF!</v>
      </c>
      <c r="I123" s="1505"/>
      <c r="J123" s="1505"/>
      <c r="K123" s="1506"/>
      <c r="L123" s="1487" t="s">
        <v>658</v>
      </c>
      <c r="M123" s="1488"/>
      <c r="N123" s="1488"/>
      <c r="O123" s="379">
        <f>O121+O122</f>
        <v>5099000</v>
      </c>
      <c r="P123" s="75" t="s">
        <v>64</v>
      </c>
      <c r="Q123" s="1494" t="s">
        <v>68</v>
      </c>
      <c r="R123" s="1495"/>
      <c r="S123" s="387" t="e">
        <f>S121+S122</f>
        <v>#REF!</v>
      </c>
    </row>
    <row r="124" spans="1:20" ht="14.1" customHeight="1" thickTop="1" thickBot="1">
      <c r="B124" s="250" t="s">
        <v>310</v>
      </c>
      <c r="C124" s="250"/>
      <c r="D124" s="250"/>
      <c r="E124" s="233"/>
      <c r="O124" s="675" t="e">
        <f>#REF!</f>
        <v>#REF!</v>
      </c>
      <c r="P124" s="75"/>
      <c r="Q124" s="75"/>
      <c r="R124" s="254" t="e">
        <f>總表!E43+總表!E52</f>
        <v>#REF!</v>
      </c>
      <c r="S124" s="254" t="e">
        <f>R124-S123</f>
        <v>#REF!</v>
      </c>
    </row>
    <row r="125" spans="1:20" ht="17.25" customHeight="1" thickBot="1">
      <c r="B125" s="250" t="s">
        <v>40</v>
      </c>
      <c r="C125" s="233"/>
      <c r="D125" s="233"/>
      <c r="E125" s="233"/>
      <c r="F125" s="233"/>
      <c r="L125" s="676" t="s">
        <v>659</v>
      </c>
      <c r="M125" s="677"/>
      <c r="N125" s="677"/>
      <c r="O125" s="384" t="e">
        <f>#REF!</f>
        <v>#REF!</v>
      </c>
      <c r="P125" s="75" t="s">
        <v>64</v>
      </c>
      <c r="T125" s="233"/>
    </row>
    <row r="126" spans="1:20" ht="15.75" customHeight="1">
      <c r="B126" s="75" t="s">
        <v>41</v>
      </c>
      <c r="N126" s="233"/>
      <c r="S126" s="75"/>
    </row>
  </sheetData>
  <mergeCells count="301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A7:A8"/>
    <mergeCell ref="G7:I7"/>
    <mergeCell ref="K7:M7"/>
    <mergeCell ref="O7:R7"/>
    <mergeCell ref="G8:I8"/>
    <mergeCell ref="K8:M8"/>
    <mergeCell ref="O8:R8"/>
    <mergeCell ref="A17:A18"/>
    <mergeCell ref="G17:I17"/>
    <mergeCell ref="K17:M17"/>
    <mergeCell ref="O17:R17"/>
    <mergeCell ref="C95:G95"/>
    <mergeCell ref="O95:R95"/>
    <mergeCell ref="C98:G98"/>
    <mergeCell ref="O98:R98"/>
    <mergeCell ref="G6:I6"/>
    <mergeCell ref="K6:M6"/>
    <mergeCell ref="O6:R6"/>
    <mergeCell ref="C58:E58"/>
    <mergeCell ref="O58:R58"/>
    <mergeCell ref="K14:M14"/>
    <mergeCell ref="G18:I18"/>
    <mergeCell ref="K18:M18"/>
    <mergeCell ref="O18:R18"/>
    <mergeCell ref="C75:E75"/>
    <mergeCell ref="O75:R75"/>
    <mergeCell ref="C76:E76"/>
    <mergeCell ref="O76:R76"/>
    <mergeCell ref="O71:R71"/>
    <mergeCell ref="C72:E72"/>
    <mergeCell ref="C91:G91"/>
    <mergeCell ref="A13:A14"/>
    <mergeCell ref="G13:I13"/>
    <mergeCell ref="K13:M13"/>
    <mergeCell ref="O13:R13"/>
    <mergeCell ref="G14:I14"/>
    <mergeCell ref="O14:R14"/>
    <mergeCell ref="A15:A16"/>
    <mergeCell ref="G15:I15"/>
    <mergeCell ref="K15:M15"/>
    <mergeCell ref="O15:R15"/>
    <mergeCell ref="G16:I16"/>
    <mergeCell ref="K16:M16"/>
    <mergeCell ref="O16:R16"/>
    <mergeCell ref="O36:R38"/>
    <mergeCell ref="C44:E44"/>
    <mergeCell ref="A36:A41"/>
    <mergeCell ref="C36:E36"/>
    <mergeCell ref="M36:M38"/>
    <mergeCell ref="A56:A58"/>
    <mergeCell ref="S57:S58"/>
    <mergeCell ref="A89:A91"/>
    <mergeCell ref="C57:E57"/>
    <mergeCell ref="O57:R57"/>
    <mergeCell ref="O91:R91"/>
    <mergeCell ref="C73:E73"/>
    <mergeCell ref="A75:A76"/>
    <mergeCell ref="S45:S47"/>
    <mergeCell ref="C46:E46"/>
    <mergeCell ref="C47:E47"/>
    <mergeCell ref="S39:S41"/>
    <mergeCell ref="C40:E40"/>
    <mergeCell ref="O42:R44"/>
    <mergeCell ref="S42:S44"/>
    <mergeCell ref="A52:A53"/>
    <mergeCell ref="C52:E52"/>
    <mergeCell ref="O52:R52"/>
    <mergeCell ref="C53:E53"/>
    <mergeCell ref="K21:M21"/>
    <mergeCell ref="O21:R21"/>
    <mergeCell ref="A22:A27"/>
    <mergeCell ref="G22:I22"/>
    <mergeCell ref="K22:M24"/>
    <mergeCell ref="O22:R24"/>
    <mergeCell ref="G23:I23"/>
    <mergeCell ref="G24:I24"/>
    <mergeCell ref="G25:I25"/>
    <mergeCell ref="K25:M27"/>
    <mergeCell ref="O25:R27"/>
    <mergeCell ref="S32:S35"/>
    <mergeCell ref="O29:R31"/>
    <mergeCell ref="S29:S31"/>
    <mergeCell ref="C30:E30"/>
    <mergeCell ref="C31:E31"/>
    <mergeCell ref="C32:E32"/>
    <mergeCell ref="M32:M35"/>
    <mergeCell ref="C33:E33"/>
    <mergeCell ref="C34:E34"/>
    <mergeCell ref="O53:R53"/>
    <mergeCell ref="C45:E45"/>
    <mergeCell ref="M45:M47"/>
    <mergeCell ref="O45:R47"/>
    <mergeCell ref="A42:A47"/>
    <mergeCell ref="C43:E43"/>
    <mergeCell ref="C41:E41"/>
    <mergeCell ref="C42:E42"/>
    <mergeCell ref="M42:M44"/>
    <mergeCell ref="O39:R41"/>
    <mergeCell ref="C39:E39"/>
    <mergeCell ref="M39:M41"/>
    <mergeCell ref="C50:E50"/>
    <mergeCell ref="O50:R50"/>
    <mergeCell ref="C51:E51"/>
    <mergeCell ref="O51:R51"/>
    <mergeCell ref="A50:A51"/>
    <mergeCell ref="A54:A55"/>
    <mergeCell ref="C54:E54"/>
    <mergeCell ref="O54:R54"/>
    <mergeCell ref="C55:E55"/>
    <mergeCell ref="O55:R55"/>
    <mergeCell ref="C56:E56"/>
    <mergeCell ref="O56:R56"/>
    <mergeCell ref="S70:S71"/>
    <mergeCell ref="C74:E74"/>
    <mergeCell ref="O74:R74"/>
    <mergeCell ref="O73:R73"/>
    <mergeCell ref="A73:A74"/>
    <mergeCell ref="C70:E70"/>
    <mergeCell ref="A59:A60"/>
    <mergeCell ref="C59:E59"/>
    <mergeCell ref="O59:R59"/>
    <mergeCell ref="C60:E60"/>
    <mergeCell ref="O60:R60"/>
    <mergeCell ref="C64:E64"/>
    <mergeCell ref="O64:R64"/>
    <mergeCell ref="A61:A62"/>
    <mergeCell ref="C61:E61"/>
    <mergeCell ref="O61:R61"/>
    <mergeCell ref="C62:E62"/>
    <mergeCell ref="O62:R62"/>
    <mergeCell ref="A63:A64"/>
    <mergeCell ref="C63:E63"/>
    <mergeCell ref="O63:R63"/>
    <mergeCell ref="O65:R65"/>
    <mergeCell ref="A66:A67"/>
    <mergeCell ref="C66:E66"/>
    <mergeCell ref="A77:A78"/>
    <mergeCell ref="C77:E77"/>
    <mergeCell ref="O77:R77"/>
    <mergeCell ref="C78:E78"/>
    <mergeCell ref="O78:R78"/>
    <mergeCell ref="O72:R72"/>
    <mergeCell ref="A70:A72"/>
    <mergeCell ref="O66:R66"/>
    <mergeCell ref="C67:E67"/>
    <mergeCell ref="O67:R67"/>
    <mergeCell ref="A68:A69"/>
    <mergeCell ref="C68:E68"/>
    <mergeCell ref="O68:R68"/>
    <mergeCell ref="C69:E69"/>
    <mergeCell ref="O69:R69"/>
    <mergeCell ref="O70:R70"/>
    <mergeCell ref="C71:E71"/>
    <mergeCell ref="A79:A80"/>
    <mergeCell ref="C79:E79"/>
    <mergeCell ref="O79:R79"/>
    <mergeCell ref="C80:E80"/>
    <mergeCell ref="O80:R80"/>
    <mergeCell ref="A87:A88"/>
    <mergeCell ref="C87:G87"/>
    <mergeCell ref="O87:R87"/>
    <mergeCell ref="O85:R85"/>
    <mergeCell ref="C86:G86"/>
    <mergeCell ref="O86:R86"/>
    <mergeCell ref="A83:A84"/>
    <mergeCell ref="C83:E83"/>
    <mergeCell ref="O83:R83"/>
    <mergeCell ref="C84:E84"/>
    <mergeCell ref="O84:R84"/>
    <mergeCell ref="A81:A82"/>
    <mergeCell ref="C81:E81"/>
    <mergeCell ref="O81:R81"/>
    <mergeCell ref="C82:E82"/>
    <mergeCell ref="O82:R82"/>
    <mergeCell ref="C89:G89"/>
    <mergeCell ref="O89:R89"/>
    <mergeCell ref="C90:G90"/>
    <mergeCell ref="O90:R90"/>
    <mergeCell ref="C88:G88"/>
    <mergeCell ref="O88:R88"/>
    <mergeCell ref="A92:A95"/>
    <mergeCell ref="C96:G96"/>
    <mergeCell ref="O96:R96"/>
    <mergeCell ref="C93:G93"/>
    <mergeCell ref="O93:R93"/>
    <mergeCell ref="C92:G92"/>
    <mergeCell ref="O92:R92"/>
    <mergeCell ref="C97:G97"/>
    <mergeCell ref="O97:R97"/>
    <mergeCell ref="A96:A101"/>
    <mergeCell ref="C94:G94"/>
    <mergeCell ref="O94:R94"/>
    <mergeCell ref="C102:G102"/>
    <mergeCell ref="L102:N102"/>
    <mergeCell ref="C99:G99"/>
    <mergeCell ref="O99:R99"/>
    <mergeCell ref="C100:G100"/>
    <mergeCell ref="O100:R100"/>
    <mergeCell ref="C101:G101"/>
    <mergeCell ref="O101:R101"/>
    <mergeCell ref="C103:G103"/>
    <mergeCell ref="O103:R103"/>
    <mergeCell ref="A104:A112"/>
    <mergeCell ref="C104:G104"/>
    <mergeCell ref="O104:R104"/>
    <mergeCell ref="C112:G112"/>
    <mergeCell ref="S104:S108"/>
    <mergeCell ref="C105:G105"/>
    <mergeCell ref="C106:G106"/>
    <mergeCell ref="C107:G107"/>
    <mergeCell ref="C108:G108"/>
    <mergeCell ref="C109:G109"/>
    <mergeCell ref="O109:R112"/>
    <mergeCell ref="S109:S112"/>
    <mergeCell ref="C110:G110"/>
    <mergeCell ref="C111:G111"/>
    <mergeCell ref="A115:D115"/>
    <mergeCell ref="G115:K115"/>
    <mergeCell ref="N115:P115"/>
    <mergeCell ref="A116:D116"/>
    <mergeCell ref="G116:K116"/>
    <mergeCell ref="N116:P116"/>
    <mergeCell ref="A117:D117"/>
    <mergeCell ref="G117:K117"/>
    <mergeCell ref="N117:P117"/>
    <mergeCell ref="B121:C121"/>
    <mergeCell ref="D121:E121"/>
    <mergeCell ref="F121:G121"/>
    <mergeCell ref="H121:K121"/>
    <mergeCell ref="L121:N121"/>
    <mergeCell ref="Q121:R121"/>
    <mergeCell ref="B122:C122"/>
    <mergeCell ref="D122:E122"/>
    <mergeCell ref="F122:G122"/>
    <mergeCell ref="H122:K122"/>
    <mergeCell ref="L122:N122"/>
    <mergeCell ref="Q122:R122"/>
    <mergeCell ref="B123:C123"/>
    <mergeCell ref="D123:E123"/>
    <mergeCell ref="F123:G123"/>
    <mergeCell ref="H123:K123"/>
    <mergeCell ref="L123:N123"/>
    <mergeCell ref="Q123:R123"/>
    <mergeCell ref="O12:R12"/>
    <mergeCell ref="A9:A10"/>
    <mergeCell ref="G9:I9"/>
    <mergeCell ref="K9:M9"/>
    <mergeCell ref="O9:R9"/>
    <mergeCell ref="G10:I10"/>
    <mergeCell ref="K10:M10"/>
    <mergeCell ref="O10:R10"/>
    <mergeCell ref="O19:R19"/>
    <mergeCell ref="G20:I20"/>
    <mergeCell ref="K20:M20"/>
    <mergeCell ref="O20:R20"/>
    <mergeCell ref="A11:A12"/>
    <mergeCell ref="G11:I11"/>
    <mergeCell ref="K11:M11"/>
    <mergeCell ref="O11:R11"/>
    <mergeCell ref="G12:I12"/>
    <mergeCell ref="K12:M12"/>
    <mergeCell ref="A19:A20"/>
    <mergeCell ref="A48:A49"/>
    <mergeCell ref="C48:E48"/>
    <mergeCell ref="O48:R48"/>
    <mergeCell ref="V48:X48"/>
    <mergeCell ref="C49:E49"/>
    <mergeCell ref="O49:R49"/>
    <mergeCell ref="V49:X49"/>
    <mergeCell ref="G19:I19"/>
    <mergeCell ref="K19:M19"/>
    <mergeCell ref="A29:A35"/>
    <mergeCell ref="C29:E29"/>
    <mergeCell ref="M29:M31"/>
    <mergeCell ref="S36:S38"/>
    <mergeCell ref="C37:E37"/>
    <mergeCell ref="C38:E38"/>
    <mergeCell ref="S25:S27"/>
    <mergeCell ref="G26:I26"/>
    <mergeCell ref="G27:I27"/>
    <mergeCell ref="S22:S24"/>
    <mergeCell ref="C35:E35"/>
    <mergeCell ref="C28:E28"/>
    <mergeCell ref="O28:R28"/>
    <mergeCell ref="O32:R35"/>
  </mergeCells>
  <phoneticPr fontId="26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A125"/>
  <sheetViews>
    <sheetView workbookViewId="0">
      <selection sqref="A1:K4"/>
    </sheetView>
  </sheetViews>
  <sheetFormatPr defaultRowHeight="16.5"/>
  <cols>
    <col min="1" max="1" width="8.125" style="75" customWidth="1"/>
    <col min="2" max="2" width="5.375" style="75" customWidth="1"/>
    <col min="3" max="3" width="11" style="75" customWidth="1"/>
    <col min="4" max="4" width="7.875" style="75" customWidth="1"/>
    <col min="5" max="5" width="21.25" style="75" customWidth="1"/>
    <col min="6" max="6" width="9.125" style="75" customWidth="1"/>
    <col min="7" max="7" width="7.5" style="75" customWidth="1"/>
    <col min="8" max="8" width="1.5" style="75" hidden="1" customWidth="1"/>
    <col min="9" max="9" width="11.75" style="75" customWidth="1"/>
    <col min="10" max="10" width="9.625" style="75" customWidth="1"/>
    <col min="11" max="11" width="8.625" style="75" customWidth="1"/>
    <col min="12" max="12" width="9.875" style="75" customWidth="1"/>
    <col min="13" max="13" width="8.875" style="75" customWidth="1"/>
    <col min="14" max="14" width="11.875" style="75" customWidth="1"/>
    <col min="15" max="15" width="10.75" style="233" customWidth="1"/>
    <col min="16" max="16" width="29.125" style="233" customWidth="1"/>
    <col min="17" max="17" width="15.625" style="233" customWidth="1"/>
    <col min="18" max="18" width="23.5" style="233" customWidth="1"/>
    <col min="19" max="19" width="23.125" style="233" customWidth="1"/>
    <col min="20" max="16384" width="9" style="75"/>
  </cols>
  <sheetData>
    <row r="1" spans="1:23" ht="15" customHeight="1">
      <c r="A1" s="1323" t="s">
        <v>424</v>
      </c>
      <c r="B1" s="1323"/>
      <c r="C1" s="1323"/>
      <c r="D1" s="1323"/>
      <c r="E1" s="1323"/>
      <c r="F1" s="1323"/>
      <c r="G1" s="1323"/>
      <c r="H1" s="1323"/>
      <c r="I1" s="1323"/>
      <c r="J1" s="1323"/>
      <c r="K1" s="1324"/>
      <c r="L1" s="1274" t="s">
        <v>53</v>
      </c>
      <c r="M1" s="1274"/>
      <c r="N1" s="1274" t="s">
        <v>420</v>
      </c>
      <c r="O1" s="1274"/>
      <c r="P1" s="1274"/>
      <c r="Q1" s="1274" t="s">
        <v>421</v>
      </c>
      <c r="R1" s="1274"/>
      <c r="S1" s="641" t="s">
        <v>419</v>
      </c>
    </row>
    <row r="2" spans="1:23" ht="54.75" customHeight="1">
      <c r="A2" s="1323"/>
      <c r="B2" s="1323"/>
      <c r="C2" s="1323"/>
      <c r="D2" s="1323"/>
      <c r="E2" s="1323"/>
      <c r="F2" s="1323"/>
      <c r="G2" s="1323"/>
      <c r="H2" s="1323"/>
      <c r="I2" s="1323"/>
      <c r="J2" s="1323"/>
      <c r="K2" s="1324"/>
      <c r="L2" s="1317" t="s">
        <v>185</v>
      </c>
      <c r="M2" s="1317"/>
      <c r="N2" s="1318" t="s">
        <v>1261</v>
      </c>
      <c r="O2" s="1319"/>
      <c r="P2" s="1320"/>
      <c r="Q2" s="1318" t="s">
        <v>1262</v>
      </c>
      <c r="R2" s="1320"/>
      <c r="S2" s="642" t="s">
        <v>1069</v>
      </c>
    </row>
    <row r="3" spans="1:23" ht="85.5" customHeight="1">
      <c r="A3" s="1323"/>
      <c r="B3" s="1323"/>
      <c r="C3" s="1323"/>
      <c r="D3" s="1323"/>
      <c r="E3" s="1323"/>
      <c r="F3" s="1323"/>
      <c r="G3" s="1323"/>
      <c r="H3" s="1323"/>
      <c r="I3" s="1323"/>
      <c r="J3" s="1323"/>
      <c r="K3" s="1324"/>
      <c r="L3" s="1317" t="s">
        <v>54</v>
      </c>
      <c r="M3" s="1317"/>
      <c r="N3" s="1318" t="s">
        <v>1265</v>
      </c>
      <c r="O3" s="1319"/>
      <c r="P3" s="1320"/>
      <c r="Q3" s="1318" t="s">
        <v>1264</v>
      </c>
      <c r="R3" s="1320"/>
      <c r="S3" s="85"/>
    </row>
    <row r="4" spans="1:23" ht="38.25" customHeight="1">
      <c r="A4" s="1323"/>
      <c r="B4" s="1323"/>
      <c r="C4" s="1323"/>
      <c r="D4" s="1323"/>
      <c r="E4" s="1323"/>
      <c r="F4" s="1323"/>
      <c r="G4" s="1323"/>
      <c r="H4" s="1323"/>
      <c r="I4" s="1323"/>
      <c r="J4" s="1323"/>
      <c r="K4" s="1324"/>
      <c r="L4" s="1317" t="s">
        <v>430</v>
      </c>
      <c r="M4" s="1317"/>
      <c r="N4" s="1318" t="s">
        <v>854</v>
      </c>
      <c r="O4" s="1319"/>
      <c r="P4" s="1320"/>
      <c r="Q4" s="1318" t="s">
        <v>1199</v>
      </c>
      <c r="R4" s="1320"/>
      <c r="S4" s="85" t="s">
        <v>652</v>
      </c>
    </row>
    <row r="5" spans="1:23" ht="15" customHeight="1">
      <c r="A5" s="234" t="s">
        <v>187</v>
      </c>
      <c r="B5" s="234"/>
      <c r="C5" s="235">
        <v>45260</v>
      </c>
      <c r="D5" s="419" t="s">
        <v>1260</v>
      </c>
      <c r="E5" s="237"/>
      <c r="G5" s="238" t="s">
        <v>189</v>
      </c>
      <c r="H5" s="238" t="s">
        <v>190</v>
      </c>
      <c r="I5" s="238"/>
      <c r="J5" s="643"/>
      <c r="K5" s="643"/>
      <c r="L5" s="1317" t="s">
        <v>431</v>
      </c>
      <c r="M5" s="1317"/>
      <c r="N5" s="1321"/>
      <c r="O5" s="1321"/>
      <c r="P5" s="1321"/>
      <c r="Q5" s="1322"/>
      <c r="R5" s="1322"/>
      <c r="S5" s="481" t="s">
        <v>55</v>
      </c>
    </row>
    <row r="6" spans="1:23" s="117" customFormat="1" ht="36.950000000000003" customHeight="1">
      <c r="A6" s="394" t="s">
        <v>192</v>
      </c>
      <c r="B6" s="394" t="s">
        <v>193</v>
      </c>
      <c r="C6" s="56" t="s">
        <v>432</v>
      </c>
      <c r="D6" s="644" t="s">
        <v>1</v>
      </c>
      <c r="E6" s="239" t="s">
        <v>196</v>
      </c>
      <c r="F6" s="242" t="s">
        <v>197</v>
      </c>
      <c r="G6" s="1337" t="s">
        <v>411</v>
      </c>
      <c r="H6" s="1337"/>
      <c r="I6" s="1337"/>
      <c r="J6" s="404" t="s">
        <v>200</v>
      </c>
      <c r="K6" s="1337" t="s">
        <v>2</v>
      </c>
      <c r="L6" s="1338"/>
      <c r="M6" s="1338"/>
      <c r="N6" s="404" t="s">
        <v>3</v>
      </c>
      <c r="O6" s="1339" t="s">
        <v>29</v>
      </c>
      <c r="P6" s="1339"/>
      <c r="Q6" s="1339"/>
      <c r="R6" s="1339"/>
      <c r="S6" s="383" t="s">
        <v>4</v>
      </c>
    </row>
    <row r="7" spans="1:23" s="76" customFormat="1" ht="17.25" customHeight="1">
      <c r="A7" s="1340" t="s">
        <v>5</v>
      </c>
      <c r="B7" s="645" t="s">
        <v>0</v>
      </c>
      <c r="C7" s="857" t="s">
        <v>42</v>
      </c>
      <c r="D7" s="649" t="s">
        <v>633</v>
      </c>
      <c r="E7" s="856"/>
      <c r="F7" s="858"/>
      <c r="G7" s="1342"/>
      <c r="H7" s="1343"/>
      <c r="I7" s="1344"/>
      <c r="J7" s="859"/>
      <c r="K7" s="1345"/>
      <c r="L7" s="1346"/>
      <c r="M7" s="1347"/>
      <c r="N7" s="820"/>
      <c r="O7" s="1348"/>
      <c r="P7" s="1349"/>
      <c r="Q7" s="1349"/>
      <c r="R7" s="1350"/>
      <c r="S7" s="875"/>
    </row>
    <row r="8" spans="1:23" s="76" customFormat="1" ht="17.25" customHeight="1">
      <c r="A8" s="1341"/>
      <c r="B8" s="881" t="s">
        <v>43</v>
      </c>
      <c r="C8" s="824" t="s">
        <v>42</v>
      </c>
      <c r="D8" s="421" t="s">
        <v>633</v>
      </c>
      <c r="E8" s="646"/>
      <c r="F8" s="825"/>
      <c r="G8" s="1351"/>
      <c r="H8" s="1352"/>
      <c r="I8" s="1353"/>
      <c r="J8" s="826"/>
      <c r="K8" s="1345"/>
      <c r="L8" s="1346"/>
      <c r="M8" s="1347"/>
      <c r="N8" s="820"/>
      <c r="O8" s="1348"/>
      <c r="P8" s="1349"/>
      <c r="Q8" s="1349"/>
      <c r="R8" s="1350"/>
      <c r="S8" s="894"/>
    </row>
    <row r="9" spans="1:23" ht="17.25" customHeight="1">
      <c r="A9" s="1325" t="s">
        <v>6</v>
      </c>
      <c r="B9" s="84" t="s">
        <v>0</v>
      </c>
      <c r="C9" s="850" t="s">
        <v>42</v>
      </c>
      <c r="D9" s="649">
        <v>1.38</v>
      </c>
      <c r="E9" s="815">
        <v>805</v>
      </c>
      <c r="F9" s="815">
        <f>'102'!O70</f>
        <v>850</v>
      </c>
      <c r="G9" s="1311">
        <f>'102'!K70</f>
        <v>6563</v>
      </c>
      <c r="H9" s="1312"/>
      <c r="I9" s="1313"/>
      <c r="J9" s="814">
        <f>'102'!L70</f>
        <v>0</v>
      </c>
      <c r="K9" s="1524">
        <f>'102'!P70+'102'!P71</f>
        <v>0.96519607843137256</v>
      </c>
      <c r="L9" s="1525"/>
      <c r="M9" s="1526"/>
      <c r="N9" s="820">
        <f t="shared" ref="N9:N14" si="0">J9/(G9+J9)</f>
        <v>0</v>
      </c>
      <c r="O9" s="1521" t="str">
        <f>'102'!U70</f>
        <v>15:45-15:46改規格1.2*805,無損耗</v>
      </c>
      <c r="P9" s="1522"/>
      <c r="Q9" s="1522"/>
      <c r="R9" s="1523"/>
      <c r="S9" s="1575" t="str">
        <f>'102'!V70</f>
        <v>阮明演</v>
      </c>
      <c r="U9" s="420" t="s">
        <v>633</v>
      </c>
      <c r="V9" s="880"/>
      <c r="W9" s="880"/>
    </row>
    <row r="10" spans="1:23" ht="17.25" customHeight="1">
      <c r="A10" s="1336"/>
      <c r="B10" s="84" t="s">
        <v>0</v>
      </c>
      <c r="C10" s="850" t="s">
        <v>42</v>
      </c>
      <c r="D10" s="649">
        <v>1.2</v>
      </c>
      <c r="E10" s="815">
        <v>805</v>
      </c>
      <c r="F10" s="815">
        <f>'102'!O71</f>
        <v>850</v>
      </c>
      <c r="G10" s="1311">
        <f>'102'!K71</f>
        <v>3282</v>
      </c>
      <c r="H10" s="1312"/>
      <c r="I10" s="1313"/>
      <c r="J10" s="814">
        <f>'102'!L71</f>
        <v>0</v>
      </c>
      <c r="K10" s="1527"/>
      <c r="L10" s="1528"/>
      <c r="M10" s="1529"/>
      <c r="N10" s="820">
        <f t="shared" si="0"/>
        <v>0</v>
      </c>
      <c r="O10" s="1530" t="str">
        <f>'102'!U71</f>
        <v>19:35最後一支交接班</v>
      </c>
      <c r="P10" s="1531"/>
      <c r="Q10" s="1531"/>
      <c r="R10" s="1532"/>
      <c r="S10" s="1577"/>
      <c r="U10" s="420" t="s">
        <v>633</v>
      </c>
      <c r="V10" s="880"/>
      <c r="W10" s="880"/>
    </row>
    <row r="11" spans="1:23" ht="17.25" customHeight="1">
      <c r="A11" s="1326"/>
      <c r="B11" s="881" t="s">
        <v>43</v>
      </c>
      <c r="C11" s="422" t="s">
        <v>42</v>
      </c>
      <c r="D11" s="421">
        <v>1.2</v>
      </c>
      <c r="E11" s="880">
        <v>805</v>
      </c>
      <c r="F11" s="880">
        <f>'102'!O72</f>
        <v>850</v>
      </c>
      <c r="G11" s="1327">
        <f>'102'!K72</f>
        <v>9835</v>
      </c>
      <c r="H11" s="1328"/>
      <c r="I11" s="1329"/>
      <c r="J11" s="423">
        <f>'102'!L72</f>
        <v>0</v>
      </c>
      <c r="K11" s="1314">
        <f>'102'!P72</f>
        <v>0.96421568627450982</v>
      </c>
      <c r="L11" s="1315"/>
      <c r="M11" s="1316"/>
      <c r="N11" s="820">
        <f t="shared" si="0"/>
        <v>0</v>
      </c>
      <c r="O11" s="1581" t="str">
        <f>'102'!U72</f>
        <v>07:12最後一支交接班</v>
      </c>
      <c r="P11" s="1582"/>
      <c r="Q11" s="1582"/>
      <c r="R11" s="1583"/>
      <c r="S11" s="892" t="str">
        <f>'102'!V72</f>
        <v>阮功體</v>
      </c>
      <c r="U11" s="420" t="s">
        <v>633</v>
      </c>
      <c r="V11" s="880"/>
      <c r="W11" s="880"/>
    </row>
    <row r="12" spans="1:23" ht="17.25" customHeight="1">
      <c r="A12" s="1336" t="s">
        <v>7</v>
      </c>
      <c r="B12" s="84" t="s">
        <v>205</v>
      </c>
      <c r="C12" s="850" t="s">
        <v>44</v>
      </c>
      <c r="D12" s="649">
        <v>0.25</v>
      </c>
      <c r="E12" s="815">
        <v>870</v>
      </c>
      <c r="F12" s="815">
        <f>'103'!O68</f>
        <v>350</v>
      </c>
      <c r="G12" s="1311">
        <f>'103'!K68</f>
        <v>2011</v>
      </c>
      <c r="H12" s="1312"/>
      <c r="I12" s="1313"/>
      <c r="J12" s="814">
        <f>'103'!L68</f>
        <v>0</v>
      </c>
      <c r="K12" s="1524">
        <f>'103'!P68+'103'!P69</f>
        <v>0.95738095238095244</v>
      </c>
      <c r="L12" s="1525"/>
      <c r="M12" s="1526"/>
      <c r="N12" s="820">
        <f t="shared" si="0"/>
        <v>0</v>
      </c>
      <c r="O12" s="1521" t="str">
        <f>'103'!U68</f>
        <v>14:02-14:03改規格0.25*840,無損耗</v>
      </c>
      <c r="P12" s="1522"/>
      <c r="Q12" s="1522"/>
      <c r="R12" s="1523"/>
      <c r="S12" s="1517" t="str">
        <f>'103'!V68</f>
        <v>潘文銅</v>
      </c>
    </row>
    <row r="13" spans="1:23" ht="17.25" customHeight="1">
      <c r="A13" s="1336"/>
      <c r="B13" s="84" t="s">
        <v>205</v>
      </c>
      <c r="C13" s="850" t="s">
        <v>44</v>
      </c>
      <c r="D13" s="649">
        <v>0.25</v>
      </c>
      <c r="E13" s="815">
        <v>840</v>
      </c>
      <c r="F13" s="815">
        <f>'103'!O69</f>
        <v>350</v>
      </c>
      <c r="G13" s="1311">
        <f>'103'!K69</f>
        <v>2010</v>
      </c>
      <c r="H13" s="1312"/>
      <c r="I13" s="1313"/>
      <c r="J13" s="814">
        <f>'103'!L69</f>
        <v>0</v>
      </c>
      <c r="K13" s="1527"/>
      <c r="L13" s="1528"/>
      <c r="M13" s="1529"/>
      <c r="N13" s="820">
        <f t="shared" si="0"/>
        <v>0</v>
      </c>
      <c r="O13" s="1530" t="str">
        <f>'103'!U69</f>
        <v>20:07最後一支交接班</v>
      </c>
      <c r="P13" s="1531"/>
      <c r="Q13" s="1531"/>
      <c r="R13" s="1532"/>
      <c r="S13" s="1518"/>
    </row>
    <row r="14" spans="1:23" ht="17.25" customHeight="1">
      <c r="A14" s="1326"/>
      <c r="B14" s="881" t="s">
        <v>207</v>
      </c>
      <c r="C14" s="422" t="s">
        <v>44</v>
      </c>
      <c r="D14" s="421">
        <v>0.25</v>
      </c>
      <c r="E14" s="880">
        <v>840</v>
      </c>
      <c r="F14" s="880">
        <f>'103'!O70</f>
        <v>350</v>
      </c>
      <c r="G14" s="1327">
        <f>'103'!K70</f>
        <v>4016</v>
      </c>
      <c r="H14" s="1328"/>
      <c r="I14" s="1329"/>
      <c r="J14" s="423">
        <f>'103'!L70</f>
        <v>0</v>
      </c>
      <c r="K14" s="1314">
        <f>'103'!P70</f>
        <v>0.95619047619047615</v>
      </c>
      <c r="L14" s="1315"/>
      <c r="M14" s="1316"/>
      <c r="N14" s="820">
        <f t="shared" si="0"/>
        <v>0</v>
      </c>
      <c r="O14" s="1308" t="str">
        <f>'103'!U70</f>
        <v>06:57最後一支交接班</v>
      </c>
      <c r="P14" s="1309"/>
      <c r="Q14" s="1309"/>
      <c r="R14" s="1310"/>
      <c r="S14" s="822" t="str">
        <f>'103'!V70</f>
        <v>盧宇昇</v>
      </c>
    </row>
    <row r="15" spans="1:23" ht="17.25" customHeight="1">
      <c r="A15" s="1354" t="s">
        <v>8</v>
      </c>
      <c r="B15" s="84" t="s">
        <v>205</v>
      </c>
      <c r="C15" s="850" t="s">
        <v>44</v>
      </c>
      <c r="D15" s="649" t="s">
        <v>633</v>
      </c>
      <c r="E15" s="856"/>
      <c r="F15" s="815"/>
      <c r="G15" s="1355"/>
      <c r="H15" s="1355"/>
      <c r="I15" s="1355"/>
      <c r="J15" s="814"/>
      <c r="K15" s="1314"/>
      <c r="L15" s="1315"/>
      <c r="M15" s="1316"/>
      <c r="N15" s="820"/>
      <c r="O15" s="1356"/>
      <c r="P15" s="1357"/>
      <c r="Q15" s="1357"/>
      <c r="R15" s="1357"/>
      <c r="S15" s="822"/>
    </row>
    <row r="16" spans="1:23" ht="17.25" customHeight="1">
      <c r="A16" s="1354"/>
      <c r="B16" s="881" t="s">
        <v>207</v>
      </c>
      <c r="C16" s="422" t="s">
        <v>44</v>
      </c>
      <c r="D16" s="421" t="s">
        <v>633</v>
      </c>
      <c r="E16" s="646"/>
      <c r="F16" s="880"/>
      <c r="G16" s="1358"/>
      <c r="H16" s="1358"/>
      <c r="I16" s="1358"/>
      <c r="J16" s="423"/>
      <c r="K16" s="1314"/>
      <c r="L16" s="1315"/>
      <c r="M16" s="1316"/>
      <c r="N16" s="820"/>
      <c r="O16" s="1356"/>
      <c r="P16" s="1357"/>
      <c r="Q16" s="1357"/>
      <c r="R16" s="1357"/>
      <c r="S16" s="822"/>
    </row>
    <row r="17" spans="1:19" ht="36.75" customHeight="1">
      <c r="A17" s="1101" t="s">
        <v>9</v>
      </c>
      <c r="B17" s="84" t="s">
        <v>205</v>
      </c>
      <c r="C17" s="850" t="s">
        <v>44</v>
      </c>
      <c r="D17" s="649">
        <v>1.55</v>
      </c>
      <c r="E17" s="815">
        <v>715</v>
      </c>
      <c r="F17" s="815">
        <f>'105'!O66</f>
        <v>450</v>
      </c>
      <c r="G17" s="1311">
        <f>'105'!K66</f>
        <v>3789</v>
      </c>
      <c r="H17" s="1312"/>
      <c r="I17" s="1313"/>
      <c r="J17" s="814">
        <f>'105'!L66</f>
        <v>69</v>
      </c>
      <c r="K17" s="1330">
        <f>'105'!P66</f>
        <v>0.70166666666666666</v>
      </c>
      <c r="L17" s="1331"/>
      <c r="M17" s="1332"/>
      <c r="N17" s="820">
        <f>J17/(G17+J17)</f>
        <v>1.7884914463452566E-2</v>
      </c>
      <c r="O17" s="1333" t="str">
        <f>'105'!U66</f>
        <v>19:36最後一支交接班
08:00-10:22補料、開電熱NG  69KG</v>
      </c>
      <c r="P17" s="1334"/>
      <c r="Q17" s="1334"/>
      <c r="R17" s="1335"/>
      <c r="S17" s="860" t="str">
        <f>'105'!V66</f>
        <v>吉內思</v>
      </c>
    </row>
    <row r="18" spans="1:19" ht="17.25" customHeight="1">
      <c r="A18" s="1359"/>
      <c r="B18" s="881" t="s">
        <v>43</v>
      </c>
      <c r="C18" s="422" t="s">
        <v>44</v>
      </c>
      <c r="D18" s="421">
        <v>1.55</v>
      </c>
      <c r="E18" s="880">
        <v>715</v>
      </c>
      <c r="F18" s="880">
        <f>'105'!O67</f>
        <v>450</v>
      </c>
      <c r="G18" s="1327">
        <f>'105'!K67</f>
        <v>4645</v>
      </c>
      <c r="H18" s="1328"/>
      <c r="I18" s="1329"/>
      <c r="J18" s="423">
        <f>'105'!L67</f>
        <v>0</v>
      </c>
      <c r="K18" s="1330">
        <f>'105'!P67</f>
        <v>0.86018518518518516</v>
      </c>
      <c r="L18" s="1331"/>
      <c r="M18" s="1332"/>
      <c r="N18" s="820">
        <f>J18/(G18+J18)</f>
        <v>0</v>
      </c>
      <c r="O18" s="1333" t="str">
        <f>'105'!U67</f>
        <v>06:55最後一支交接班</v>
      </c>
      <c r="P18" s="1334"/>
      <c r="Q18" s="1334"/>
      <c r="R18" s="1335"/>
      <c r="S18" s="860" t="str">
        <f>'105'!V67</f>
        <v>阮宏山</v>
      </c>
    </row>
    <row r="19" spans="1:19" ht="17.25" customHeight="1">
      <c r="A19" s="1370" t="s">
        <v>644</v>
      </c>
      <c r="B19" s="84" t="s">
        <v>205</v>
      </c>
      <c r="C19" s="850" t="s">
        <v>42</v>
      </c>
      <c r="D19" s="649" t="s">
        <v>633</v>
      </c>
      <c r="E19" s="815"/>
      <c r="F19" s="815"/>
      <c r="G19" s="1311"/>
      <c r="H19" s="1312"/>
      <c r="I19" s="1313"/>
      <c r="J19" s="814"/>
      <c r="K19" s="1330"/>
      <c r="L19" s="1331"/>
      <c r="M19" s="1332"/>
      <c r="N19" s="820"/>
      <c r="O19" s="1364"/>
      <c r="P19" s="1365"/>
      <c r="Q19" s="1365"/>
      <c r="R19" s="1366"/>
      <c r="S19" s="822"/>
    </row>
    <row r="20" spans="1:19" ht="17.25" customHeight="1">
      <c r="A20" s="1371"/>
      <c r="B20" s="881" t="s">
        <v>43</v>
      </c>
      <c r="C20" s="422" t="s">
        <v>42</v>
      </c>
      <c r="D20" s="421" t="s">
        <v>633</v>
      </c>
      <c r="E20" s="880"/>
      <c r="F20" s="880"/>
      <c r="G20" s="1327"/>
      <c r="H20" s="1328"/>
      <c r="I20" s="1329"/>
      <c r="J20" s="423"/>
      <c r="K20" s="1541"/>
      <c r="L20" s="1542"/>
      <c r="M20" s="1543"/>
      <c r="N20" s="820"/>
      <c r="O20" s="1348"/>
      <c r="P20" s="1349"/>
      <c r="Q20" s="1349"/>
      <c r="R20" s="1350"/>
      <c r="S20" s="877"/>
    </row>
    <row r="21" spans="1:19" ht="17.25" customHeight="1">
      <c r="A21" s="1362" t="s">
        <v>418</v>
      </c>
      <c r="B21" s="84" t="s">
        <v>205</v>
      </c>
      <c r="C21" s="850" t="s">
        <v>44</v>
      </c>
      <c r="D21" s="649">
        <v>0.6</v>
      </c>
      <c r="E21" s="815">
        <v>830</v>
      </c>
      <c r="F21" s="815">
        <f>'107'!O71</f>
        <v>450</v>
      </c>
      <c r="G21" s="1311">
        <f>'107'!K71</f>
        <v>1757</v>
      </c>
      <c r="H21" s="1312"/>
      <c r="I21" s="1313"/>
      <c r="J21" s="814">
        <f>'107'!L71</f>
        <v>81</v>
      </c>
      <c r="K21" s="1524">
        <f>'107'!P71+'107'!P72</f>
        <v>0.8825925925925926</v>
      </c>
      <c r="L21" s="1525"/>
      <c r="M21" s="1526"/>
      <c r="N21" s="820">
        <f>J21/(G21+J21)</f>
        <v>4.4069640914036999E-2</v>
      </c>
      <c r="O21" s="1348" t="str">
        <f>'107'!U71</f>
        <v>11:40-12:23清洗料桶改色,NG  81KG</v>
      </c>
      <c r="P21" s="1349"/>
      <c r="Q21" s="1349"/>
      <c r="R21" s="1350"/>
      <c r="S21" s="1517" t="str">
        <f>'107'!V71</f>
        <v>黎文中</v>
      </c>
    </row>
    <row r="22" spans="1:19" ht="17.25" customHeight="1">
      <c r="A22" s="1540"/>
      <c r="B22" s="84" t="s">
        <v>205</v>
      </c>
      <c r="C22" s="850" t="s">
        <v>44</v>
      </c>
      <c r="D22" s="649">
        <v>0.47</v>
      </c>
      <c r="E22" s="815">
        <v>820</v>
      </c>
      <c r="F22" s="815">
        <f>'107'!O72</f>
        <v>450</v>
      </c>
      <c r="G22" s="1311">
        <f>'107'!K72</f>
        <v>3009</v>
      </c>
      <c r="H22" s="1312"/>
      <c r="I22" s="1313"/>
      <c r="J22" s="814">
        <f>'107'!L72</f>
        <v>0</v>
      </c>
      <c r="K22" s="1527"/>
      <c r="L22" s="1528"/>
      <c r="M22" s="1529"/>
      <c r="N22" s="820">
        <f>J22/(G22+J22)</f>
        <v>0</v>
      </c>
      <c r="O22" s="1367" t="str">
        <f>'107'!U72</f>
        <v>19:23最後一支交接班</v>
      </c>
      <c r="P22" s="1368"/>
      <c r="Q22" s="1368"/>
      <c r="R22" s="1369"/>
      <c r="S22" s="1518"/>
    </row>
    <row r="23" spans="1:19" ht="17.25" customHeight="1">
      <c r="A23" s="1363"/>
      <c r="B23" s="881" t="s">
        <v>43</v>
      </c>
      <c r="C23" s="422" t="s">
        <v>44</v>
      </c>
      <c r="D23" s="421">
        <v>0.47</v>
      </c>
      <c r="E23" s="880">
        <v>820</v>
      </c>
      <c r="F23" s="880">
        <f>'107'!O73</f>
        <v>450</v>
      </c>
      <c r="G23" s="1327">
        <f>'107'!K73</f>
        <v>5038</v>
      </c>
      <c r="H23" s="1328"/>
      <c r="I23" s="1329"/>
      <c r="J23" s="423">
        <f>'107'!L73</f>
        <v>0</v>
      </c>
      <c r="K23" s="1314">
        <f>'107'!P73</f>
        <v>0.93296296296296299</v>
      </c>
      <c r="L23" s="1315"/>
      <c r="M23" s="1316"/>
      <c r="N23" s="820">
        <f>J23/(G23+J23)</f>
        <v>0</v>
      </c>
      <c r="O23" s="1364" t="str">
        <f>'107'!U73</f>
        <v>07:04最後一支交接班</v>
      </c>
      <c r="P23" s="1365"/>
      <c r="Q23" s="1365"/>
      <c r="R23" s="1366"/>
      <c r="S23" s="822" t="str">
        <f>'107'!V73</f>
        <v>磨文林</v>
      </c>
    </row>
    <row r="24" spans="1:19" ht="17.25" customHeight="1">
      <c r="A24" s="843"/>
      <c r="B24" s="841"/>
      <c r="C24" s="850"/>
      <c r="D24" s="851"/>
      <c r="E24" s="815"/>
      <c r="F24" s="815"/>
      <c r="G24" s="832" t="s">
        <v>666</v>
      </c>
      <c r="H24" s="838"/>
      <c r="I24" s="833">
        <f>SUM(G7:I23)</f>
        <v>45955</v>
      </c>
      <c r="J24" s="833">
        <f>SUM(J7:J23)</f>
        <v>150</v>
      </c>
      <c r="K24" s="1314"/>
      <c r="L24" s="1315"/>
      <c r="M24" s="1316"/>
      <c r="N24" s="647"/>
      <c r="O24" s="1372"/>
      <c r="P24" s="1373"/>
      <c r="Q24" s="1373"/>
      <c r="R24" s="1374"/>
      <c r="S24" s="812"/>
    </row>
    <row r="25" spans="1:19" ht="20.100000000000001" hidden="1" customHeight="1">
      <c r="A25" s="1400" t="s">
        <v>10</v>
      </c>
      <c r="B25" s="84" t="s">
        <v>205</v>
      </c>
      <c r="C25" s="648" t="s">
        <v>44</v>
      </c>
      <c r="D25" s="649">
        <v>2.35</v>
      </c>
      <c r="E25" s="85">
        <v>800</v>
      </c>
      <c r="F25" s="85"/>
      <c r="G25" s="1401"/>
      <c r="H25" s="1401"/>
      <c r="I25" s="1401"/>
      <c r="J25" s="650"/>
      <c r="K25" s="1402"/>
      <c r="L25" s="1403"/>
      <c r="M25" s="1404"/>
      <c r="N25" s="647" t="e">
        <f t="shared" ref="N25:N30" si="1">J25/(G25+J25)</f>
        <v>#DIV/0!</v>
      </c>
      <c r="O25" s="1348"/>
      <c r="P25" s="1349"/>
      <c r="Q25" s="1349"/>
      <c r="R25" s="1350"/>
      <c r="S25" s="1414"/>
    </row>
    <row r="26" spans="1:19" ht="20.100000000000001" hidden="1" customHeight="1">
      <c r="A26" s="1400"/>
      <c r="B26" s="84" t="s">
        <v>0</v>
      </c>
      <c r="C26" s="648" t="s">
        <v>44</v>
      </c>
      <c r="D26" s="649">
        <v>1.85</v>
      </c>
      <c r="E26" s="85">
        <v>800</v>
      </c>
      <c r="F26" s="85"/>
      <c r="G26" s="1401"/>
      <c r="H26" s="1401"/>
      <c r="I26" s="1401"/>
      <c r="J26" s="650"/>
      <c r="K26" s="1405"/>
      <c r="L26" s="1406"/>
      <c r="M26" s="1407"/>
      <c r="N26" s="647" t="e">
        <f t="shared" si="1"/>
        <v>#DIV/0!</v>
      </c>
      <c r="O26" s="1411"/>
      <c r="P26" s="1412"/>
      <c r="Q26" s="1412"/>
      <c r="R26" s="1413"/>
      <c r="S26" s="1415"/>
    </row>
    <row r="27" spans="1:19" ht="20.100000000000001" hidden="1" customHeight="1">
      <c r="A27" s="1400"/>
      <c r="B27" s="84" t="s">
        <v>205</v>
      </c>
      <c r="C27" s="648" t="s">
        <v>44</v>
      </c>
      <c r="D27" s="649"/>
      <c r="E27" s="85"/>
      <c r="F27" s="85"/>
      <c r="G27" s="1401"/>
      <c r="H27" s="1401"/>
      <c r="I27" s="1401"/>
      <c r="J27" s="650"/>
      <c r="K27" s="1408"/>
      <c r="L27" s="1409"/>
      <c r="M27" s="1410"/>
      <c r="N27" s="647" t="e">
        <f t="shared" si="1"/>
        <v>#DIV/0!</v>
      </c>
      <c r="O27" s="1367"/>
      <c r="P27" s="1368"/>
      <c r="Q27" s="1368"/>
      <c r="R27" s="1369"/>
      <c r="S27" s="1416"/>
    </row>
    <row r="28" spans="1:19" ht="20.100000000000001" hidden="1" customHeight="1">
      <c r="A28" s="1400"/>
      <c r="B28" s="881" t="s">
        <v>207</v>
      </c>
      <c r="C28" s="422" t="s">
        <v>44</v>
      </c>
      <c r="D28" s="420">
        <v>2.35</v>
      </c>
      <c r="E28" s="880">
        <v>800</v>
      </c>
      <c r="F28" s="880"/>
      <c r="G28" s="1358"/>
      <c r="H28" s="1358"/>
      <c r="I28" s="1358"/>
      <c r="J28" s="423"/>
      <c r="K28" s="1402"/>
      <c r="L28" s="1403"/>
      <c r="M28" s="1404"/>
      <c r="N28" s="647" t="e">
        <f t="shared" si="1"/>
        <v>#DIV/0!</v>
      </c>
      <c r="O28" s="1348"/>
      <c r="P28" s="1349"/>
      <c r="Q28" s="1349"/>
      <c r="R28" s="1350"/>
      <c r="S28" s="1375"/>
    </row>
    <row r="29" spans="1:19" ht="20.100000000000001" hidden="1" customHeight="1">
      <c r="A29" s="1400"/>
      <c r="B29" s="881" t="s">
        <v>207</v>
      </c>
      <c r="C29" s="422" t="s">
        <v>44</v>
      </c>
      <c r="D29" s="420">
        <v>1.75</v>
      </c>
      <c r="E29" s="880">
        <v>715</v>
      </c>
      <c r="F29" s="880"/>
      <c r="G29" s="1358"/>
      <c r="H29" s="1358"/>
      <c r="I29" s="1358"/>
      <c r="J29" s="423"/>
      <c r="K29" s="1405"/>
      <c r="L29" s="1406"/>
      <c r="M29" s="1407"/>
      <c r="N29" s="647" t="e">
        <f t="shared" si="1"/>
        <v>#DIV/0!</v>
      </c>
      <c r="O29" s="1411"/>
      <c r="P29" s="1412"/>
      <c r="Q29" s="1412"/>
      <c r="R29" s="1413"/>
      <c r="S29" s="1376"/>
    </row>
    <row r="30" spans="1:19" ht="20.100000000000001" hidden="1" customHeight="1">
      <c r="A30" s="1400"/>
      <c r="B30" s="881" t="s">
        <v>207</v>
      </c>
      <c r="C30" s="422" t="s">
        <v>44</v>
      </c>
      <c r="D30" s="420">
        <v>1.6</v>
      </c>
      <c r="E30" s="880">
        <v>715</v>
      </c>
      <c r="F30" s="880"/>
      <c r="G30" s="1358"/>
      <c r="H30" s="1358"/>
      <c r="I30" s="1358"/>
      <c r="J30" s="423"/>
      <c r="K30" s="1408"/>
      <c r="L30" s="1409"/>
      <c r="M30" s="1410"/>
      <c r="N30" s="647" t="e">
        <f t="shared" si="1"/>
        <v>#DIV/0!</v>
      </c>
      <c r="O30" s="1367"/>
      <c r="P30" s="1368"/>
      <c r="Q30" s="1368"/>
      <c r="R30" s="1369"/>
      <c r="S30" s="1377"/>
    </row>
    <row r="31" spans="1:19" s="76" customFormat="1" ht="31.7" customHeight="1">
      <c r="A31" s="56" t="s">
        <v>212</v>
      </c>
      <c r="B31" s="388" t="s">
        <v>193</v>
      </c>
      <c r="C31" s="1378" t="s">
        <v>11</v>
      </c>
      <c r="D31" s="1379"/>
      <c r="E31" s="1380"/>
      <c r="F31" s="409" t="s">
        <v>12</v>
      </c>
      <c r="G31" s="409" t="s">
        <v>13</v>
      </c>
      <c r="H31" s="410" t="s">
        <v>215</v>
      </c>
      <c r="I31" s="411" t="s">
        <v>14</v>
      </c>
      <c r="J31" s="412" t="s">
        <v>15</v>
      </c>
      <c r="K31" s="651" t="s">
        <v>16</v>
      </c>
      <c r="L31" s="652" t="s">
        <v>60</v>
      </c>
      <c r="M31" s="653" t="s">
        <v>17</v>
      </c>
      <c r="N31" s="652" t="s">
        <v>18</v>
      </c>
      <c r="O31" s="1381" t="s">
        <v>29</v>
      </c>
      <c r="P31" s="1381"/>
      <c r="Q31" s="1381"/>
      <c r="R31" s="1381"/>
      <c r="S31" s="383" t="s">
        <v>4</v>
      </c>
    </row>
    <row r="32" spans="1:19" s="132" customFormat="1" ht="16.5" hidden="1" customHeight="1">
      <c r="A32" s="1126" t="s">
        <v>19</v>
      </c>
      <c r="B32" s="134" t="s">
        <v>0</v>
      </c>
      <c r="C32" s="1382"/>
      <c r="D32" s="1383"/>
      <c r="E32" s="1384"/>
      <c r="F32" s="380"/>
      <c r="G32" s="246">
        <f>SUM(G9:G30)</f>
        <v>45955</v>
      </c>
      <c r="H32" s="95"/>
      <c r="I32" s="844" t="e">
        <f>SUM(#REF!)</f>
        <v>#REF!</v>
      </c>
      <c r="J32" s="390"/>
      <c r="K32" s="390"/>
      <c r="L32" s="389"/>
      <c r="M32" s="1385"/>
      <c r="N32" s="654"/>
      <c r="O32" s="1388"/>
      <c r="P32" s="1389"/>
      <c r="Q32" s="1389"/>
      <c r="R32" s="1390"/>
      <c r="S32" s="1397"/>
    </row>
    <row r="33" spans="1:19" s="132" customFormat="1" ht="16.5" hidden="1" customHeight="1">
      <c r="A33" s="1189"/>
      <c r="B33" s="134" t="s">
        <v>0</v>
      </c>
      <c r="C33" s="1382"/>
      <c r="D33" s="1383"/>
      <c r="E33" s="1384"/>
      <c r="F33" s="380"/>
      <c r="G33" s="246"/>
      <c r="H33" s="95"/>
      <c r="I33" s="95"/>
      <c r="J33" s="390"/>
      <c r="K33" s="390"/>
      <c r="L33" s="389"/>
      <c r="M33" s="1386"/>
      <c r="N33" s="654"/>
      <c r="O33" s="1391"/>
      <c r="P33" s="1392"/>
      <c r="Q33" s="1392"/>
      <c r="R33" s="1393"/>
      <c r="S33" s="1398"/>
    </row>
    <row r="34" spans="1:19" s="132" customFormat="1" ht="16.5" hidden="1" customHeight="1">
      <c r="A34" s="1189"/>
      <c r="B34" s="134" t="s">
        <v>0</v>
      </c>
      <c r="C34" s="1382"/>
      <c r="D34" s="1383"/>
      <c r="E34" s="1384"/>
      <c r="F34" s="380"/>
      <c r="G34" s="246"/>
      <c r="H34" s="95"/>
      <c r="I34" s="95"/>
      <c r="J34" s="390"/>
      <c r="K34" s="390"/>
      <c r="L34" s="389"/>
      <c r="M34" s="1387"/>
      <c r="N34" s="654"/>
      <c r="O34" s="1394"/>
      <c r="P34" s="1395"/>
      <c r="Q34" s="1395"/>
      <c r="R34" s="1396"/>
      <c r="S34" s="1399"/>
    </row>
    <row r="35" spans="1:19" ht="18" hidden="1" customHeight="1">
      <c r="A35" s="1189"/>
      <c r="B35" s="381" t="s">
        <v>43</v>
      </c>
      <c r="C35" s="1417"/>
      <c r="D35" s="1418"/>
      <c r="E35" s="1419"/>
      <c r="F35" s="114"/>
      <c r="G35" s="243"/>
      <c r="H35" s="114"/>
      <c r="I35" s="114"/>
      <c r="J35" s="655"/>
      <c r="K35" s="391"/>
      <c r="L35" s="240"/>
      <c r="M35" s="1385"/>
      <c r="N35" s="654"/>
      <c r="O35" s="1388"/>
      <c r="P35" s="1389"/>
      <c r="Q35" s="1389"/>
      <c r="R35" s="1390"/>
      <c r="S35" s="1420"/>
    </row>
    <row r="36" spans="1:19" ht="18" hidden="1" customHeight="1">
      <c r="A36" s="1189"/>
      <c r="B36" s="381" t="s">
        <v>43</v>
      </c>
      <c r="C36" s="1417"/>
      <c r="D36" s="1418"/>
      <c r="E36" s="1419"/>
      <c r="F36" s="114"/>
      <c r="G36" s="243"/>
      <c r="H36" s="114"/>
      <c r="I36" s="114"/>
      <c r="J36" s="655"/>
      <c r="K36" s="391"/>
      <c r="L36" s="240"/>
      <c r="M36" s="1386"/>
      <c r="N36" s="654"/>
      <c r="O36" s="1391"/>
      <c r="P36" s="1392"/>
      <c r="Q36" s="1392"/>
      <c r="R36" s="1393"/>
      <c r="S36" s="1421"/>
    </row>
    <row r="37" spans="1:19" ht="18" hidden="1" customHeight="1">
      <c r="A37" s="1189"/>
      <c r="B37" s="381" t="s">
        <v>43</v>
      </c>
      <c r="C37" s="1417"/>
      <c r="D37" s="1418"/>
      <c r="E37" s="1419"/>
      <c r="F37" s="114"/>
      <c r="G37" s="243"/>
      <c r="H37" s="114"/>
      <c r="I37" s="114"/>
      <c r="J37" s="655"/>
      <c r="K37" s="391"/>
      <c r="L37" s="240"/>
      <c r="M37" s="1386"/>
      <c r="N37" s="654"/>
      <c r="O37" s="1391"/>
      <c r="P37" s="1392"/>
      <c r="Q37" s="1392"/>
      <c r="R37" s="1393"/>
      <c r="S37" s="1421"/>
    </row>
    <row r="38" spans="1:19" ht="18" hidden="1" customHeight="1">
      <c r="A38" s="1189"/>
      <c r="B38" s="381" t="s">
        <v>43</v>
      </c>
      <c r="C38" s="1417"/>
      <c r="D38" s="1418"/>
      <c r="E38" s="1419"/>
      <c r="F38" s="114"/>
      <c r="G38" s="243"/>
      <c r="H38" s="114"/>
      <c r="I38" s="114"/>
      <c r="J38" s="655"/>
      <c r="K38" s="391"/>
      <c r="L38" s="240"/>
      <c r="M38" s="1387"/>
      <c r="N38" s="654"/>
      <c r="O38" s="1394"/>
      <c r="P38" s="1395"/>
      <c r="Q38" s="1395"/>
      <c r="R38" s="1396"/>
      <c r="S38" s="1422"/>
    </row>
    <row r="39" spans="1:19" ht="18" hidden="1" customHeight="1">
      <c r="A39" s="1426" t="s">
        <v>61</v>
      </c>
      <c r="B39" s="84" t="s">
        <v>205</v>
      </c>
      <c r="C39" s="1382"/>
      <c r="D39" s="1383"/>
      <c r="E39" s="1384"/>
      <c r="F39" s="380"/>
      <c r="G39" s="245"/>
      <c r="H39" s="85"/>
      <c r="I39" s="85"/>
      <c r="J39" s="656"/>
      <c r="K39" s="392"/>
      <c r="L39" s="251"/>
      <c r="M39" s="1385"/>
      <c r="N39" s="428"/>
      <c r="O39" s="1388"/>
      <c r="P39" s="1389"/>
      <c r="Q39" s="1389"/>
      <c r="R39" s="1390"/>
      <c r="S39" s="1423"/>
    </row>
    <row r="40" spans="1:19" s="132" customFormat="1" ht="16.5" hidden="1" customHeight="1">
      <c r="A40" s="1426"/>
      <c r="B40" s="134" t="s">
        <v>0</v>
      </c>
      <c r="C40" s="1382"/>
      <c r="D40" s="1383"/>
      <c r="E40" s="1384"/>
      <c r="F40" s="380"/>
      <c r="G40" s="246"/>
      <c r="H40" s="95"/>
      <c r="I40" s="95"/>
      <c r="J40" s="390"/>
      <c r="K40" s="390"/>
      <c r="L40" s="389"/>
      <c r="M40" s="1386"/>
      <c r="N40" s="654"/>
      <c r="O40" s="1391"/>
      <c r="P40" s="1392"/>
      <c r="Q40" s="1392"/>
      <c r="R40" s="1393"/>
      <c r="S40" s="1424"/>
    </row>
    <row r="41" spans="1:19" s="132" customFormat="1" ht="16.5" hidden="1" customHeight="1">
      <c r="A41" s="1426"/>
      <c r="B41" s="134" t="s">
        <v>0</v>
      </c>
      <c r="C41" s="1382"/>
      <c r="D41" s="1383"/>
      <c r="E41" s="1384"/>
      <c r="F41" s="380"/>
      <c r="G41" s="246"/>
      <c r="H41" s="95"/>
      <c r="I41" s="95"/>
      <c r="J41" s="390"/>
      <c r="K41" s="390"/>
      <c r="L41" s="389"/>
      <c r="M41" s="1387"/>
      <c r="N41" s="654"/>
      <c r="O41" s="1394"/>
      <c r="P41" s="1395"/>
      <c r="Q41" s="1395"/>
      <c r="R41" s="1396"/>
      <c r="S41" s="1425"/>
    </row>
    <row r="42" spans="1:19" ht="18" hidden="1" customHeight="1">
      <c r="A42" s="1426"/>
      <c r="B42" s="381" t="s">
        <v>43</v>
      </c>
      <c r="C42" s="1417"/>
      <c r="D42" s="1418"/>
      <c r="E42" s="1419"/>
      <c r="F42" s="114"/>
      <c r="G42" s="243"/>
      <c r="H42" s="114"/>
      <c r="I42" s="114"/>
      <c r="J42" s="655"/>
      <c r="K42" s="391"/>
      <c r="L42" s="240"/>
      <c r="M42" s="1385"/>
      <c r="N42" s="654"/>
      <c r="O42" s="1388"/>
      <c r="P42" s="1389"/>
      <c r="Q42" s="1389"/>
      <c r="R42" s="1390"/>
      <c r="S42" s="1420"/>
    </row>
    <row r="43" spans="1:19" ht="18" hidden="1" customHeight="1">
      <c r="A43" s="1426"/>
      <c r="B43" s="381" t="s">
        <v>43</v>
      </c>
      <c r="C43" s="1417"/>
      <c r="D43" s="1418"/>
      <c r="E43" s="1419"/>
      <c r="F43" s="114"/>
      <c r="G43" s="243"/>
      <c r="H43" s="114"/>
      <c r="I43" s="114"/>
      <c r="J43" s="655"/>
      <c r="K43" s="391"/>
      <c r="L43" s="240"/>
      <c r="M43" s="1386"/>
      <c r="N43" s="654"/>
      <c r="O43" s="1391"/>
      <c r="P43" s="1392"/>
      <c r="Q43" s="1392"/>
      <c r="R43" s="1393"/>
      <c r="S43" s="1421"/>
    </row>
    <row r="44" spans="1:19" ht="18" hidden="1" customHeight="1">
      <c r="A44" s="1426"/>
      <c r="B44" s="381" t="s">
        <v>207</v>
      </c>
      <c r="C44" s="1417"/>
      <c r="D44" s="1418"/>
      <c r="E44" s="1419"/>
      <c r="F44" s="657"/>
      <c r="G44" s="243"/>
      <c r="H44" s="114"/>
      <c r="I44" s="114"/>
      <c r="J44" s="655"/>
      <c r="K44" s="391"/>
      <c r="L44" s="240"/>
      <c r="M44" s="1387"/>
      <c r="N44" s="428"/>
      <c r="O44" s="1394"/>
      <c r="P44" s="1395"/>
      <c r="Q44" s="1395"/>
      <c r="R44" s="1396"/>
      <c r="S44" s="1422"/>
    </row>
    <row r="45" spans="1:19" ht="18" hidden="1" customHeight="1">
      <c r="A45" s="1260" t="s">
        <v>20</v>
      </c>
      <c r="B45" s="84" t="s">
        <v>205</v>
      </c>
      <c r="C45" s="1382"/>
      <c r="D45" s="1383"/>
      <c r="E45" s="1384"/>
      <c r="F45" s="380"/>
      <c r="G45" s="245"/>
      <c r="H45" s="85"/>
      <c r="I45" s="85"/>
      <c r="J45" s="656"/>
      <c r="K45" s="393"/>
      <c r="L45" s="251"/>
      <c r="M45" s="1385"/>
      <c r="N45" s="428"/>
      <c r="O45" s="1388"/>
      <c r="P45" s="1389"/>
      <c r="Q45" s="1389"/>
      <c r="R45" s="1390"/>
      <c r="S45" s="1423"/>
    </row>
    <row r="46" spans="1:19" s="132" customFormat="1" ht="16.5" hidden="1" customHeight="1">
      <c r="A46" s="1260"/>
      <c r="B46" s="134" t="s">
        <v>0</v>
      </c>
      <c r="C46" s="1382"/>
      <c r="D46" s="1383"/>
      <c r="E46" s="1384"/>
      <c r="F46" s="380"/>
      <c r="G46" s="246"/>
      <c r="H46" s="95"/>
      <c r="I46" s="95"/>
      <c r="J46" s="390"/>
      <c r="K46" s="390"/>
      <c r="L46" s="389"/>
      <c r="M46" s="1386"/>
      <c r="N46" s="654"/>
      <c r="O46" s="1391"/>
      <c r="P46" s="1392"/>
      <c r="Q46" s="1392"/>
      <c r="R46" s="1393"/>
      <c r="S46" s="1424"/>
    </row>
    <row r="47" spans="1:19" s="132" customFormat="1" ht="16.5" hidden="1" customHeight="1">
      <c r="A47" s="1260"/>
      <c r="B47" s="134" t="s">
        <v>0</v>
      </c>
      <c r="C47" s="1382"/>
      <c r="D47" s="1383"/>
      <c r="E47" s="1384"/>
      <c r="F47" s="380"/>
      <c r="G47" s="246"/>
      <c r="H47" s="95"/>
      <c r="I47" s="95"/>
      <c r="J47" s="390"/>
      <c r="K47" s="390"/>
      <c r="L47" s="389"/>
      <c r="M47" s="1387"/>
      <c r="N47" s="654"/>
      <c r="O47" s="1394"/>
      <c r="P47" s="1395"/>
      <c r="Q47" s="1395"/>
      <c r="R47" s="1396"/>
      <c r="S47" s="1425"/>
    </row>
    <row r="48" spans="1:19" ht="18" hidden="1" customHeight="1">
      <c r="A48" s="1260"/>
      <c r="B48" s="381" t="s">
        <v>43</v>
      </c>
      <c r="C48" s="1417"/>
      <c r="D48" s="1418"/>
      <c r="E48" s="1419"/>
      <c r="F48" s="114"/>
      <c r="G48" s="243"/>
      <c r="H48" s="114"/>
      <c r="I48" s="114"/>
      <c r="J48" s="655"/>
      <c r="K48" s="391"/>
      <c r="L48" s="240"/>
      <c r="M48" s="1385"/>
      <c r="N48" s="654"/>
      <c r="O48" s="1388"/>
      <c r="P48" s="1389"/>
      <c r="Q48" s="1389"/>
      <c r="R48" s="1390"/>
      <c r="S48" s="1420"/>
    </row>
    <row r="49" spans="1:24" ht="18" hidden="1" customHeight="1">
      <c r="A49" s="1260"/>
      <c r="B49" s="381" t="s">
        <v>43</v>
      </c>
      <c r="C49" s="1417"/>
      <c r="D49" s="1418"/>
      <c r="E49" s="1419"/>
      <c r="F49" s="114"/>
      <c r="G49" s="243"/>
      <c r="H49" s="114"/>
      <c r="I49" s="114"/>
      <c r="J49" s="655"/>
      <c r="K49" s="391"/>
      <c r="L49" s="240"/>
      <c r="M49" s="1386"/>
      <c r="N49" s="654"/>
      <c r="O49" s="1391"/>
      <c r="P49" s="1392"/>
      <c r="Q49" s="1392"/>
      <c r="R49" s="1393"/>
      <c r="S49" s="1421"/>
    </row>
    <row r="50" spans="1:24" ht="15.75" hidden="1" customHeight="1">
      <c r="A50" s="1260"/>
      <c r="B50" s="381" t="s">
        <v>207</v>
      </c>
      <c r="C50" s="1417"/>
      <c r="D50" s="1418"/>
      <c r="E50" s="1419"/>
      <c r="F50" s="657"/>
      <c r="G50" s="243"/>
      <c r="H50" s="114"/>
      <c r="I50" s="114"/>
      <c r="J50" s="655"/>
      <c r="K50" s="391"/>
      <c r="L50" s="240"/>
      <c r="M50" s="1387"/>
      <c r="N50" s="428"/>
      <c r="O50" s="1394"/>
      <c r="P50" s="1395"/>
      <c r="Q50" s="1395"/>
      <c r="R50" s="1396"/>
      <c r="S50" s="1422"/>
    </row>
    <row r="51" spans="1:24" ht="36.75" customHeight="1">
      <c r="A51" s="1126" t="s">
        <v>21</v>
      </c>
      <c r="B51" s="84" t="s">
        <v>0</v>
      </c>
      <c r="C51" s="1427" t="e">
        <f>#REF!</f>
        <v>#REF!</v>
      </c>
      <c r="D51" s="1427"/>
      <c r="E51" s="1427"/>
      <c r="F51" s="827" t="s">
        <v>899</v>
      </c>
      <c r="G51" s="828" t="e">
        <f>#REF!</f>
        <v>#REF!</v>
      </c>
      <c r="H51" s="815"/>
      <c r="I51" s="827">
        <v>3</v>
      </c>
      <c r="J51" s="828" t="e">
        <f>#REF!</f>
        <v>#REF!</v>
      </c>
      <c r="K51" s="828" t="e">
        <f>#REF!</f>
        <v>#REF!</v>
      </c>
      <c r="L51" s="828" t="e">
        <f>#REF!</f>
        <v>#REF!</v>
      </c>
      <c r="M51" s="661" t="e">
        <f>#REF!</f>
        <v>#REF!</v>
      </c>
      <c r="N51" s="662" t="e">
        <f>#REF!</f>
        <v>#REF!</v>
      </c>
      <c r="O51" s="1361" t="e">
        <f>#REF!</f>
        <v>#REF!</v>
      </c>
      <c r="P51" s="1361"/>
      <c r="Q51" s="1361"/>
      <c r="R51" s="1361"/>
      <c r="S51" s="822" t="e">
        <f>#REF!</f>
        <v>#REF!</v>
      </c>
      <c r="V51" s="1382" t="s">
        <v>633</v>
      </c>
      <c r="W51" s="1383"/>
      <c r="X51" s="1384"/>
    </row>
    <row r="52" spans="1:24" ht="17.25" customHeight="1">
      <c r="A52" s="1127"/>
      <c r="B52" s="881" t="s">
        <v>43</v>
      </c>
      <c r="C52" s="1360" t="e">
        <f>#REF!</f>
        <v>#REF!</v>
      </c>
      <c r="D52" s="1360"/>
      <c r="E52" s="1360"/>
      <c r="F52" s="418" t="s">
        <v>899</v>
      </c>
      <c r="G52" s="660" t="e">
        <f>#REF!</f>
        <v>#REF!</v>
      </c>
      <c r="H52" s="880"/>
      <c r="I52" s="418">
        <v>3</v>
      </c>
      <c r="J52" s="660" t="e">
        <f>#REF!</f>
        <v>#REF!</v>
      </c>
      <c r="K52" s="660" t="e">
        <f>#REF!</f>
        <v>#REF!</v>
      </c>
      <c r="L52" s="660" t="e">
        <f>#REF!</f>
        <v>#REF!</v>
      </c>
      <c r="M52" s="661" t="e">
        <f>#REF!</f>
        <v>#REF!</v>
      </c>
      <c r="N52" s="662" t="e">
        <f>#REF!</f>
        <v>#REF!</v>
      </c>
      <c r="O52" s="1361" t="e">
        <f>#REF!</f>
        <v>#REF!</v>
      </c>
      <c r="P52" s="1361"/>
      <c r="Q52" s="1361"/>
      <c r="R52" s="1361"/>
      <c r="S52" s="822" t="e">
        <f>#REF!</f>
        <v>#REF!</v>
      </c>
      <c r="V52" s="1382" t="s">
        <v>633</v>
      </c>
      <c r="W52" s="1383"/>
      <c r="X52" s="1384"/>
    </row>
    <row r="53" spans="1:24" ht="17.25" customHeight="1">
      <c r="A53" s="1126" t="s">
        <v>22</v>
      </c>
      <c r="B53" s="84" t="s">
        <v>0</v>
      </c>
      <c r="C53" s="1427" t="s">
        <v>633</v>
      </c>
      <c r="D53" s="1427"/>
      <c r="E53" s="1427"/>
      <c r="F53" s="827"/>
      <c r="G53" s="852"/>
      <c r="H53" s="815"/>
      <c r="I53" s="827"/>
      <c r="J53" s="852"/>
      <c r="K53" s="885"/>
      <c r="L53" s="885"/>
      <c r="M53" s="863"/>
      <c r="N53" s="415"/>
      <c r="O53" s="1364"/>
      <c r="P53" s="1365"/>
      <c r="Q53" s="1365"/>
      <c r="R53" s="1366"/>
      <c r="S53" s="821"/>
    </row>
    <row r="54" spans="1:24" ht="17.25" customHeight="1">
      <c r="A54" s="1127"/>
      <c r="B54" s="881" t="s">
        <v>43</v>
      </c>
      <c r="C54" s="1360" t="s">
        <v>633</v>
      </c>
      <c r="D54" s="1360"/>
      <c r="E54" s="1360"/>
      <c r="F54" s="418"/>
      <c r="G54" s="840"/>
      <c r="H54" s="880"/>
      <c r="I54" s="418"/>
      <c r="J54" s="840"/>
      <c r="K54" s="890"/>
      <c r="L54" s="890"/>
      <c r="M54" s="863"/>
      <c r="N54" s="415"/>
      <c r="O54" s="1364"/>
      <c r="P54" s="1365"/>
      <c r="Q54" s="1365"/>
      <c r="R54" s="1366"/>
      <c r="S54" s="821"/>
    </row>
    <row r="55" spans="1:24" ht="17.25" customHeight="1">
      <c r="A55" s="1428" t="s">
        <v>23</v>
      </c>
      <c r="B55" s="84" t="s">
        <v>0</v>
      </c>
      <c r="C55" s="1427" t="e">
        <f>#REF!</f>
        <v>#REF!</v>
      </c>
      <c r="D55" s="1427"/>
      <c r="E55" s="1427"/>
      <c r="F55" s="827" t="s">
        <v>724</v>
      </c>
      <c r="G55" s="828" t="e">
        <f>#REF!</f>
        <v>#REF!</v>
      </c>
      <c r="H55" s="815"/>
      <c r="I55" s="827">
        <v>4</v>
      </c>
      <c r="J55" s="828" t="e">
        <f>#REF!</f>
        <v>#REF!</v>
      </c>
      <c r="K55" s="828" t="e">
        <f>#REF!</f>
        <v>#REF!</v>
      </c>
      <c r="L55" s="828" t="e">
        <f>#REF!</f>
        <v>#REF!</v>
      </c>
      <c r="M55" s="865" t="e">
        <f>#REF!</f>
        <v>#REF!</v>
      </c>
      <c r="N55" s="662" t="e">
        <f>#REF!</f>
        <v>#REF!</v>
      </c>
      <c r="O55" s="1364" t="e">
        <f>#REF!</f>
        <v>#REF!</v>
      </c>
      <c r="P55" s="1365"/>
      <c r="Q55" s="1365"/>
      <c r="R55" s="1366"/>
      <c r="S55" s="822" t="e">
        <f>#REF!</f>
        <v>#REF!</v>
      </c>
    </row>
    <row r="56" spans="1:24" ht="17.25" customHeight="1">
      <c r="A56" s="1563"/>
      <c r="B56" s="381" t="s">
        <v>43</v>
      </c>
      <c r="C56" s="1360" t="e">
        <f>#REF!</f>
        <v>#REF!</v>
      </c>
      <c r="D56" s="1360"/>
      <c r="E56" s="1360"/>
      <c r="F56" s="418" t="s">
        <v>724</v>
      </c>
      <c r="G56" s="660" t="e">
        <f>#REF!</f>
        <v>#REF!</v>
      </c>
      <c r="H56" s="880"/>
      <c r="I56" s="418">
        <v>3</v>
      </c>
      <c r="J56" s="660" t="e">
        <f>#REF!</f>
        <v>#REF!</v>
      </c>
      <c r="K56" s="660" t="e">
        <f>#REF!</f>
        <v>#REF!</v>
      </c>
      <c r="L56" s="660" t="e">
        <f>#REF!</f>
        <v>#REF!</v>
      </c>
      <c r="M56" s="865" t="e">
        <f>#REF!</f>
        <v>#REF!</v>
      </c>
      <c r="N56" s="662" t="e">
        <f>#REF!</f>
        <v>#REF!</v>
      </c>
      <c r="O56" s="1364" t="e">
        <f>#REF!</f>
        <v>#REF!</v>
      </c>
      <c r="P56" s="1365"/>
      <c r="Q56" s="1365"/>
      <c r="R56" s="1366"/>
      <c r="S56" s="822" t="e">
        <f>#REF!</f>
        <v>#REF!</v>
      </c>
    </row>
    <row r="57" spans="1:24" ht="17.25" customHeight="1">
      <c r="A57" s="1126" t="s">
        <v>24</v>
      </c>
      <c r="B57" s="84" t="s">
        <v>0</v>
      </c>
      <c r="C57" s="1427" t="e">
        <f>#REF!</f>
        <v>#REF!</v>
      </c>
      <c r="D57" s="1427"/>
      <c r="E57" s="1427"/>
      <c r="F57" s="827" t="s">
        <v>1253</v>
      </c>
      <c r="G57" s="828" t="e">
        <f>#REF!</f>
        <v>#REF!</v>
      </c>
      <c r="H57" s="815"/>
      <c r="I57" s="827">
        <v>3</v>
      </c>
      <c r="J57" s="828" t="e">
        <f>#REF!</f>
        <v>#REF!</v>
      </c>
      <c r="K57" s="828" t="e">
        <f>#REF!</f>
        <v>#REF!</v>
      </c>
      <c r="L57" s="828" t="e">
        <f>#REF!</f>
        <v>#REF!</v>
      </c>
      <c r="M57" s="661" t="e">
        <f>#REF!</f>
        <v>#REF!</v>
      </c>
      <c r="N57" s="662" t="e">
        <f>#REF!</f>
        <v>#REF!</v>
      </c>
      <c r="O57" s="1361" t="e">
        <f>#REF!</f>
        <v>#REF!</v>
      </c>
      <c r="P57" s="1361"/>
      <c r="Q57" s="1361"/>
      <c r="R57" s="1361"/>
      <c r="S57" s="877" t="e">
        <f>#REF!</f>
        <v>#REF!</v>
      </c>
    </row>
    <row r="58" spans="1:24" ht="17.25" customHeight="1">
      <c r="A58" s="1127"/>
      <c r="B58" s="381" t="s">
        <v>43</v>
      </c>
      <c r="C58" s="1360" t="e">
        <f>#REF!</f>
        <v>#REF!</v>
      </c>
      <c r="D58" s="1360"/>
      <c r="E58" s="1360"/>
      <c r="F58" s="418" t="s">
        <v>1253</v>
      </c>
      <c r="G58" s="660" t="e">
        <f>#REF!</f>
        <v>#REF!</v>
      </c>
      <c r="H58" s="880"/>
      <c r="I58" s="418">
        <v>3</v>
      </c>
      <c r="J58" s="660" t="e">
        <f>#REF!</f>
        <v>#REF!</v>
      </c>
      <c r="K58" s="660" t="e">
        <f>#REF!</f>
        <v>#REF!</v>
      </c>
      <c r="L58" s="660" t="e">
        <f>#REF!</f>
        <v>#REF!</v>
      </c>
      <c r="M58" s="661" t="e">
        <f>#REF!</f>
        <v>#REF!</v>
      </c>
      <c r="N58" s="662" t="e">
        <f>#REF!</f>
        <v>#REF!</v>
      </c>
      <c r="O58" s="1361" t="e">
        <f>#REF!</f>
        <v>#REF!</v>
      </c>
      <c r="P58" s="1361"/>
      <c r="Q58" s="1361"/>
      <c r="R58" s="1361"/>
      <c r="S58" s="877" t="e">
        <f>#REF!</f>
        <v>#REF!</v>
      </c>
    </row>
    <row r="59" spans="1:24" ht="36" customHeight="1">
      <c r="A59" s="1126" t="s">
        <v>634</v>
      </c>
      <c r="B59" s="84" t="s">
        <v>0</v>
      </c>
      <c r="C59" s="1427" t="e">
        <f>#REF!</f>
        <v>#REF!</v>
      </c>
      <c r="D59" s="1427"/>
      <c r="E59" s="1427"/>
      <c r="F59" s="827" t="s">
        <v>772</v>
      </c>
      <c r="G59" s="828" t="e">
        <f>#REF!</f>
        <v>#REF!</v>
      </c>
      <c r="H59" s="815"/>
      <c r="I59" s="827">
        <v>5</v>
      </c>
      <c r="J59" s="828" t="e">
        <f>#REF!</f>
        <v>#REF!</v>
      </c>
      <c r="K59" s="828" t="e">
        <f>#REF!</f>
        <v>#REF!</v>
      </c>
      <c r="L59" s="828" t="e">
        <f>#REF!</f>
        <v>#REF!</v>
      </c>
      <c r="M59" s="816" t="e">
        <f>#REF!</f>
        <v>#REF!</v>
      </c>
      <c r="N59" s="817" t="e">
        <f>#REF!</f>
        <v>#REF!</v>
      </c>
      <c r="O59" s="1430" t="e">
        <f>#REF!</f>
        <v>#REF!</v>
      </c>
      <c r="P59" s="1431"/>
      <c r="Q59" s="1431"/>
      <c r="R59" s="1432"/>
      <c r="S59" s="822" t="e">
        <f>#REF!</f>
        <v>#REF!</v>
      </c>
    </row>
    <row r="60" spans="1:24" ht="17.25" customHeight="1">
      <c r="A60" s="1127"/>
      <c r="B60" s="381" t="s">
        <v>43</v>
      </c>
      <c r="C60" s="1360" t="e">
        <f>#REF!</f>
        <v>#REF!</v>
      </c>
      <c r="D60" s="1360"/>
      <c r="E60" s="1360"/>
      <c r="F60" s="418" t="s">
        <v>775</v>
      </c>
      <c r="G60" s="660" t="e">
        <f>#REF!</f>
        <v>#REF!</v>
      </c>
      <c r="H60" s="880"/>
      <c r="I60" s="418">
        <v>5</v>
      </c>
      <c r="J60" s="660" t="e">
        <f>#REF!</f>
        <v>#REF!</v>
      </c>
      <c r="K60" s="660" t="e">
        <f>#REF!</f>
        <v>#REF!</v>
      </c>
      <c r="L60" s="660" t="e">
        <f>#REF!</f>
        <v>#REF!</v>
      </c>
      <c r="M60" s="816" t="e">
        <f>#REF!</f>
        <v>#REF!</v>
      </c>
      <c r="N60" s="817" t="e">
        <f>#REF!</f>
        <v>#REF!</v>
      </c>
      <c r="O60" s="1430" t="e">
        <f>#REF!</f>
        <v>#REF!</v>
      </c>
      <c r="P60" s="1431"/>
      <c r="Q60" s="1431"/>
      <c r="R60" s="1432"/>
      <c r="S60" s="822" t="e">
        <f>#REF!</f>
        <v>#REF!</v>
      </c>
    </row>
    <row r="61" spans="1:24" ht="17.25" customHeight="1">
      <c r="A61" s="1126" t="s">
        <v>416</v>
      </c>
      <c r="B61" s="84" t="s">
        <v>0</v>
      </c>
      <c r="C61" s="1427" t="s">
        <v>633</v>
      </c>
      <c r="D61" s="1427"/>
      <c r="E61" s="1427"/>
      <c r="F61" s="827"/>
      <c r="G61" s="828"/>
      <c r="H61" s="815"/>
      <c r="I61" s="827"/>
      <c r="J61" s="828"/>
      <c r="K61" s="828"/>
      <c r="L61" s="828"/>
      <c r="M61" s="816"/>
      <c r="N61" s="818"/>
      <c r="O61" s="1333"/>
      <c r="P61" s="1334"/>
      <c r="Q61" s="1334"/>
      <c r="R61" s="1335"/>
      <c r="S61" s="895"/>
    </row>
    <row r="62" spans="1:24" ht="17.25" customHeight="1">
      <c r="A62" s="1189"/>
      <c r="B62" s="381" t="s">
        <v>43</v>
      </c>
      <c r="C62" s="1360" t="s">
        <v>633</v>
      </c>
      <c r="D62" s="1360"/>
      <c r="E62" s="1360"/>
      <c r="F62" s="418"/>
      <c r="G62" s="660"/>
      <c r="H62" s="880"/>
      <c r="I62" s="418"/>
      <c r="J62" s="660"/>
      <c r="K62" s="660"/>
      <c r="L62" s="660"/>
      <c r="M62" s="816"/>
      <c r="N62" s="818"/>
      <c r="O62" s="1333"/>
      <c r="P62" s="1334"/>
      <c r="Q62" s="1334"/>
      <c r="R62" s="1335"/>
      <c r="S62" s="855"/>
    </row>
    <row r="63" spans="1:24" ht="17.25" customHeight="1">
      <c r="A63" s="1126" t="s">
        <v>635</v>
      </c>
      <c r="B63" s="84" t="s">
        <v>0</v>
      </c>
      <c r="C63" s="1427" t="s">
        <v>633</v>
      </c>
      <c r="D63" s="1427"/>
      <c r="E63" s="1427"/>
      <c r="F63" s="827"/>
      <c r="G63" s="828"/>
      <c r="H63" s="815"/>
      <c r="I63" s="827"/>
      <c r="J63" s="828"/>
      <c r="K63" s="828"/>
      <c r="L63" s="828"/>
      <c r="M63" s="816"/>
      <c r="N63" s="817"/>
      <c r="O63" s="1436"/>
      <c r="P63" s="1436"/>
      <c r="Q63" s="1436"/>
      <c r="R63" s="1436"/>
      <c r="S63" s="848"/>
    </row>
    <row r="64" spans="1:24" ht="17.25" customHeight="1">
      <c r="A64" s="1189"/>
      <c r="B64" s="381" t="s">
        <v>43</v>
      </c>
      <c r="C64" s="1360" t="s">
        <v>633</v>
      </c>
      <c r="D64" s="1360"/>
      <c r="E64" s="1360"/>
      <c r="F64" s="418"/>
      <c r="G64" s="660"/>
      <c r="H64" s="880"/>
      <c r="I64" s="418"/>
      <c r="J64" s="660"/>
      <c r="K64" s="660"/>
      <c r="L64" s="660"/>
      <c r="M64" s="816"/>
      <c r="N64" s="817"/>
      <c r="O64" s="1436"/>
      <c r="P64" s="1436"/>
      <c r="Q64" s="1436"/>
      <c r="R64" s="1436"/>
      <c r="S64" s="848"/>
    </row>
    <row r="65" spans="1:79" ht="17.25" customHeight="1">
      <c r="A65" s="1126" t="s">
        <v>636</v>
      </c>
      <c r="B65" s="84" t="s">
        <v>0</v>
      </c>
      <c r="C65" s="1427" t="s">
        <v>633</v>
      </c>
      <c r="D65" s="1427"/>
      <c r="E65" s="1427"/>
      <c r="F65" s="827"/>
      <c r="G65" s="828"/>
      <c r="H65" s="815"/>
      <c r="I65" s="827"/>
      <c r="J65" s="828"/>
      <c r="K65" s="828"/>
      <c r="L65" s="828"/>
      <c r="M65" s="816"/>
      <c r="N65" s="817"/>
      <c r="O65" s="1436"/>
      <c r="P65" s="1436"/>
      <c r="Q65" s="1436"/>
      <c r="R65" s="1436"/>
      <c r="S65" s="848"/>
    </row>
    <row r="66" spans="1:79" ht="17.25" customHeight="1">
      <c r="A66" s="1127"/>
      <c r="B66" s="381" t="s">
        <v>43</v>
      </c>
      <c r="C66" s="1360" t="s">
        <v>633</v>
      </c>
      <c r="D66" s="1360"/>
      <c r="E66" s="1360"/>
      <c r="F66" s="418"/>
      <c r="G66" s="660"/>
      <c r="H66" s="880"/>
      <c r="I66" s="418"/>
      <c r="J66" s="660"/>
      <c r="K66" s="660"/>
      <c r="L66" s="660"/>
      <c r="M66" s="816"/>
      <c r="N66" s="817"/>
      <c r="O66" s="1436"/>
      <c r="P66" s="1436"/>
      <c r="Q66" s="1436"/>
      <c r="R66" s="1436"/>
      <c r="S66" s="848"/>
    </row>
    <row r="67" spans="1:79" ht="17.25" customHeight="1">
      <c r="A67" s="831"/>
      <c r="B67" s="841"/>
      <c r="C67" s="882"/>
      <c r="D67" s="883"/>
      <c r="E67" s="884"/>
      <c r="F67" s="827"/>
      <c r="G67" s="828"/>
      <c r="H67" s="815"/>
      <c r="I67" s="827"/>
      <c r="J67" s="832" t="s">
        <v>666</v>
      </c>
      <c r="K67" s="836" t="e">
        <f>SUM(K51:K66)</f>
        <v>#REF!</v>
      </c>
      <c r="L67" s="839"/>
      <c r="M67" s="816"/>
      <c r="N67" s="817"/>
      <c r="O67" s="1433"/>
      <c r="P67" s="1434"/>
      <c r="Q67" s="1434"/>
      <c r="R67" s="1435"/>
      <c r="S67" s="811"/>
    </row>
    <row r="68" spans="1:79" ht="17.25" customHeight="1">
      <c r="A68" s="1568" t="s">
        <v>25</v>
      </c>
      <c r="B68" s="84" t="s">
        <v>0</v>
      </c>
      <c r="C68" s="1427" t="s">
        <v>633</v>
      </c>
      <c r="D68" s="1427"/>
      <c r="E68" s="1427"/>
      <c r="F68" s="827"/>
      <c r="G68" s="828"/>
      <c r="H68" s="815"/>
      <c r="I68" s="827"/>
      <c r="J68" s="828"/>
      <c r="K68" s="828"/>
      <c r="L68" s="828"/>
      <c r="M68" s="659"/>
      <c r="N68" s="415"/>
      <c r="O68" s="1437"/>
      <c r="P68" s="1438"/>
      <c r="Q68" s="1438"/>
      <c r="R68" s="1439"/>
      <c r="S68" s="876"/>
    </row>
    <row r="69" spans="1:79" ht="17.25" customHeight="1">
      <c r="A69" s="1570"/>
      <c r="B69" s="381" t="s">
        <v>43</v>
      </c>
      <c r="C69" s="1360" t="s">
        <v>633</v>
      </c>
      <c r="D69" s="1360"/>
      <c r="E69" s="1360"/>
      <c r="F69" s="418"/>
      <c r="G69" s="660"/>
      <c r="H69" s="880"/>
      <c r="I69" s="418"/>
      <c r="J69" s="660"/>
      <c r="K69" s="660"/>
      <c r="L69" s="660"/>
      <c r="M69" s="659"/>
      <c r="N69" s="415"/>
      <c r="O69" s="1437"/>
      <c r="P69" s="1438"/>
      <c r="Q69" s="1438"/>
      <c r="R69" s="1439"/>
      <c r="S69" s="876"/>
    </row>
    <row r="70" spans="1:79" ht="17.25" customHeight="1">
      <c r="A70" s="1126" t="s">
        <v>62</v>
      </c>
      <c r="B70" s="84" t="s">
        <v>0</v>
      </c>
      <c r="C70" s="1427" t="s">
        <v>633</v>
      </c>
      <c r="D70" s="1427"/>
      <c r="E70" s="1427"/>
      <c r="F70" s="827"/>
      <c r="G70" s="828"/>
      <c r="H70" s="815"/>
      <c r="I70" s="827"/>
      <c r="J70" s="828"/>
      <c r="K70" s="828"/>
      <c r="L70" s="828"/>
      <c r="M70" s="659"/>
      <c r="N70" s="415"/>
      <c r="O70" s="1549"/>
      <c r="P70" s="1550"/>
      <c r="Q70" s="1550"/>
      <c r="R70" s="1551"/>
      <c r="S70" s="893"/>
      <c r="T70" s="793"/>
      <c r="U70" s="793"/>
      <c r="V70" s="793"/>
      <c r="W70" s="793"/>
      <c r="X70" s="793"/>
      <c r="Y70" s="793"/>
      <c r="Z70" s="793"/>
      <c r="AA70" s="793"/>
      <c r="AB70" s="793"/>
      <c r="AC70" s="793"/>
      <c r="AD70" s="793"/>
      <c r="AE70" s="793"/>
      <c r="AF70" s="793"/>
      <c r="AG70" s="793"/>
      <c r="AH70" s="793"/>
      <c r="AI70" s="793"/>
      <c r="AJ70" s="793"/>
      <c r="AK70" s="793"/>
      <c r="AL70" s="793"/>
      <c r="AM70" s="793"/>
      <c r="AN70" s="793"/>
      <c r="AO70" s="793"/>
      <c r="AP70" s="793"/>
      <c r="AQ70" s="793"/>
      <c r="AR70" s="793"/>
      <c r="AS70" s="793"/>
      <c r="AT70" s="793"/>
      <c r="AU70" s="793"/>
      <c r="AV70" s="793"/>
      <c r="AW70" s="793"/>
      <c r="AX70" s="793"/>
      <c r="AY70" s="793"/>
      <c r="AZ70" s="793"/>
      <c r="BA70" s="793"/>
      <c r="BB70" s="793"/>
      <c r="BC70" s="793"/>
      <c r="BD70" s="793"/>
      <c r="BE70" s="793"/>
      <c r="BF70" s="793"/>
      <c r="BG70" s="793"/>
      <c r="BH70" s="793"/>
      <c r="BI70" s="793"/>
      <c r="BJ70" s="793"/>
      <c r="BK70" s="793"/>
      <c r="BL70" s="793"/>
      <c r="BM70" s="793"/>
      <c r="BN70" s="793"/>
      <c r="BO70" s="793"/>
      <c r="BP70" s="793"/>
      <c r="BQ70" s="793"/>
      <c r="BR70" s="793"/>
      <c r="BS70" s="793"/>
      <c r="BT70" s="793"/>
      <c r="BU70" s="793"/>
      <c r="BV70" s="793"/>
      <c r="BW70" s="793"/>
      <c r="BX70" s="793"/>
      <c r="BY70" s="793"/>
      <c r="BZ70" s="793"/>
      <c r="CA70" s="793"/>
    </row>
    <row r="71" spans="1:79" ht="17.25" customHeight="1">
      <c r="A71" s="1189"/>
      <c r="B71" s="381" t="s">
        <v>43</v>
      </c>
      <c r="C71" s="1360" t="s">
        <v>633</v>
      </c>
      <c r="D71" s="1360"/>
      <c r="E71" s="1360"/>
      <c r="F71" s="418"/>
      <c r="G71" s="660"/>
      <c r="H71" s="880"/>
      <c r="I71" s="418"/>
      <c r="J71" s="660"/>
      <c r="K71" s="660"/>
      <c r="L71" s="660"/>
      <c r="M71" s="659"/>
      <c r="N71" s="415"/>
      <c r="O71" s="1549"/>
      <c r="P71" s="1550"/>
      <c r="Q71" s="1550"/>
      <c r="R71" s="1551"/>
      <c r="S71" s="893"/>
      <c r="T71" s="793"/>
      <c r="U71" s="793"/>
      <c r="V71" s="793"/>
      <c r="W71" s="793"/>
      <c r="X71" s="793"/>
      <c r="Y71" s="793"/>
      <c r="Z71" s="793"/>
      <c r="AA71" s="793"/>
      <c r="AB71" s="793"/>
      <c r="AC71" s="793"/>
      <c r="AD71" s="793"/>
      <c r="AE71" s="793"/>
      <c r="AF71" s="793"/>
      <c r="AG71" s="793"/>
      <c r="AH71" s="793"/>
      <c r="AI71" s="793"/>
      <c r="AJ71" s="793"/>
      <c r="AK71" s="793"/>
      <c r="AL71" s="793"/>
      <c r="AM71" s="793"/>
      <c r="AN71" s="793"/>
      <c r="AO71" s="793"/>
      <c r="AP71" s="793"/>
      <c r="AQ71" s="793"/>
      <c r="AR71" s="793"/>
      <c r="AS71" s="793"/>
      <c r="AT71" s="793"/>
      <c r="AU71" s="793"/>
      <c r="AV71" s="793"/>
      <c r="AW71" s="793"/>
      <c r="AX71" s="793"/>
      <c r="AY71" s="793"/>
      <c r="AZ71" s="793"/>
      <c r="BA71" s="793"/>
      <c r="BB71" s="793"/>
      <c r="BC71" s="793"/>
      <c r="BD71" s="793"/>
      <c r="BE71" s="793"/>
      <c r="BF71" s="793"/>
      <c r="BG71" s="793"/>
      <c r="BH71" s="793"/>
      <c r="BI71" s="793"/>
      <c r="BJ71" s="793"/>
      <c r="BK71" s="793"/>
      <c r="BL71" s="793"/>
      <c r="BM71" s="793"/>
      <c r="BN71" s="793"/>
      <c r="BO71" s="793"/>
      <c r="BP71" s="793"/>
      <c r="BQ71" s="793"/>
      <c r="BR71" s="793"/>
      <c r="BS71" s="793"/>
      <c r="BT71" s="793"/>
      <c r="BU71" s="793"/>
      <c r="BV71" s="793"/>
      <c r="BW71" s="793"/>
      <c r="BX71" s="793"/>
      <c r="BY71" s="793"/>
      <c r="BZ71" s="793"/>
      <c r="CA71" s="793"/>
    </row>
    <row r="72" spans="1:79" ht="17.25" customHeight="1">
      <c r="A72" s="1126" t="s">
        <v>640</v>
      </c>
      <c r="B72" s="84" t="s">
        <v>0</v>
      </c>
      <c r="C72" s="1427" t="e">
        <f>#REF!</f>
        <v>#REF!</v>
      </c>
      <c r="D72" s="1427"/>
      <c r="E72" s="1427"/>
      <c r="F72" s="827" t="s">
        <v>1281</v>
      </c>
      <c r="G72" s="828" t="e">
        <f>#REF!</f>
        <v>#REF!</v>
      </c>
      <c r="H72" s="815"/>
      <c r="I72" s="827">
        <v>4</v>
      </c>
      <c r="J72" s="828" t="e">
        <f>#REF!</f>
        <v>#REF!</v>
      </c>
      <c r="K72" s="828" t="e">
        <f>#REF!</f>
        <v>#REF!</v>
      </c>
      <c r="L72" s="828" t="e">
        <f>#REF!</f>
        <v>#REF!</v>
      </c>
      <c r="M72" s="659" t="e">
        <f>#REF!</f>
        <v>#REF!</v>
      </c>
      <c r="N72" s="658" t="e">
        <f>#REF!</f>
        <v>#REF!</v>
      </c>
      <c r="O72" s="1437" t="e">
        <f>#REF!</f>
        <v>#REF!</v>
      </c>
      <c r="P72" s="1438"/>
      <c r="Q72" s="1438"/>
      <c r="R72" s="1439"/>
      <c r="S72" s="823" t="e">
        <f>#REF!</f>
        <v>#REF!</v>
      </c>
    </row>
    <row r="73" spans="1:79" ht="17.25" customHeight="1">
      <c r="A73" s="1127"/>
      <c r="B73" s="881" t="s">
        <v>43</v>
      </c>
      <c r="C73" s="1360" t="e">
        <f>#REF!</f>
        <v>#REF!</v>
      </c>
      <c r="D73" s="1360"/>
      <c r="E73" s="1360"/>
      <c r="F73" s="418" t="s">
        <v>1282</v>
      </c>
      <c r="G73" s="660" t="e">
        <f>#REF!</f>
        <v>#REF!</v>
      </c>
      <c r="H73" s="880"/>
      <c r="I73" s="418">
        <v>4</v>
      </c>
      <c r="J73" s="660" t="e">
        <f>#REF!</f>
        <v>#REF!</v>
      </c>
      <c r="K73" s="660" t="e">
        <f>#REF!</f>
        <v>#REF!</v>
      </c>
      <c r="L73" s="660" t="e">
        <f>#REF!</f>
        <v>#REF!</v>
      </c>
      <c r="M73" s="659" t="e">
        <f>#REF!</f>
        <v>#REF!</v>
      </c>
      <c r="N73" s="658" t="e">
        <f>#REF!</f>
        <v>#REF!</v>
      </c>
      <c r="O73" s="1437" t="e">
        <f>#REF!</f>
        <v>#REF!</v>
      </c>
      <c r="P73" s="1438"/>
      <c r="Q73" s="1438"/>
      <c r="R73" s="1439"/>
      <c r="S73" s="823" t="e">
        <f>#REF!</f>
        <v>#REF!</v>
      </c>
    </row>
    <row r="74" spans="1:79" ht="17.25" customHeight="1">
      <c r="A74" s="1440" t="s">
        <v>26</v>
      </c>
      <c r="B74" s="84" t="s">
        <v>0</v>
      </c>
      <c r="C74" s="1427" t="e">
        <f>#REF!</f>
        <v>#REF!</v>
      </c>
      <c r="D74" s="1427"/>
      <c r="E74" s="1427"/>
      <c r="F74" s="827" t="s">
        <v>732</v>
      </c>
      <c r="G74" s="828" t="e">
        <f>#REF!</f>
        <v>#REF!</v>
      </c>
      <c r="H74" s="815"/>
      <c r="I74" s="827">
        <v>3</v>
      </c>
      <c r="J74" s="828" t="e">
        <f>#REF!</f>
        <v>#REF!</v>
      </c>
      <c r="K74" s="828" t="e">
        <f>#REF!</f>
        <v>#REF!</v>
      </c>
      <c r="L74" s="828" t="e">
        <f>#REF!</f>
        <v>#REF!</v>
      </c>
      <c r="M74" s="842" t="e">
        <f>#REF!</f>
        <v>#REF!</v>
      </c>
      <c r="N74" s="415" t="e">
        <f>#REF!</f>
        <v>#REF!</v>
      </c>
      <c r="O74" s="1442" t="e">
        <f>#REF!</f>
        <v>#REF!</v>
      </c>
      <c r="P74" s="1443"/>
      <c r="Q74" s="1443"/>
      <c r="R74" s="1444"/>
      <c r="S74" s="822" t="e">
        <f>#REF!</f>
        <v>#REF!</v>
      </c>
      <c r="T74" s="793"/>
      <c r="U74" s="793"/>
      <c r="V74" s="793"/>
      <c r="W74" s="793"/>
      <c r="X74" s="793"/>
      <c r="Y74" s="793"/>
      <c r="Z74" s="793"/>
      <c r="AA74" s="793"/>
      <c r="AB74" s="793"/>
      <c r="AC74" s="793"/>
      <c r="AD74" s="793"/>
      <c r="AE74" s="793"/>
      <c r="AF74" s="793"/>
      <c r="AG74" s="793"/>
      <c r="AH74" s="793"/>
      <c r="AI74" s="793"/>
      <c r="AJ74" s="793"/>
      <c r="AK74" s="793"/>
      <c r="AL74" s="793"/>
      <c r="AM74" s="793"/>
      <c r="AN74" s="793"/>
      <c r="AO74" s="793"/>
      <c r="AP74" s="793"/>
      <c r="AQ74" s="793"/>
      <c r="AR74" s="793"/>
      <c r="AS74" s="793"/>
      <c r="AT74" s="793"/>
      <c r="AU74" s="793"/>
      <c r="AV74" s="793"/>
      <c r="AW74" s="793"/>
      <c r="AX74" s="793"/>
      <c r="AY74" s="793"/>
      <c r="AZ74" s="793"/>
      <c r="BA74" s="793"/>
      <c r="BB74" s="793"/>
      <c r="BC74" s="793"/>
      <c r="BD74" s="793"/>
      <c r="BE74" s="793"/>
      <c r="BF74" s="793"/>
      <c r="BG74" s="793"/>
      <c r="BH74" s="793"/>
      <c r="BI74" s="793"/>
      <c r="BJ74" s="793"/>
      <c r="BK74" s="793"/>
      <c r="BL74" s="793"/>
      <c r="BM74" s="793"/>
      <c r="BN74" s="793"/>
      <c r="BO74" s="793"/>
      <c r="BP74" s="793"/>
      <c r="BQ74" s="793"/>
      <c r="BR74" s="793"/>
      <c r="BS74" s="793"/>
      <c r="BT74" s="793"/>
      <c r="BU74" s="793"/>
      <c r="BV74" s="793"/>
      <c r="BW74" s="793"/>
      <c r="BX74" s="793"/>
      <c r="BY74" s="793"/>
      <c r="BZ74" s="793"/>
      <c r="CA74" s="793"/>
    </row>
    <row r="75" spans="1:79" ht="38.25" customHeight="1">
      <c r="A75" s="1547"/>
      <c r="B75" s="881" t="s">
        <v>43</v>
      </c>
      <c r="C75" s="1360" t="e">
        <f>#REF!</f>
        <v>#REF!</v>
      </c>
      <c r="D75" s="1360"/>
      <c r="E75" s="1360"/>
      <c r="F75" s="418" t="s">
        <v>732</v>
      </c>
      <c r="G75" s="660" t="e">
        <f>#REF!</f>
        <v>#REF!</v>
      </c>
      <c r="H75" s="880"/>
      <c r="I75" s="418">
        <v>2</v>
      </c>
      <c r="J75" s="660" t="e">
        <f>#REF!</f>
        <v>#REF!</v>
      </c>
      <c r="K75" s="660" t="e">
        <f>#REF!</f>
        <v>#REF!</v>
      </c>
      <c r="L75" s="660" t="e">
        <f>#REF!</f>
        <v>#REF!</v>
      </c>
      <c r="M75" s="842" t="e">
        <f>#REF!</f>
        <v>#REF!</v>
      </c>
      <c r="N75" s="415" t="e">
        <f>#REF!</f>
        <v>#REF!</v>
      </c>
      <c r="O75" s="1442" t="e">
        <f>#REF!</f>
        <v>#REF!</v>
      </c>
      <c r="P75" s="1443"/>
      <c r="Q75" s="1443"/>
      <c r="R75" s="1444"/>
      <c r="S75" s="822" t="e">
        <f>#REF!</f>
        <v>#REF!</v>
      </c>
      <c r="T75" s="793"/>
      <c r="U75" s="793"/>
      <c r="V75" s="793"/>
      <c r="W75" s="793"/>
      <c r="X75" s="793"/>
      <c r="Y75" s="793"/>
      <c r="Z75" s="793"/>
      <c r="AA75" s="793"/>
      <c r="AB75" s="793"/>
      <c r="AC75" s="793"/>
      <c r="AD75" s="793"/>
      <c r="AE75" s="793"/>
      <c r="AF75" s="793"/>
      <c r="AG75" s="793"/>
      <c r="AH75" s="793"/>
      <c r="AI75" s="793"/>
      <c r="AJ75" s="793"/>
      <c r="AK75" s="793"/>
      <c r="AL75" s="793"/>
      <c r="AM75" s="793"/>
      <c r="AN75" s="793"/>
      <c r="AO75" s="793"/>
      <c r="AP75" s="793"/>
      <c r="AQ75" s="793"/>
      <c r="AR75" s="793"/>
      <c r="AS75" s="793"/>
      <c r="AT75" s="793"/>
      <c r="AU75" s="793"/>
      <c r="AV75" s="793"/>
      <c r="AW75" s="793"/>
      <c r="AX75" s="793"/>
      <c r="AY75" s="793"/>
      <c r="AZ75" s="793"/>
      <c r="BA75" s="793"/>
      <c r="BB75" s="793"/>
      <c r="BC75" s="793"/>
      <c r="BD75" s="793"/>
      <c r="BE75" s="793"/>
      <c r="BF75" s="793"/>
      <c r="BG75" s="793"/>
      <c r="BH75" s="793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</row>
    <row r="76" spans="1:79" ht="17.25" customHeight="1">
      <c r="A76" s="1440" t="s">
        <v>27</v>
      </c>
      <c r="B76" s="841" t="s">
        <v>0</v>
      </c>
      <c r="C76" s="1427" t="s">
        <v>633</v>
      </c>
      <c r="D76" s="1427"/>
      <c r="E76" s="1427"/>
      <c r="F76" s="827"/>
      <c r="G76" s="828"/>
      <c r="H76" s="815"/>
      <c r="I76" s="827"/>
      <c r="J76" s="828"/>
      <c r="K76" s="828"/>
      <c r="L76" s="828"/>
      <c r="M76" s="842"/>
      <c r="N76" s="415"/>
      <c r="O76" s="1442"/>
      <c r="P76" s="1443"/>
      <c r="Q76" s="1443"/>
      <c r="R76" s="1444"/>
      <c r="S76" s="822"/>
      <c r="T76" s="793"/>
      <c r="U76" s="793"/>
      <c r="V76" s="793"/>
      <c r="W76" s="793"/>
      <c r="X76" s="793"/>
      <c r="Y76" s="793"/>
      <c r="Z76" s="793"/>
      <c r="AA76" s="793"/>
      <c r="AB76" s="793"/>
      <c r="AC76" s="793"/>
      <c r="AD76" s="793"/>
      <c r="AE76" s="793"/>
      <c r="AF76" s="793"/>
      <c r="AG76" s="793"/>
      <c r="AH76" s="793"/>
      <c r="AI76" s="793"/>
      <c r="AJ76" s="793"/>
      <c r="AK76" s="793"/>
      <c r="AL76" s="793"/>
      <c r="AM76" s="793"/>
      <c r="AN76" s="793"/>
      <c r="AO76" s="793"/>
      <c r="AP76" s="793"/>
      <c r="AQ76" s="793"/>
      <c r="AR76" s="793"/>
      <c r="AS76" s="793"/>
      <c r="AT76" s="793"/>
      <c r="AU76" s="793"/>
      <c r="AV76" s="793"/>
      <c r="AW76" s="793"/>
      <c r="AX76" s="793"/>
      <c r="AY76" s="793"/>
      <c r="AZ76" s="793"/>
      <c r="BA76" s="793"/>
      <c r="BB76" s="793"/>
      <c r="BC76" s="793"/>
      <c r="BD76" s="793"/>
      <c r="BE76" s="793"/>
      <c r="BF76" s="793"/>
      <c r="BG76" s="793"/>
      <c r="BH76" s="793"/>
      <c r="BI76" s="793"/>
      <c r="BJ76" s="793"/>
      <c r="BK76" s="793"/>
      <c r="BL76" s="793"/>
      <c r="BM76" s="793"/>
      <c r="BN76" s="793"/>
      <c r="BO76" s="793"/>
      <c r="BP76" s="793"/>
      <c r="BQ76" s="793"/>
      <c r="BR76" s="793"/>
      <c r="BS76" s="793"/>
      <c r="BT76" s="793"/>
      <c r="BU76" s="793"/>
      <c r="BV76" s="793"/>
      <c r="BW76" s="793"/>
      <c r="BX76" s="793"/>
      <c r="BY76" s="793"/>
      <c r="BZ76" s="793"/>
      <c r="CA76" s="793"/>
    </row>
    <row r="77" spans="1:79" ht="17.25" customHeight="1">
      <c r="A77" s="1547"/>
      <c r="B77" s="881" t="s">
        <v>43</v>
      </c>
      <c r="C77" s="1360" t="s">
        <v>633</v>
      </c>
      <c r="D77" s="1360"/>
      <c r="E77" s="1360"/>
      <c r="F77" s="418"/>
      <c r="G77" s="660"/>
      <c r="H77" s="880"/>
      <c r="I77" s="418"/>
      <c r="J77" s="660"/>
      <c r="K77" s="660"/>
      <c r="L77" s="660"/>
      <c r="M77" s="842"/>
      <c r="N77" s="415"/>
      <c r="O77" s="1442"/>
      <c r="P77" s="1443"/>
      <c r="Q77" s="1443"/>
      <c r="R77" s="1444"/>
      <c r="S77" s="822"/>
      <c r="T77" s="793"/>
      <c r="U77" s="793"/>
      <c r="V77" s="793"/>
      <c r="W77" s="793"/>
      <c r="X77" s="793"/>
      <c r="Y77" s="793"/>
      <c r="Z77" s="793"/>
      <c r="AA77" s="793"/>
      <c r="AB77" s="793"/>
      <c r="AC77" s="793"/>
      <c r="AD77" s="793"/>
      <c r="AE77" s="793"/>
      <c r="AF77" s="793"/>
      <c r="AG77" s="793"/>
      <c r="AH77" s="793"/>
      <c r="AI77" s="793"/>
      <c r="AJ77" s="793"/>
      <c r="AK77" s="793"/>
      <c r="AL77" s="793"/>
      <c r="AM77" s="793"/>
      <c r="AN77" s="793"/>
      <c r="AO77" s="793"/>
      <c r="AP77" s="793"/>
      <c r="AQ77" s="793"/>
      <c r="AR77" s="793"/>
      <c r="AS77" s="793"/>
      <c r="AT77" s="793"/>
      <c r="AU77" s="793"/>
      <c r="AV77" s="793"/>
      <c r="AW77" s="793"/>
      <c r="AX77" s="793"/>
      <c r="AY77" s="793"/>
      <c r="AZ77" s="793"/>
      <c r="BA77" s="793"/>
      <c r="BB77" s="793"/>
      <c r="BC77" s="793"/>
      <c r="BD77" s="793"/>
      <c r="BE77" s="793"/>
      <c r="BF77" s="793"/>
      <c r="BG77" s="793"/>
      <c r="BH77" s="793"/>
      <c r="BI77" s="793"/>
      <c r="BJ77" s="793"/>
      <c r="BK77" s="793"/>
      <c r="BL77" s="793"/>
      <c r="BM77" s="793"/>
      <c r="BN77" s="793"/>
      <c r="BO77" s="793"/>
      <c r="BP77" s="793"/>
      <c r="BQ77" s="793"/>
      <c r="BR77" s="793"/>
      <c r="BS77" s="793"/>
      <c r="BT77" s="793"/>
      <c r="BU77" s="793"/>
      <c r="BV77" s="793"/>
      <c r="BW77" s="793"/>
      <c r="BX77" s="793"/>
      <c r="BY77" s="793"/>
      <c r="BZ77" s="793"/>
      <c r="CA77" s="793"/>
    </row>
    <row r="78" spans="1:79" ht="17.25" customHeight="1">
      <c r="A78" s="1440" t="s">
        <v>641</v>
      </c>
      <c r="B78" s="84" t="s">
        <v>0</v>
      </c>
      <c r="C78" s="1427" t="s">
        <v>633</v>
      </c>
      <c r="D78" s="1427"/>
      <c r="E78" s="1427"/>
      <c r="F78" s="827"/>
      <c r="G78" s="828"/>
      <c r="H78" s="815"/>
      <c r="I78" s="827"/>
      <c r="J78" s="828"/>
      <c r="K78" s="828"/>
      <c r="L78" s="828"/>
      <c r="M78" s="659"/>
      <c r="N78" s="415"/>
      <c r="O78" s="1437"/>
      <c r="P78" s="1438"/>
      <c r="Q78" s="1438"/>
      <c r="R78" s="1439"/>
      <c r="S78" s="822"/>
      <c r="T78" s="793"/>
      <c r="U78" s="793"/>
      <c r="V78" s="793"/>
      <c r="W78" s="793"/>
      <c r="X78" s="793"/>
      <c r="Y78" s="793"/>
      <c r="Z78" s="793"/>
      <c r="AA78" s="793"/>
      <c r="AB78" s="793"/>
      <c r="AC78" s="793"/>
      <c r="AD78" s="793"/>
      <c r="AE78" s="793"/>
      <c r="AF78" s="793"/>
      <c r="AG78" s="793"/>
      <c r="AH78" s="793"/>
      <c r="AI78" s="793"/>
      <c r="AJ78" s="793"/>
      <c r="AK78" s="793"/>
      <c r="AL78" s="793"/>
      <c r="AM78" s="793"/>
      <c r="AN78" s="793"/>
      <c r="AO78" s="793"/>
      <c r="AP78" s="793"/>
      <c r="AQ78" s="793"/>
      <c r="AR78" s="793"/>
      <c r="AS78" s="793"/>
      <c r="AT78" s="793"/>
      <c r="AU78" s="793"/>
      <c r="AV78" s="793"/>
      <c r="AW78" s="793"/>
      <c r="AX78" s="793"/>
      <c r="AY78" s="793"/>
      <c r="AZ78" s="793"/>
      <c r="BA78" s="793"/>
      <c r="BB78" s="793"/>
      <c r="BC78" s="793"/>
      <c r="BD78" s="793"/>
      <c r="BE78" s="793"/>
      <c r="BF78" s="793"/>
      <c r="BG78" s="793"/>
      <c r="BH78" s="793"/>
      <c r="BI78" s="793"/>
      <c r="BJ78" s="793"/>
      <c r="BK78" s="793"/>
      <c r="BL78" s="793"/>
      <c r="BM78" s="793"/>
      <c r="BN78" s="793"/>
      <c r="BO78" s="793"/>
      <c r="BP78" s="793"/>
      <c r="BQ78" s="793"/>
      <c r="BR78" s="793"/>
      <c r="BS78" s="793"/>
      <c r="BT78" s="793"/>
      <c r="BU78" s="793"/>
      <c r="BV78" s="793"/>
      <c r="BW78" s="793"/>
      <c r="BX78" s="793"/>
      <c r="BY78" s="793"/>
      <c r="BZ78" s="793"/>
      <c r="CA78" s="793"/>
    </row>
    <row r="79" spans="1:79" ht="17.25" customHeight="1">
      <c r="A79" s="1547"/>
      <c r="B79" s="881" t="s">
        <v>43</v>
      </c>
      <c r="C79" s="1360" t="s">
        <v>633</v>
      </c>
      <c r="D79" s="1360"/>
      <c r="E79" s="1360"/>
      <c r="F79" s="418"/>
      <c r="G79" s="660"/>
      <c r="H79" s="880"/>
      <c r="I79" s="418"/>
      <c r="J79" s="660"/>
      <c r="K79" s="660"/>
      <c r="L79" s="660"/>
      <c r="M79" s="659"/>
      <c r="N79" s="415"/>
      <c r="O79" s="1437"/>
      <c r="P79" s="1438"/>
      <c r="Q79" s="1438"/>
      <c r="R79" s="1439"/>
      <c r="S79" s="822"/>
      <c r="T79" s="793"/>
      <c r="U79" s="793"/>
      <c r="V79" s="793"/>
      <c r="W79" s="793"/>
      <c r="X79" s="793"/>
      <c r="Y79" s="793"/>
      <c r="Z79" s="793"/>
      <c r="AA79" s="793"/>
      <c r="AB79" s="793"/>
      <c r="AC79" s="793"/>
      <c r="AD79" s="793"/>
      <c r="AE79" s="793"/>
      <c r="AF79" s="793"/>
      <c r="AG79" s="793"/>
      <c r="AH79" s="793"/>
      <c r="AI79" s="793"/>
      <c r="AJ79" s="793"/>
      <c r="AK79" s="793"/>
      <c r="AL79" s="793"/>
      <c r="AM79" s="793"/>
      <c r="AN79" s="793"/>
      <c r="AO79" s="793"/>
      <c r="AP79" s="793"/>
      <c r="AQ79" s="793"/>
      <c r="AR79" s="793"/>
      <c r="AS79" s="793"/>
      <c r="AT79" s="793"/>
      <c r="AU79" s="793"/>
      <c r="AV79" s="793"/>
      <c r="AW79" s="793"/>
      <c r="AX79" s="793"/>
      <c r="AY79" s="793"/>
      <c r="AZ79" s="793"/>
      <c r="BA79" s="793"/>
      <c r="BB79" s="793"/>
      <c r="BC79" s="793"/>
      <c r="BD79" s="793"/>
      <c r="BE79" s="793"/>
      <c r="BF79" s="793"/>
      <c r="BG79" s="793"/>
      <c r="BH79" s="793"/>
      <c r="BI79" s="793"/>
      <c r="BJ79" s="793"/>
      <c r="BK79" s="793"/>
      <c r="BL79" s="793"/>
      <c r="BM79" s="793"/>
      <c r="BN79" s="793"/>
      <c r="BO79" s="793"/>
      <c r="BP79" s="793"/>
      <c r="BQ79" s="793"/>
      <c r="BR79" s="793"/>
      <c r="BS79" s="793"/>
      <c r="BT79" s="793"/>
      <c r="BU79" s="793"/>
      <c r="BV79" s="793"/>
      <c r="BW79" s="793"/>
      <c r="BX79" s="793"/>
      <c r="BY79" s="793"/>
      <c r="BZ79" s="793"/>
      <c r="CA79" s="793"/>
    </row>
    <row r="80" spans="1:79" ht="34.5" customHeight="1">
      <c r="A80" s="1126" t="s">
        <v>642</v>
      </c>
      <c r="B80" s="84" t="s">
        <v>0</v>
      </c>
      <c r="C80" s="1427" t="e">
        <f>#REF!</f>
        <v>#REF!</v>
      </c>
      <c r="D80" s="1427"/>
      <c r="E80" s="1427"/>
      <c r="F80" s="827" t="s">
        <v>1240</v>
      </c>
      <c r="G80" s="828" t="e">
        <f>#REF!</f>
        <v>#REF!</v>
      </c>
      <c r="H80" s="815"/>
      <c r="I80" s="827">
        <v>7</v>
      </c>
      <c r="J80" s="828" t="e">
        <f>#REF!</f>
        <v>#REF!</v>
      </c>
      <c r="K80" s="828" t="e">
        <f>#REF!</f>
        <v>#REF!</v>
      </c>
      <c r="L80" s="828" t="e">
        <f>#REF!</f>
        <v>#REF!</v>
      </c>
      <c r="M80" s="816" t="e">
        <f>#REF!</f>
        <v>#REF!</v>
      </c>
      <c r="N80" s="415" t="e">
        <f>#REF!</f>
        <v>#REF!</v>
      </c>
      <c r="O80" s="1437" t="e">
        <f>#REF!</f>
        <v>#REF!</v>
      </c>
      <c r="P80" s="1438"/>
      <c r="Q80" s="1438"/>
      <c r="R80" s="1439"/>
      <c r="S80" s="823" t="e">
        <f>#REF!</f>
        <v>#REF!</v>
      </c>
      <c r="T80" s="793"/>
      <c r="U80" s="793"/>
      <c r="V80" s="793"/>
      <c r="W80" s="793"/>
      <c r="X80" s="793"/>
      <c r="Y80" s="793"/>
      <c r="Z80" s="793"/>
      <c r="AA80" s="793"/>
      <c r="AB80" s="793"/>
      <c r="AC80" s="793"/>
      <c r="AD80" s="793"/>
      <c r="AE80" s="793"/>
      <c r="AF80" s="793"/>
      <c r="AG80" s="793"/>
      <c r="AH80" s="793"/>
      <c r="AI80" s="793"/>
      <c r="AJ80" s="793"/>
      <c r="AK80" s="793"/>
      <c r="AL80" s="793"/>
      <c r="AM80" s="793"/>
      <c r="AN80" s="793"/>
      <c r="AO80" s="793"/>
      <c r="AP80" s="793"/>
      <c r="AQ80" s="793"/>
      <c r="AR80" s="793"/>
      <c r="AS80" s="793"/>
      <c r="AT80" s="793"/>
      <c r="AU80" s="793"/>
      <c r="AV80" s="793"/>
      <c r="AW80" s="793"/>
      <c r="AX80" s="793"/>
      <c r="AY80" s="793"/>
      <c r="AZ80" s="793"/>
      <c r="BA80" s="793"/>
      <c r="BB80" s="793"/>
      <c r="BC80" s="793"/>
      <c r="BD80" s="793"/>
      <c r="BE80" s="793"/>
      <c r="BF80" s="793"/>
      <c r="BG80" s="793"/>
      <c r="BH80" s="793"/>
      <c r="BI80" s="793"/>
      <c r="BJ80" s="793"/>
      <c r="BK80" s="793"/>
      <c r="BL80" s="793"/>
      <c r="BM80" s="793"/>
      <c r="BN80" s="793"/>
      <c r="BO80" s="793"/>
      <c r="BP80" s="793"/>
      <c r="BQ80" s="793"/>
      <c r="BR80" s="793"/>
      <c r="BS80" s="793"/>
      <c r="BT80" s="793"/>
      <c r="BU80" s="793"/>
      <c r="BV80" s="793"/>
      <c r="BW80" s="793"/>
      <c r="BX80" s="793"/>
      <c r="BY80" s="793"/>
      <c r="BZ80" s="793"/>
      <c r="CA80" s="793"/>
    </row>
    <row r="81" spans="1:79" ht="17.25" customHeight="1">
      <c r="A81" s="1189"/>
      <c r="B81" s="881" t="s">
        <v>43</v>
      </c>
      <c r="C81" s="1360" t="e">
        <f>#REF!</f>
        <v>#REF!</v>
      </c>
      <c r="D81" s="1360"/>
      <c r="E81" s="1360"/>
      <c r="F81" s="418" t="s">
        <v>1240</v>
      </c>
      <c r="G81" s="660" t="e">
        <f>#REF!</f>
        <v>#REF!</v>
      </c>
      <c r="H81" s="880"/>
      <c r="I81" s="418">
        <v>9</v>
      </c>
      <c r="J81" s="660" t="e">
        <f>#REF!</f>
        <v>#REF!</v>
      </c>
      <c r="K81" s="660" t="e">
        <f>#REF!</f>
        <v>#REF!</v>
      </c>
      <c r="L81" s="660" t="e">
        <f>#REF!</f>
        <v>#REF!</v>
      </c>
      <c r="M81" s="816" t="e">
        <f>#REF!</f>
        <v>#REF!</v>
      </c>
      <c r="N81" s="415" t="e">
        <f>#REF!</f>
        <v>#REF!</v>
      </c>
      <c r="O81" s="1437" t="e">
        <f>#REF!</f>
        <v>#REF!</v>
      </c>
      <c r="P81" s="1438"/>
      <c r="Q81" s="1438"/>
      <c r="R81" s="1439"/>
      <c r="S81" s="823" t="e">
        <f>#REF!</f>
        <v>#REF!</v>
      </c>
      <c r="T81" s="793"/>
      <c r="U81" s="793"/>
      <c r="V81" s="793"/>
      <c r="W81" s="793"/>
      <c r="X81" s="793"/>
      <c r="Y81" s="793"/>
      <c r="Z81" s="793"/>
      <c r="AA81" s="793"/>
      <c r="AB81" s="793"/>
      <c r="AC81" s="793"/>
      <c r="AD81" s="793"/>
      <c r="AE81" s="793"/>
      <c r="AF81" s="793"/>
      <c r="AG81" s="793"/>
      <c r="AH81" s="793"/>
      <c r="AI81" s="793"/>
      <c r="AJ81" s="793"/>
      <c r="AK81" s="793"/>
      <c r="AL81" s="793"/>
      <c r="AM81" s="793"/>
      <c r="AN81" s="793"/>
      <c r="AO81" s="793"/>
      <c r="AP81" s="793"/>
      <c r="AQ81" s="793"/>
      <c r="AR81" s="793"/>
      <c r="AS81" s="793"/>
      <c r="AT81" s="793"/>
      <c r="AU81" s="793"/>
      <c r="AV81" s="793"/>
      <c r="AW81" s="793"/>
      <c r="AX81" s="793"/>
      <c r="AY81" s="793"/>
      <c r="AZ81" s="793"/>
      <c r="BA81" s="793"/>
      <c r="BB81" s="793"/>
      <c r="BC81" s="793"/>
      <c r="BD81" s="793"/>
      <c r="BE81" s="793"/>
      <c r="BF81" s="793"/>
      <c r="BG81" s="793"/>
      <c r="BH81" s="793"/>
      <c r="BI81" s="793"/>
      <c r="BJ81" s="793"/>
      <c r="BK81" s="793"/>
      <c r="BL81" s="793"/>
      <c r="BM81" s="793"/>
      <c r="BN81" s="793"/>
      <c r="BO81" s="793"/>
      <c r="BP81" s="793"/>
      <c r="BQ81" s="793"/>
      <c r="BR81" s="793"/>
      <c r="BS81" s="793"/>
      <c r="BT81" s="793"/>
      <c r="BU81" s="793"/>
      <c r="BV81" s="793"/>
      <c r="BW81" s="793"/>
      <c r="BX81" s="793"/>
      <c r="BY81" s="793"/>
      <c r="BZ81" s="793"/>
      <c r="CA81" s="793"/>
    </row>
    <row r="82" spans="1:79" ht="36" customHeight="1">
      <c r="A82" s="1126" t="s">
        <v>643</v>
      </c>
      <c r="B82" s="84" t="s">
        <v>0</v>
      </c>
      <c r="C82" s="1427" t="e">
        <f>#REF!</f>
        <v>#REF!</v>
      </c>
      <c r="D82" s="1427"/>
      <c r="E82" s="1427"/>
      <c r="F82" s="827" t="s">
        <v>1283</v>
      </c>
      <c r="G82" s="828" t="e">
        <f>#REF!</f>
        <v>#REF!</v>
      </c>
      <c r="H82" s="815"/>
      <c r="I82" s="827">
        <v>8</v>
      </c>
      <c r="J82" s="828" t="e">
        <f>#REF!</f>
        <v>#REF!</v>
      </c>
      <c r="K82" s="828" t="e">
        <f>#REF!</f>
        <v>#REF!</v>
      </c>
      <c r="L82" s="828" t="e">
        <f>#REF!</f>
        <v>#REF!</v>
      </c>
      <c r="M82" s="659" t="e">
        <f>#REF!</f>
        <v>#REF!</v>
      </c>
      <c r="N82" s="415" t="e">
        <f>#REF!</f>
        <v>#REF!</v>
      </c>
      <c r="O82" s="1554" t="e">
        <f>#REF!</f>
        <v>#REF!</v>
      </c>
      <c r="P82" s="1555"/>
      <c r="Q82" s="1555"/>
      <c r="R82" s="1556"/>
      <c r="S82" s="877" t="e">
        <f>#REF!</f>
        <v>#REF!</v>
      </c>
      <c r="T82" s="793"/>
      <c r="U82" s="793"/>
      <c r="V82" s="793"/>
      <c r="W82" s="793"/>
      <c r="X82" s="793"/>
      <c r="Y82" s="793"/>
      <c r="Z82" s="793"/>
      <c r="AA82" s="793"/>
      <c r="AB82" s="793"/>
      <c r="AC82" s="793"/>
      <c r="AD82" s="793"/>
      <c r="AE82" s="793"/>
      <c r="AF82" s="793"/>
      <c r="AG82" s="793"/>
      <c r="AH82" s="793"/>
      <c r="AI82" s="793"/>
      <c r="AJ82" s="793"/>
      <c r="AK82" s="793"/>
      <c r="AL82" s="793"/>
      <c r="AM82" s="793"/>
      <c r="AN82" s="793"/>
      <c r="AO82" s="793"/>
      <c r="AP82" s="793"/>
      <c r="AQ82" s="793"/>
      <c r="AR82" s="793"/>
      <c r="AS82" s="793"/>
      <c r="AT82" s="793"/>
      <c r="AU82" s="793"/>
      <c r="AV82" s="793"/>
      <c r="AW82" s="793"/>
      <c r="AX82" s="793"/>
      <c r="AY82" s="793"/>
      <c r="AZ82" s="793"/>
      <c r="BA82" s="793"/>
      <c r="BB82" s="793"/>
      <c r="BC82" s="793"/>
      <c r="BD82" s="793"/>
      <c r="BE82" s="793"/>
      <c r="BF82" s="793"/>
      <c r="BG82" s="793"/>
      <c r="BH82" s="793"/>
      <c r="BI82" s="793"/>
      <c r="BJ82" s="793"/>
      <c r="BK82" s="793"/>
      <c r="BL82" s="793"/>
      <c r="BM82" s="793"/>
      <c r="BN82" s="793"/>
      <c r="BO82" s="793"/>
      <c r="BP82" s="793"/>
      <c r="BQ82" s="793"/>
      <c r="BR82" s="793"/>
      <c r="BS82" s="793"/>
      <c r="BT82" s="793"/>
      <c r="BU82" s="793"/>
      <c r="BV82" s="793"/>
      <c r="BW82" s="793"/>
      <c r="BX82" s="793"/>
      <c r="BY82" s="793"/>
      <c r="BZ82" s="793"/>
      <c r="CA82" s="793"/>
    </row>
    <row r="83" spans="1:79" ht="17.25" customHeight="1">
      <c r="A83" s="1189"/>
      <c r="B83" s="881" t="s">
        <v>43</v>
      </c>
      <c r="C83" s="1360" t="e">
        <f>#REF!</f>
        <v>#REF!</v>
      </c>
      <c r="D83" s="1360"/>
      <c r="E83" s="1360"/>
      <c r="F83" s="418" t="s">
        <v>1283</v>
      </c>
      <c r="G83" s="660" t="e">
        <f>#REF!</f>
        <v>#REF!</v>
      </c>
      <c r="H83" s="880"/>
      <c r="I83" s="418">
        <v>10</v>
      </c>
      <c r="J83" s="660" t="e">
        <f>#REF!</f>
        <v>#REF!</v>
      </c>
      <c r="K83" s="660" t="e">
        <f>#REF!</f>
        <v>#REF!</v>
      </c>
      <c r="L83" s="660" t="e">
        <f>#REF!</f>
        <v>#REF!</v>
      </c>
      <c r="M83" s="659" t="e">
        <f>#REF!</f>
        <v>#REF!</v>
      </c>
      <c r="N83" s="415" t="e">
        <f>#REF!</f>
        <v>#REF!</v>
      </c>
      <c r="O83" s="1554" t="e">
        <f>#REF!</f>
        <v>#REF!</v>
      </c>
      <c r="P83" s="1555"/>
      <c r="Q83" s="1555"/>
      <c r="R83" s="1556"/>
      <c r="S83" s="877" t="e">
        <f>#REF!</f>
        <v>#REF!</v>
      </c>
      <c r="T83" s="793"/>
      <c r="U83" s="793"/>
      <c r="V83" s="793"/>
      <c r="W83" s="793"/>
      <c r="X83" s="793"/>
      <c r="Y83" s="793"/>
      <c r="Z83" s="793"/>
      <c r="AA83" s="793"/>
      <c r="AB83" s="793"/>
      <c r="AC83" s="793"/>
      <c r="AD83" s="793"/>
      <c r="AE83" s="793"/>
      <c r="AF83" s="793"/>
      <c r="AG83" s="793"/>
      <c r="AH83" s="793"/>
      <c r="AI83" s="793"/>
      <c r="AJ83" s="793"/>
      <c r="AK83" s="793"/>
      <c r="AL83" s="793"/>
      <c r="AM83" s="793"/>
      <c r="AN83" s="793"/>
      <c r="AO83" s="793"/>
      <c r="AP83" s="793"/>
      <c r="AQ83" s="793"/>
      <c r="AR83" s="793"/>
      <c r="AS83" s="793"/>
      <c r="AT83" s="793"/>
      <c r="AU83" s="793"/>
      <c r="AV83" s="793"/>
      <c r="AW83" s="793"/>
      <c r="AX83" s="793"/>
      <c r="AY83" s="793"/>
      <c r="AZ83" s="793"/>
      <c r="BA83" s="793"/>
      <c r="BB83" s="793"/>
      <c r="BC83" s="793"/>
      <c r="BD83" s="793"/>
      <c r="BE83" s="793"/>
      <c r="BF83" s="793"/>
      <c r="BG83" s="793"/>
      <c r="BH83" s="793"/>
      <c r="BI83" s="793"/>
      <c r="BJ83" s="793"/>
      <c r="BK83" s="793"/>
      <c r="BL83" s="793"/>
      <c r="BM83" s="793"/>
      <c r="BN83" s="793"/>
      <c r="BO83" s="793"/>
      <c r="BP83" s="793"/>
      <c r="BQ83" s="793"/>
      <c r="BR83" s="793"/>
      <c r="BS83" s="793"/>
      <c r="BT83" s="793"/>
      <c r="BU83" s="793"/>
      <c r="BV83" s="793"/>
      <c r="BW83" s="793"/>
      <c r="BX83" s="793"/>
      <c r="BY83" s="793"/>
      <c r="BZ83" s="793"/>
      <c r="CA83" s="793"/>
    </row>
    <row r="84" spans="1:79" ht="17.25" customHeight="1">
      <c r="A84" s="1126" t="s">
        <v>651</v>
      </c>
      <c r="B84" s="84" t="s">
        <v>0</v>
      </c>
      <c r="C84" s="1427" t="s">
        <v>633</v>
      </c>
      <c r="D84" s="1427"/>
      <c r="E84" s="1427"/>
      <c r="F84" s="827"/>
      <c r="G84" s="828"/>
      <c r="H84" s="815"/>
      <c r="I84" s="827"/>
      <c r="J84" s="828"/>
      <c r="K84" s="828"/>
      <c r="L84" s="828"/>
      <c r="M84" s="659"/>
      <c r="N84" s="415"/>
      <c r="O84" s="1437"/>
      <c r="P84" s="1438"/>
      <c r="Q84" s="1438"/>
      <c r="R84" s="1439"/>
      <c r="S84" s="823"/>
      <c r="T84" s="793"/>
      <c r="U84" s="793"/>
      <c r="V84" s="793"/>
      <c r="W84" s="793"/>
      <c r="X84" s="793"/>
      <c r="Y84" s="793"/>
      <c r="Z84" s="793"/>
      <c r="AA84" s="793"/>
      <c r="AB84" s="793"/>
      <c r="AC84" s="793"/>
      <c r="AD84" s="793"/>
      <c r="AE84" s="793"/>
      <c r="AF84" s="793"/>
      <c r="AG84" s="793"/>
      <c r="AH84" s="793"/>
      <c r="AI84" s="793"/>
      <c r="AJ84" s="793"/>
      <c r="AK84" s="793"/>
      <c r="AL84" s="793"/>
      <c r="AM84" s="793"/>
      <c r="AN84" s="793"/>
      <c r="AO84" s="793"/>
      <c r="AP84" s="793"/>
      <c r="AQ84" s="793"/>
      <c r="AR84" s="793"/>
      <c r="AS84" s="793"/>
      <c r="AT84" s="793"/>
      <c r="AU84" s="793"/>
      <c r="AV84" s="793"/>
      <c r="AW84" s="793"/>
      <c r="AX84" s="793"/>
      <c r="AY84" s="793"/>
      <c r="AZ84" s="793"/>
      <c r="BA84" s="793"/>
      <c r="BB84" s="793"/>
      <c r="BC84" s="793"/>
      <c r="BD84" s="793"/>
      <c r="BE84" s="793"/>
      <c r="BF84" s="793"/>
      <c r="BG84" s="793"/>
      <c r="BH84" s="793"/>
      <c r="BI84" s="793"/>
      <c r="BJ84" s="793"/>
      <c r="BK84" s="793"/>
      <c r="BL84" s="793"/>
      <c r="BM84" s="793"/>
      <c r="BN84" s="793"/>
      <c r="BO84" s="793"/>
      <c r="BP84" s="793"/>
      <c r="BQ84" s="793"/>
      <c r="BR84" s="793"/>
      <c r="BS84" s="793"/>
      <c r="BT84" s="793"/>
      <c r="BU84" s="793"/>
      <c r="BV84" s="793"/>
      <c r="BW84" s="793"/>
      <c r="BX84" s="793"/>
      <c r="BY84" s="793"/>
      <c r="BZ84" s="793"/>
      <c r="CA84" s="793"/>
    </row>
    <row r="85" spans="1:79" ht="17.25" customHeight="1">
      <c r="A85" s="1127"/>
      <c r="B85" s="881" t="s">
        <v>43</v>
      </c>
      <c r="C85" s="1360" t="s">
        <v>633</v>
      </c>
      <c r="D85" s="1360"/>
      <c r="E85" s="1360"/>
      <c r="F85" s="418"/>
      <c r="G85" s="660"/>
      <c r="H85" s="880"/>
      <c r="I85" s="418"/>
      <c r="J85" s="660"/>
      <c r="K85" s="660"/>
      <c r="L85" s="660"/>
      <c r="M85" s="659"/>
      <c r="N85" s="415"/>
      <c r="O85" s="1437"/>
      <c r="P85" s="1438"/>
      <c r="Q85" s="1438"/>
      <c r="R85" s="1439"/>
      <c r="S85" s="82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  <c r="BA85" s="793"/>
      <c r="BB85" s="793"/>
      <c r="BC85" s="793"/>
      <c r="BD85" s="793"/>
      <c r="BE85" s="793"/>
      <c r="BF85" s="793"/>
      <c r="BG85" s="793"/>
      <c r="BH85" s="793"/>
      <c r="BI85" s="793"/>
      <c r="BJ85" s="793"/>
      <c r="BK85" s="793"/>
      <c r="BL85" s="793"/>
      <c r="BM85" s="793"/>
      <c r="BN85" s="793"/>
      <c r="BO85" s="793"/>
      <c r="BP85" s="793"/>
      <c r="BQ85" s="793"/>
      <c r="BR85" s="793"/>
      <c r="BS85" s="793"/>
      <c r="BT85" s="793"/>
      <c r="BU85" s="793"/>
      <c r="BV85" s="793"/>
      <c r="BW85" s="793"/>
      <c r="BX85" s="793"/>
      <c r="BY85" s="793"/>
      <c r="BZ85" s="793"/>
      <c r="CA85" s="793"/>
    </row>
    <row r="86" spans="1:79" ht="17.25" customHeight="1">
      <c r="A86" s="837"/>
      <c r="B86" s="841"/>
      <c r="C86" s="882"/>
      <c r="D86" s="883"/>
      <c r="E86" s="883"/>
      <c r="F86" s="845"/>
      <c r="G86" s="846"/>
      <c r="H86" s="815"/>
      <c r="I86" s="827"/>
      <c r="J86" s="834" t="s">
        <v>666</v>
      </c>
      <c r="K86" s="847" t="e">
        <f>SUM(K68:K85)</f>
        <v>#REF!</v>
      </c>
      <c r="L86" s="829"/>
      <c r="M86" s="659"/>
      <c r="N86" s="415"/>
      <c r="O86" s="1437"/>
      <c r="P86" s="1438"/>
      <c r="Q86" s="1438"/>
      <c r="R86" s="1439"/>
      <c r="S86" s="862"/>
      <c r="T86" s="793"/>
      <c r="U86" s="793"/>
      <c r="V86" s="793"/>
      <c r="W86" s="793"/>
      <c r="X86" s="793"/>
      <c r="Y86" s="793"/>
      <c r="Z86" s="793"/>
      <c r="AA86" s="793"/>
      <c r="AB86" s="793"/>
      <c r="AC86" s="793"/>
      <c r="AD86" s="793"/>
      <c r="AE86" s="793"/>
      <c r="AF86" s="793"/>
      <c r="AG86" s="793"/>
      <c r="AH86" s="793"/>
      <c r="AI86" s="793"/>
      <c r="AJ86" s="793"/>
      <c r="AK86" s="793"/>
      <c r="AL86" s="793"/>
      <c r="AM86" s="793"/>
      <c r="AN86" s="793"/>
      <c r="AO86" s="793"/>
      <c r="AP86" s="793"/>
      <c r="AQ86" s="793"/>
      <c r="AR86" s="793"/>
      <c r="AS86" s="793"/>
      <c r="AT86" s="793"/>
      <c r="AU86" s="793"/>
      <c r="AV86" s="793"/>
      <c r="AW86" s="793"/>
      <c r="AX86" s="793"/>
      <c r="AY86" s="793"/>
      <c r="AZ86" s="793"/>
      <c r="BA86" s="793"/>
      <c r="BB86" s="793"/>
      <c r="BC86" s="793"/>
      <c r="BD86" s="793"/>
      <c r="BE86" s="793"/>
      <c r="BF86" s="793"/>
      <c r="BG86" s="793"/>
      <c r="BH86" s="793"/>
      <c r="BI86" s="793"/>
      <c r="BJ86" s="793"/>
      <c r="BK86" s="793"/>
      <c r="BL86" s="793"/>
      <c r="BM86" s="793"/>
      <c r="BN86" s="793"/>
      <c r="BO86" s="793"/>
      <c r="BP86" s="793"/>
      <c r="BQ86" s="793"/>
      <c r="BR86" s="793"/>
      <c r="BS86" s="793"/>
      <c r="BT86" s="793"/>
      <c r="BU86" s="793"/>
      <c r="BV86" s="793"/>
      <c r="BW86" s="793"/>
      <c r="BX86" s="793"/>
      <c r="BY86" s="793"/>
      <c r="BZ86" s="793"/>
      <c r="CA86" s="793"/>
    </row>
    <row r="87" spans="1:79" s="76" customFormat="1" ht="39" customHeight="1">
      <c r="A87" s="400" t="s">
        <v>63</v>
      </c>
      <c r="B87" s="400" t="s">
        <v>193</v>
      </c>
      <c r="C87" s="1445" t="s">
        <v>11</v>
      </c>
      <c r="D87" s="1446"/>
      <c r="E87" s="1446"/>
      <c r="F87" s="1446"/>
      <c r="G87" s="1447"/>
      <c r="H87" s="242" t="s">
        <v>216</v>
      </c>
      <c r="I87" s="242" t="s">
        <v>12</v>
      </c>
      <c r="J87" s="242" t="s">
        <v>13</v>
      </c>
      <c r="K87" s="405" t="s">
        <v>218</v>
      </c>
      <c r="L87" s="416" t="s">
        <v>60</v>
      </c>
      <c r="M87" s="257" t="s">
        <v>28</v>
      </c>
      <c r="N87" s="257" t="s">
        <v>45</v>
      </c>
      <c r="O87" s="1448" t="s">
        <v>29</v>
      </c>
      <c r="P87" s="1449"/>
      <c r="Q87" s="1449"/>
      <c r="R87" s="1450"/>
      <c r="S87" s="417" t="s">
        <v>57</v>
      </c>
    </row>
    <row r="88" spans="1:79" ht="18" customHeight="1">
      <c r="A88" s="1199">
        <v>401</v>
      </c>
      <c r="B88" s="84" t="s">
        <v>0</v>
      </c>
      <c r="C88" s="1290">
        <f>印401!I57</f>
        <v>0</v>
      </c>
      <c r="D88" s="1290"/>
      <c r="E88" s="1290"/>
      <c r="F88" s="1290"/>
      <c r="G88" s="1290"/>
      <c r="H88" s="849"/>
      <c r="I88" s="849">
        <f>印401!R57</f>
        <v>0</v>
      </c>
      <c r="J88" s="852">
        <f>印401!S57</f>
        <v>0</v>
      </c>
      <c r="K88" s="872">
        <f>印401!L57</f>
        <v>0</v>
      </c>
      <c r="L88" s="873">
        <f>印401!N57</f>
        <v>0</v>
      </c>
      <c r="M88" s="852">
        <f>印401!P57</f>
        <v>0</v>
      </c>
      <c r="N88" s="853">
        <f>印401!Q57</f>
        <v>0</v>
      </c>
      <c r="O88" s="1451"/>
      <c r="P88" s="1452"/>
      <c r="Q88" s="1452"/>
      <c r="R88" s="1453"/>
      <c r="S88" s="874">
        <f>印401!AB57</f>
        <v>0</v>
      </c>
    </row>
    <row r="89" spans="1:79" ht="18" customHeight="1">
      <c r="A89" s="1216"/>
      <c r="B89" s="84" t="s">
        <v>0</v>
      </c>
      <c r="C89" s="1290">
        <f>印401!I58</f>
        <v>0</v>
      </c>
      <c r="D89" s="1290"/>
      <c r="E89" s="1290"/>
      <c r="F89" s="1290"/>
      <c r="G89" s="1290"/>
      <c r="H89" s="849"/>
      <c r="I89" s="849">
        <f>印401!R58</f>
        <v>0</v>
      </c>
      <c r="J89" s="852">
        <f>印401!S58</f>
        <v>0</v>
      </c>
      <c r="K89" s="872">
        <f>印401!L58</f>
        <v>0</v>
      </c>
      <c r="L89" s="873">
        <f>印401!N58</f>
        <v>0</v>
      </c>
      <c r="M89" s="852">
        <f>印401!P58</f>
        <v>0</v>
      </c>
      <c r="N89" s="853">
        <f>印401!Q58</f>
        <v>0</v>
      </c>
      <c r="O89" s="1451"/>
      <c r="P89" s="1452"/>
      <c r="Q89" s="1452"/>
      <c r="R89" s="1453"/>
      <c r="S89" s="874">
        <f>印401!AB58</f>
        <v>0</v>
      </c>
    </row>
    <row r="90" spans="1:79" ht="18" customHeight="1">
      <c r="A90" s="1165"/>
      <c r="B90" s="881" t="s">
        <v>43</v>
      </c>
      <c r="C90" s="1454" t="s">
        <v>633</v>
      </c>
      <c r="D90" s="1454"/>
      <c r="E90" s="1454"/>
      <c r="F90" s="1454"/>
      <c r="G90" s="1454"/>
      <c r="H90" s="664"/>
      <c r="I90" s="664"/>
      <c r="J90" s="840"/>
      <c r="K90" s="424"/>
      <c r="L90" s="830"/>
      <c r="M90" s="840"/>
      <c r="N90" s="672"/>
      <c r="O90" s="1455"/>
      <c r="P90" s="1456"/>
      <c r="Q90" s="1456"/>
      <c r="R90" s="1457"/>
      <c r="S90" s="810"/>
    </row>
    <row r="91" spans="1:79" ht="18" customHeight="1">
      <c r="A91" s="1461">
        <v>402</v>
      </c>
      <c r="B91" s="84" t="s">
        <v>205</v>
      </c>
      <c r="C91" s="1290" t="e">
        <f>#REF!</f>
        <v>#REF!</v>
      </c>
      <c r="D91" s="1290"/>
      <c r="E91" s="1290"/>
      <c r="F91" s="1290"/>
      <c r="G91" s="1290"/>
      <c r="H91" s="849"/>
      <c r="I91" s="849" t="e">
        <f>#REF!</f>
        <v>#REF!</v>
      </c>
      <c r="J91" s="852" t="e">
        <f>#REF!</f>
        <v>#REF!</v>
      </c>
      <c r="K91" s="872" t="e">
        <f>#REF!</f>
        <v>#REF!</v>
      </c>
      <c r="L91" s="873" t="e">
        <f>#REF!</f>
        <v>#REF!</v>
      </c>
      <c r="M91" s="852" t="e">
        <f>#REF!</f>
        <v>#REF!</v>
      </c>
      <c r="N91" s="853" t="e">
        <f>#REF!</f>
        <v>#REF!</v>
      </c>
      <c r="O91" s="1451"/>
      <c r="P91" s="1452"/>
      <c r="Q91" s="1452"/>
      <c r="R91" s="1453"/>
      <c r="S91" s="874" t="e">
        <f>#REF!</f>
        <v>#REF!</v>
      </c>
    </row>
    <row r="92" spans="1:79" ht="18" customHeight="1">
      <c r="A92" s="1571"/>
      <c r="B92" s="84" t="s">
        <v>205</v>
      </c>
      <c r="C92" s="1290" t="e">
        <f>#REF!</f>
        <v>#REF!</v>
      </c>
      <c r="D92" s="1290"/>
      <c r="E92" s="1290"/>
      <c r="F92" s="1290"/>
      <c r="G92" s="1290"/>
      <c r="H92" s="849"/>
      <c r="I92" s="849" t="e">
        <f>#REF!</f>
        <v>#REF!</v>
      </c>
      <c r="J92" s="852" t="e">
        <f>#REF!</f>
        <v>#REF!</v>
      </c>
      <c r="K92" s="872" t="e">
        <f>#REF!</f>
        <v>#REF!</v>
      </c>
      <c r="L92" s="873" t="e">
        <f>#REF!</f>
        <v>#REF!</v>
      </c>
      <c r="M92" s="852" t="e">
        <f>#REF!</f>
        <v>#REF!</v>
      </c>
      <c r="N92" s="853" t="e">
        <f>#REF!</f>
        <v>#REF!</v>
      </c>
      <c r="O92" s="1451"/>
      <c r="P92" s="1452"/>
      <c r="Q92" s="1452"/>
      <c r="R92" s="1453"/>
      <c r="S92" s="874" t="e">
        <f>#REF!</f>
        <v>#REF!</v>
      </c>
    </row>
    <row r="93" spans="1:79" ht="18" customHeight="1">
      <c r="A93" s="1462"/>
      <c r="B93" s="881" t="s">
        <v>43</v>
      </c>
      <c r="C93" s="1454" t="s">
        <v>633</v>
      </c>
      <c r="D93" s="1454"/>
      <c r="E93" s="1454"/>
      <c r="F93" s="1454"/>
      <c r="G93" s="1454"/>
      <c r="H93" s="664"/>
      <c r="I93" s="664"/>
      <c r="J93" s="840"/>
      <c r="K93" s="424"/>
      <c r="L93" s="830"/>
      <c r="M93" s="840"/>
      <c r="N93" s="672"/>
      <c r="O93" s="1455"/>
      <c r="P93" s="1456"/>
      <c r="Q93" s="1456"/>
      <c r="R93" s="1457"/>
      <c r="S93" s="810"/>
    </row>
    <row r="94" spans="1:79" ht="17.25" customHeight="1">
      <c r="A94" s="1466">
        <v>403</v>
      </c>
      <c r="B94" s="244" t="s">
        <v>0</v>
      </c>
      <c r="C94" s="1290" t="e">
        <f>#REF!</f>
        <v>#REF!</v>
      </c>
      <c r="D94" s="1290"/>
      <c r="E94" s="1290"/>
      <c r="F94" s="1290"/>
      <c r="G94" s="1290"/>
      <c r="H94" s="849"/>
      <c r="I94" s="849" t="e">
        <f>#REF!</f>
        <v>#REF!</v>
      </c>
      <c r="J94" s="852" t="e">
        <f>#REF!</f>
        <v>#REF!</v>
      </c>
      <c r="K94" s="872" t="e">
        <f>#REF!</f>
        <v>#REF!</v>
      </c>
      <c r="L94" s="852" t="e">
        <f>#REF!</f>
        <v>#REF!</v>
      </c>
      <c r="M94" s="852" t="e">
        <f>#REF!</f>
        <v>#REF!</v>
      </c>
      <c r="N94" s="853" t="e">
        <f>#REF!</f>
        <v>#REF!</v>
      </c>
      <c r="O94" s="1451"/>
      <c r="P94" s="1452"/>
      <c r="Q94" s="1452"/>
      <c r="R94" s="1453"/>
      <c r="S94" s="874" t="e">
        <f>#REF!</f>
        <v>#REF!</v>
      </c>
    </row>
    <row r="95" spans="1:79" ht="17.25" customHeight="1">
      <c r="A95" s="1533"/>
      <c r="B95" s="244" t="s">
        <v>0</v>
      </c>
      <c r="C95" s="1290" t="e">
        <f>#REF!</f>
        <v>#REF!</v>
      </c>
      <c r="D95" s="1290"/>
      <c r="E95" s="1290"/>
      <c r="F95" s="1290"/>
      <c r="G95" s="1290"/>
      <c r="H95" s="849"/>
      <c r="I95" s="849" t="e">
        <f>#REF!</f>
        <v>#REF!</v>
      </c>
      <c r="J95" s="852" t="e">
        <f>#REF!</f>
        <v>#REF!</v>
      </c>
      <c r="K95" s="872" t="e">
        <f>#REF!</f>
        <v>#REF!</v>
      </c>
      <c r="L95" s="852" t="e">
        <f>#REF!</f>
        <v>#REF!</v>
      </c>
      <c r="M95" s="852" t="e">
        <f>#REF!</f>
        <v>#REF!</v>
      </c>
      <c r="N95" s="853" t="e">
        <f>#REF!</f>
        <v>#REF!</v>
      </c>
      <c r="O95" s="1451"/>
      <c r="P95" s="1452"/>
      <c r="Q95" s="1452"/>
      <c r="R95" s="1453"/>
      <c r="S95" s="874" t="e">
        <f>#REF!</f>
        <v>#REF!</v>
      </c>
    </row>
    <row r="96" spans="1:79" ht="17.25" customHeight="1">
      <c r="A96" s="1533"/>
      <c r="B96" s="244" t="s">
        <v>0</v>
      </c>
      <c r="C96" s="1290" t="e">
        <f>#REF!</f>
        <v>#REF!</v>
      </c>
      <c r="D96" s="1290"/>
      <c r="E96" s="1290"/>
      <c r="F96" s="1290"/>
      <c r="G96" s="1290"/>
      <c r="H96" s="849"/>
      <c r="I96" s="849" t="e">
        <f>#REF!</f>
        <v>#REF!</v>
      </c>
      <c r="J96" s="852" t="e">
        <f>#REF!</f>
        <v>#REF!</v>
      </c>
      <c r="K96" s="872" t="e">
        <f>#REF!</f>
        <v>#REF!</v>
      </c>
      <c r="L96" s="852" t="e">
        <f>#REF!</f>
        <v>#REF!</v>
      </c>
      <c r="M96" s="852" t="e">
        <f>#REF!</f>
        <v>#REF!</v>
      </c>
      <c r="N96" s="853" t="e">
        <f>#REF!</f>
        <v>#REF!</v>
      </c>
      <c r="O96" s="1451"/>
      <c r="P96" s="1452"/>
      <c r="Q96" s="1452"/>
      <c r="R96" s="1453"/>
      <c r="S96" s="874" t="e">
        <f>#REF!</f>
        <v>#REF!</v>
      </c>
    </row>
    <row r="97" spans="1:19" ht="17.25" customHeight="1">
      <c r="A97" s="1467"/>
      <c r="B97" s="881" t="s">
        <v>43</v>
      </c>
      <c r="C97" s="1454" t="s">
        <v>633</v>
      </c>
      <c r="D97" s="1454"/>
      <c r="E97" s="1454"/>
      <c r="F97" s="1454"/>
      <c r="G97" s="1454"/>
      <c r="H97" s="664"/>
      <c r="I97" s="664"/>
      <c r="J97" s="840"/>
      <c r="K97" s="424"/>
      <c r="L97" s="840"/>
      <c r="M97" s="840"/>
      <c r="N97" s="672"/>
      <c r="O97" s="1455"/>
      <c r="P97" s="1456"/>
      <c r="Q97" s="1456"/>
      <c r="R97" s="1457"/>
      <c r="S97" s="810"/>
    </row>
    <row r="98" spans="1:19" ht="18" customHeight="1">
      <c r="A98" s="1199">
        <v>405</v>
      </c>
      <c r="B98" s="84" t="s">
        <v>0</v>
      </c>
      <c r="C98" s="1290" t="e">
        <f>#REF!</f>
        <v>#REF!</v>
      </c>
      <c r="D98" s="1290"/>
      <c r="E98" s="1290"/>
      <c r="F98" s="1290"/>
      <c r="G98" s="1290"/>
      <c r="H98" s="849"/>
      <c r="I98" s="849" t="e">
        <f>#REF!</f>
        <v>#REF!</v>
      </c>
      <c r="J98" s="852" t="e">
        <f>#REF!</f>
        <v>#REF!</v>
      </c>
      <c r="K98" s="872" t="e">
        <f>#REF!</f>
        <v>#REF!</v>
      </c>
      <c r="L98" s="852" t="e">
        <f>#REF!</f>
        <v>#REF!</v>
      </c>
      <c r="M98" s="852" t="e">
        <f>#REF!</f>
        <v>#REF!</v>
      </c>
      <c r="N98" s="853" t="e">
        <f>#REF!</f>
        <v>#REF!</v>
      </c>
      <c r="O98" s="1451"/>
      <c r="P98" s="1452"/>
      <c r="Q98" s="1452"/>
      <c r="R98" s="1453"/>
      <c r="S98" s="874" t="e">
        <f>#REF!</f>
        <v>#REF!</v>
      </c>
    </row>
    <row r="99" spans="1:19" ht="18" customHeight="1">
      <c r="A99" s="1216"/>
      <c r="B99" s="84" t="s">
        <v>0</v>
      </c>
      <c r="C99" s="1290" t="e">
        <f>#REF!</f>
        <v>#REF!</v>
      </c>
      <c r="D99" s="1290"/>
      <c r="E99" s="1290"/>
      <c r="F99" s="1290"/>
      <c r="G99" s="1290"/>
      <c r="H99" s="849"/>
      <c r="I99" s="849" t="e">
        <f>#REF!</f>
        <v>#REF!</v>
      </c>
      <c r="J99" s="852" t="e">
        <f>#REF!</f>
        <v>#REF!</v>
      </c>
      <c r="K99" s="872" t="e">
        <f>#REF!</f>
        <v>#REF!</v>
      </c>
      <c r="L99" s="852" t="e">
        <f>#REF!</f>
        <v>#REF!</v>
      </c>
      <c r="M99" s="852" t="e">
        <f>#REF!</f>
        <v>#REF!</v>
      </c>
      <c r="N99" s="853" t="e">
        <f>#REF!</f>
        <v>#REF!</v>
      </c>
      <c r="O99" s="1451"/>
      <c r="P99" s="1452"/>
      <c r="Q99" s="1452"/>
      <c r="R99" s="1453"/>
      <c r="S99" s="874" t="e">
        <f>#REF!</f>
        <v>#REF!</v>
      </c>
    </row>
    <row r="100" spans="1:19" ht="18" customHeight="1">
      <c r="A100" s="1165"/>
      <c r="B100" s="881" t="s">
        <v>43</v>
      </c>
      <c r="C100" s="1454" t="e">
        <f>#REF!</f>
        <v>#REF!</v>
      </c>
      <c r="D100" s="1454"/>
      <c r="E100" s="1454"/>
      <c r="F100" s="1454"/>
      <c r="G100" s="1454"/>
      <c r="H100" s="664"/>
      <c r="I100" s="664" t="e">
        <f>#REF!</f>
        <v>#REF!</v>
      </c>
      <c r="J100" s="840" t="e">
        <f>#REF!</f>
        <v>#REF!</v>
      </c>
      <c r="K100" s="424" t="e">
        <f>#REF!</f>
        <v>#REF!</v>
      </c>
      <c r="L100" s="840" t="e">
        <f>#REF!</f>
        <v>#REF!</v>
      </c>
      <c r="M100" s="840" t="e">
        <f>#REF!</f>
        <v>#REF!</v>
      </c>
      <c r="N100" s="672" t="e">
        <f>#REF!</f>
        <v>#REF!</v>
      </c>
      <c r="O100" s="1455"/>
      <c r="P100" s="1456"/>
      <c r="Q100" s="1456"/>
      <c r="R100" s="1457"/>
      <c r="S100" s="810" t="e">
        <f>#REF!</f>
        <v>#REF!</v>
      </c>
    </row>
    <row r="101" spans="1:19" ht="18" customHeight="1">
      <c r="A101" s="314"/>
      <c r="B101" s="841"/>
      <c r="C101" s="1458"/>
      <c r="D101" s="1459"/>
      <c r="E101" s="1459"/>
      <c r="F101" s="1459"/>
      <c r="G101" s="1460"/>
      <c r="H101" s="849"/>
      <c r="I101" s="849"/>
      <c r="J101" s="834" t="s">
        <v>666</v>
      </c>
      <c r="K101" s="835" t="e">
        <f>SUM(K88:K97)</f>
        <v>#REF!</v>
      </c>
      <c r="L101" s="1599" t="s">
        <v>1259</v>
      </c>
      <c r="M101" s="1600"/>
      <c r="N101" s="1601"/>
      <c r="O101" s="886"/>
      <c r="P101" s="887"/>
      <c r="Q101" s="887"/>
      <c r="R101" s="888"/>
      <c r="S101" s="854"/>
    </row>
    <row r="102" spans="1:19" s="76" customFormat="1" ht="31.7" hidden="1" customHeight="1">
      <c r="A102" s="400" t="s">
        <v>425</v>
      </c>
      <c r="B102" s="400" t="s">
        <v>193</v>
      </c>
      <c r="C102" s="1282" t="e">
        <f>[1]印403!J91</f>
        <v>#REF!</v>
      </c>
      <c r="D102" s="1283"/>
      <c r="E102" s="1283"/>
      <c r="F102" s="1283"/>
      <c r="G102" s="1468"/>
      <c r="H102" s="242" t="s">
        <v>216</v>
      </c>
      <c r="I102" s="242" t="s">
        <v>12</v>
      </c>
      <c r="J102" s="242" t="s">
        <v>13</v>
      </c>
      <c r="K102" s="405" t="s">
        <v>218</v>
      </c>
      <c r="L102" s="427" t="s">
        <v>60</v>
      </c>
      <c r="M102" s="399" t="e">
        <f>[1]印403!O90</f>
        <v>#REF!</v>
      </c>
      <c r="N102" s="257" t="s">
        <v>45</v>
      </c>
      <c r="O102" s="1448" t="s">
        <v>29</v>
      </c>
      <c r="P102" s="1449"/>
      <c r="Q102" s="1449"/>
      <c r="R102" s="1450"/>
      <c r="S102" s="417" t="s">
        <v>57</v>
      </c>
    </row>
    <row r="103" spans="1:19" ht="15" hidden="1" customHeight="1">
      <c r="A103" s="1199" t="s">
        <v>426</v>
      </c>
      <c r="B103" s="84" t="s">
        <v>205</v>
      </c>
      <c r="C103" s="1282" t="e">
        <f>[1]印403!J92</f>
        <v>#REF!</v>
      </c>
      <c r="D103" s="1283"/>
      <c r="E103" s="1283"/>
      <c r="F103" s="1283"/>
      <c r="G103" s="1468"/>
      <c r="H103" s="663"/>
      <c r="I103" s="663"/>
      <c r="J103" s="399"/>
      <c r="K103" s="665"/>
      <c r="L103" s="673"/>
      <c r="M103" s="399" t="e">
        <f>[1]印403!O91</f>
        <v>#REF!</v>
      </c>
      <c r="N103" s="399"/>
      <c r="O103" s="1469"/>
      <c r="P103" s="1245"/>
      <c r="Q103" s="1245"/>
      <c r="R103" s="1246"/>
      <c r="S103" s="1470"/>
    </row>
    <row r="104" spans="1:19" ht="13.7" hidden="1" customHeight="1">
      <c r="A104" s="1216"/>
      <c r="B104" s="84" t="s">
        <v>205</v>
      </c>
      <c r="C104" s="1282" t="e">
        <f>[1]印403!J93</f>
        <v>#REF!</v>
      </c>
      <c r="D104" s="1283"/>
      <c r="E104" s="1283"/>
      <c r="F104" s="1283"/>
      <c r="G104" s="1468"/>
      <c r="H104" s="663"/>
      <c r="I104" s="663"/>
      <c r="J104" s="399"/>
      <c r="K104" s="665"/>
      <c r="L104" s="673"/>
      <c r="M104" s="399" t="e">
        <f>[1]印403!O92</f>
        <v>#REF!</v>
      </c>
      <c r="N104" s="425"/>
      <c r="O104" s="666"/>
      <c r="P104" s="667"/>
      <c r="Q104" s="667"/>
      <c r="R104" s="668"/>
      <c r="S104" s="1471"/>
    </row>
    <row r="105" spans="1:19" ht="15" hidden="1" customHeight="1">
      <c r="A105" s="1216"/>
      <c r="B105" s="84" t="s">
        <v>205</v>
      </c>
      <c r="C105" s="1282" t="e">
        <f>[1]印403!J94</f>
        <v>#REF!</v>
      </c>
      <c r="D105" s="1283"/>
      <c r="E105" s="1283"/>
      <c r="F105" s="1283"/>
      <c r="G105" s="1468"/>
      <c r="H105" s="663"/>
      <c r="I105" s="663"/>
      <c r="J105" s="399"/>
      <c r="K105" s="665"/>
      <c r="L105" s="673"/>
      <c r="M105" s="399" t="e">
        <f>[1]印403!O93</f>
        <v>#REF!</v>
      </c>
      <c r="N105" s="425"/>
      <c r="O105" s="666"/>
      <c r="P105" s="667"/>
      <c r="Q105" s="667"/>
      <c r="R105" s="668"/>
      <c r="S105" s="1471"/>
    </row>
    <row r="106" spans="1:19" ht="15" hidden="1" customHeight="1">
      <c r="A106" s="1216"/>
      <c r="B106" s="84" t="s">
        <v>205</v>
      </c>
      <c r="C106" s="1282" t="e">
        <f>[1]印403!J95</f>
        <v>#REF!</v>
      </c>
      <c r="D106" s="1283"/>
      <c r="E106" s="1283"/>
      <c r="F106" s="1283"/>
      <c r="G106" s="1468"/>
      <c r="H106" s="663"/>
      <c r="I106" s="663"/>
      <c r="J106" s="399"/>
      <c r="K106" s="665"/>
      <c r="L106" s="673"/>
      <c r="M106" s="399" t="e">
        <f>[1]印403!O94</f>
        <v>#REF!</v>
      </c>
      <c r="N106" s="425"/>
      <c r="O106" s="666"/>
      <c r="P106" s="667"/>
      <c r="Q106" s="667"/>
      <c r="R106" s="668"/>
      <c r="S106" s="1471"/>
    </row>
    <row r="107" spans="1:19" ht="15" hidden="1" customHeight="1">
      <c r="A107" s="1216"/>
      <c r="B107" s="84" t="s">
        <v>205</v>
      </c>
      <c r="C107" s="1282" t="e">
        <f>[1]印403!J96</f>
        <v>#REF!</v>
      </c>
      <c r="D107" s="1283"/>
      <c r="E107" s="1283"/>
      <c r="F107" s="1283"/>
      <c r="G107" s="1468"/>
      <c r="H107" s="663"/>
      <c r="I107" s="663"/>
      <c r="J107" s="399"/>
      <c r="K107" s="665"/>
      <c r="L107" s="673"/>
      <c r="M107" s="399" t="e">
        <f>[1]印403!O95</f>
        <v>#REF!</v>
      </c>
      <c r="N107" s="425"/>
      <c r="O107" s="669"/>
      <c r="P107" s="670"/>
      <c r="Q107" s="670"/>
      <c r="R107" s="671"/>
      <c r="S107" s="1471"/>
    </row>
    <row r="108" spans="1:19" ht="16.5" hidden="1" customHeight="1">
      <c r="A108" s="1216"/>
      <c r="B108" s="881" t="s">
        <v>43</v>
      </c>
      <c r="C108" s="1282" t="e">
        <f>[1]印403!J97</f>
        <v>#REF!</v>
      </c>
      <c r="D108" s="1283"/>
      <c r="E108" s="1283"/>
      <c r="F108" s="1283"/>
      <c r="G108" s="1468"/>
      <c r="H108" s="664"/>
      <c r="I108" s="664"/>
      <c r="J108" s="840"/>
      <c r="K108" s="424"/>
      <c r="L108" s="426"/>
      <c r="M108" s="399" t="e">
        <f>[1]印403!O96</f>
        <v>#REF!</v>
      </c>
      <c r="N108" s="672"/>
      <c r="O108" s="1476"/>
      <c r="P108" s="1477"/>
      <c r="Q108" s="1477"/>
      <c r="R108" s="1478"/>
      <c r="S108" s="1485"/>
    </row>
    <row r="109" spans="1:19" ht="15" hidden="1" customHeight="1">
      <c r="A109" s="1216"/>
      <c r="B109" s="881" t="s">
        <v>43</v>
      </c>
      <c r="C109" s="1282" t="e">
        <f>[1]印403!J98</f>
        <v>#REF!</v>
      </c>
      <c r="D109" s="1283"/>
      <c r="E109" s="1283"/>
      <c r="F109" s="1283"/>
      <c r="G109" s="1468"/>
      <c r="H109" s="664"/>
      <c r="I109" s="664"/>
      <c r="J109" s="840"/>
      <c r="K109" s="424"/>
      <c r="L109" s="426"/>
      <c r="M109" s="399" t="e">
        <f>[1]印403!O97</f>
        <v>#REF!</v>
      </c>
      <c r="N109" s="672"/>
      <c r="O109" s="1479"/>
      <c r="P109" s="1480"/>
      <c r="Q109" s="1480"/>
      <c r="R109" s="1481"/>
      <c r="S109" s="1485"/>
    </row>
    <row r="110" spans="1:19" ht="15" hidden="1" customHeight="1">
      <c r="A110" s="1216"/>
      <c r="B110" s="881" t="s">
        <v>43</v>
      </c>
      <c r="C110" s="1282" t="e">
        <f>[1]印403!J99</f>
        <v>#REF!</v>
      </c>
      <c r="D110" s="1283"/>
      <c r="E110" s="1283"/>
      <c r="F110" s="1283"/>
      <c r="G110" s="1468"/>
      <c r="H110" s="664"/>
      <c r="I110" s="664"/>
      <c r="J110" s="840"/>
      <c r="K110" s="424"/>
      <c r="L110" s="426"/>
      <c r="M110" s="399" t="e">
        <f>[1]印403!O98</f>
        <v>#REF!</v>
      </c>
      <c r="N110" s="672"/>
      <c r="O110" s="1479"/>
      <c r="P110" s="1480"/>
      <c r="Q110" s="1480"/>
      <c r="R110" s="1481"/>
      <c r="S110" s="1485"/>
    </row>
    <row r="111" spans="1:19" ht="15" hidden="1" customHeight="1">
      <c r="A111" s="1165"/>
      <c r="B111" s="881" t="s">
        <v>43</v>
      </c>
      <c r="C111" s="1282" t="e">
        <f>[1]印403!J100</f>
        <v>#REF!</v>
      </c>
      <c r="D111" s="1283"/>
      <c r="E111" s="1283"/>
      <c r="F111" s="1283"/>
      <c r="G111" s="1468"/>
      <c r="H111" s="664"/>
      <c r="I111" s="664"/>
      <c r="J111" s="840"/>
      <c r="K111" s="424"/>
      <c r="L111" s="426"/>
      <c r="M111" s="399" t="e">
        <f>[1]印403!O99</f>
        <v>#REF!</v>
      </c>
      <c r="N111" s="672"/>
      <c r="O111" s="1482"/>
      <c r="P111" s="1483"/>
      <c r="Q111" s="1483"/>
      <c r="R111" s="1484"/>
      <c r="S111" s="1486"/>
    </row>
    <row r="112" spans="1:19" ht="6" customHeight="1">
      <c r="A112" s="248"/>
      <c r="C112" s="249"/>
    </row>
    <row r="113" spans="1:20" ht="6" customHeight="1" thickBot="1">
      <c r="A113" s="248"/>
      <c r="C113" s="249"/>
    </row>
    <row r="114" spans="1:20" ht="15" customHeight="1" thickTop="1">
      <c r="A114" s="1472" t="s">
        <v>30</v>
      </c>
      <c r="B114" s="1473"/>
      <c r="C114" s="1473"/>
      <c r="D114" s="1473"/>
      <c r="E114" s="376">
        <v>1954400</v>
      </c>
      <c r="F114" s="75" t="s">
        <v>64</v>
      </c>
      <c r="G114" s="1472" t="s">
        <v>31</v>
      </c>
      <c r="H114" s="1473"/>
      <c r="I114" s="1473"/>
      <c r="J114" s="1473"/>
      <c r="K114" s="1473"/>
      <c r="L114" s="377">
        <v>813000</v>
      </c>
      <c r="M114" s="75" t="s">
        <v>64</v>
      </c>
      <c r="N114" s="1472" t="s">
        <v>32</v>
      </c>
      <c r="O114" s="1473"/>
      <c r="P114" s="1473"/>
      <c r="Q114" s="377">
        <v>3317500</v>
      </c>
      <c r="R114" s="75" t="s">
        <v>64</v>
      </c>
      <c r="S114" s="75"/>
    </row>
    <row r="115" spans="1:20" ht="15" customHeight="1" thickBot="1">
      <c r="A115" s="1474" t="s">
        <v>66</v>
      </c>
      <c r="B115" s="1475"/>
      <c r="C115" s="1475"/>
      <c r="D115" s="1475"/>
      <c r="E115" s="674">
        <f>(84*600)+(50*1000)</f>
        <v>100400</v>
      </c>
      <c r="G115" s="1474" t="s">
        <v>66</v>
      </c>
      <c r="H115" s="1475"/>
      <c r="I115" s="1475"/>
      <c r="J115" s="1475"/>
      <c r="K115" s="1475"/>
      <c r="L115" s="674">
        <f>(17+15)*1000</f>
        <v>32000</v>
      </c>
      <c r="N115" s="1474" t="s">
        <v>33</v>
      </c>
      <c r="O115" s="1475"/>
      <c r="P115" s="1475"/>
      <c r="Q115" s="674">
        <f>(76*1000)+((50+50)*600)</f>
        <v>136000</v>
      </c>
      <c r="R115" s="75"/>
      <c r="S115" s="75"/>
    </row>
    <row r="116" spans="1:20" ht="15" customHeight="1" thickTop="1" thickBot="1">
      <c r="A116" s="1487" t="s">
        <v>34</v>
      </c>
      <c r="B116" s="1488"/>
      <c r="C116" s="1488"/>
      <c r="D116" s="1488"/>
      <c r="E116" s="378">
        <f>E114+E115</f>
        <v>2054800</v>
      </c>
      <c r="F116" s="75" t="s">
        <v>64</v>
      </c>
      <c r="G116" s="1487" t="s">
        <v>35</v>
      </c>
      <c r="H116" s="1488"/>
      <c r="I116" s="1488"/>
      <c r="J116" s="1488"/>
      <c r="K116" s="1488"/>
      <c r="L116" s="379">
        <f>L114+L115</f>
        <v>845000</v>
      </c>
      <c r="M116" s="75" t="s">
        <v>64</v>
      </c>
      <c r="N116" s="1487" t="s">
        <v>36</v>
      </c>
      <c r="O116" s="1488"/>
      <c r="P116" s="1488"/>
      <c r="Q116" s="379">
        <f>Q114+Q115</f>
        <v>3453500</v>
      </c>
      <c r="R116" s="75" t="s">
        <v>64</v>
      </c>
      <c r="S116" s="75"/>
    </row>
    <row r="117" spans="1:20" ht="15" customHeight="1" thickTop="1" thickBot="1">
      <c r="E117" s="252">
        <f>印401!M64</f>
        <v>0</v>
      </c>
      <c r="L117" s="675" t="e">
        <f>#REF!</f>
        <v>#REF!</v>
      </c>
      <c r="O117" s="75"/>
      <c r="P117" s="75"/>
      <c r="Q117" s="675" t="e">
        <f>#REF!</f>
        <v>#REF!</v>
      </c>
      <c r="R117" s="75"/>
      <c r="S117" s="75"/>
    </row>
    <row r="118" spans="1:20" ht="15" customHeight="1" thickBot="1">
      <c r="A118" s="676" t="s">
        <v>37</v>
      </c>
      <c r="B118" s="677"/>
      <c r="C118" s="677"/>
      <c r="D118" s="678"/>
      <c r="E118" s="253">
        <f>印401!P64</f>
        <v>0</v>
      </c>
      <c r="F118" s="75" t="s">
        <v>64</v>
      </c>
      <c r="G118" s="676" t="s">
        <v>38</v>
      </c>
      <c r="H118" s="677"/>
      <c r="I118" s="677"/>
      <c r="J118" s="677"/>
      <c r="K118" s="677"/>
      <c r="L118" s="384" t="e">
        <f>#REF!</f>
        <v>#REF!</v>
      </c>
      <c r="M118" s="75" t="s">
        <v>64</v>
      </c>
      <c r="N118" s="676" t="s">
        <v>39</v>
      </c>
      <c r="O118" s="677"/>
      <c r="P118" s="677"/>
      <c r="Q118" s="384" t="e">
        <f>#REF!</f>
        <v>#REF!</v>
      </c>
      <c r="R118" s="75" t="s">
        <v>64</v>
      </c>
      <c r="S118" s="75"/>
    </row>
    <row r="119" spans="1:20" ht="3" customHeight="1" thickBot="1">
      <c r="J119" s="255"/>
      <c r="K119" s="256"/>
    </row>
    <row r="120" spans="1:20" ht="15" customHeight="1" thickTop="1">
      <c r="B120" s="1509" t="s">
        <v>69</v>
      </c>
      <c r="C120" s="1510"/>
      <c r="D120" s="1511" t="s">
        <v>305</v>
      </c>
      <c r="E120" s="1512"/>
      <c r="F120" s="1489" t="s">
        <v>306</v>
      </c>
      <c r="G120" s="1490"/>
      <c r="H120" s="1491" t="s">
        <v>307</v>
      </c>
      <c r="I120" s="1492"/>
      <c r="J120" s="1492"/>
      <c r="K120" s="1493"/>
      <c r="L120" s="1472" t="s">
        <v>657</v>
      </c>
      <c r="M120" s="1473"/>
      <c r="N120" s="1473"/>
      <c r="O120" s="377">
        <v>5099000</v>
      </c>
      <c r="P120" s="75" t="s">
        <v>64</v>
      </c>
      <c r="Q120" s="1496" t="s">
        <v>65</v>
      </c>
      <c r="R120" s="1497"/>
      <c r="S120" s="385">
        <v>49870304</v>
      </c>
    </row>
    <row r="121" spans="1:20" ht="15" customHeight="1" thickBot="1">
      <c r="B121" s="1498" t="s">
        <v>308</v>
      </c>
      <c r="C121" s="1499"/>
      <c r="D121" s="1500" t="e">
        <f>總表!D20</f>
        <v>#REF!</v>
      </c>
      <c r="E121" s="1501"/>
      <c r="F121" s="1502">
        <f>總表!E20</f>
        <v>1316871</v>
      </c>
      <c r="G121" s="1503"/>
      <c r="H121" s="1504" t="e">
        <f>(D121-F121)/D121</f>
        <v>#REF!</v>
      </c>
      <c r="I121" s="1505"/>
      <c r="J121" s="1505"/>
      <c r="K121" s="1506"/>
      <c r="L121" s="1474" t="s">
        <v>33</v>
      </c>
      <c r="M121" s="1475"/>
      <c r="N121" s="1475"/>
      <c r="O121" s="674">
        <f>(197+224+44)*1000</f>
        <v>465000</v>
      </c>
      <c r="P121" s="75"/>
      <c r="Q121" s="1507" t="s">
        <v>67</v>
      </c>
      <c r="R121" s="1508"/>
      <c r="S121" s="386" t="e">
        <f>SUM(L51:L85,L88:L100)</f>
        <v>#REF!</v>
      </c>
    </row>
    <row r="122" spans="1:20" ht="15" customHeight="1" thickTop="1" thickBot="1">
      <c r="B122" s="1513" t="s">
        <v>309</v>
      </c>
      <c r="C122" s="1514"/>
      <c r="D122" s="1515" t="e">
        <f>總表!C43</f>
        <v>#REF!</v>
      </c>
      <c r="E122" s="1516"/>
      <c r="F122" s="1502" t="e">
        <f>總表!F43</f>
        <v>#REF!</v>
      </c>
      <c r="G122" s="1503"/>
      <c r="H122" s="1504" t="e">
        <f>(D122-F122)/D122</f>
        <v>#REF!</v>
      </c>
      <c r="I122" s="1505"/>
      <c r="J122" s="1505"/>
      <c r="K122" s="1506"/>
      <c r="L122" s="1487" t="s">
        <v>658</v>
      </c>
      <c r="M122" s="1488"/>
      <c r="N122" s="1488"/>
      <c r="O122" s="379">
        <f>O120+O121</f>
        <v>5564000</v>
      </c>
      <c r="P122" s="75" t="s">
        <v>64</v>
      </c>
      <c r="Q122" s="1494" t="s">
        <v>68</v>
      </c>
      <c r="R122" s="1495"/>
      <c r="S122" s="387" t="e">
        <f>S120+S121</f>
        <v>#REF!</v>
      </c>
    </row>
    <row r="123" spans="1:20" ht="14.1" customHeight="1" thickTop="1" thickBot="1">
      <c r="B123" s="250" t="s">
        <v>310</v>
      </c>
      <c r="C123" s="250"/>
      <c r="D123" s="250"/>
      <c r="E123" s="233"/>
      <c r="O123" s="675" t="e">
        <f>#REF!</f>
        <v>#REF!</v>
      </c>
      <c r="P123" s="75"/>
      <c r="Q123" s="75"/>
      <c r="R123" s="254" t="e">
        <f>總表!E43+總表!E52</f>
        <v>#REF!</v>
      </c>
      <c r="S123" s="254" t="e">
        <f>R123-S122</f>
        <v>#REF!</v>
      </c>
    </row>
    <row r="124" spans="1:20" ht="17.25" customHeight="1" thickBot="1">
      <c r="B124" s="250" t="s">
        <v>40</v>
      </c>
      <c r="C124" s="233"/>
      <c r="D124" s="233"/>
      <c r="E124" s="233"/>
      <c r="F124" s="233"/>
      <c r="L124" s="676" t="s">
        <v>659</v>
      </c>
      <c r="M124" s="677"/>
      <c r="N124" s="677"/>
      <c r="O124" s="384" t="e">
        <f>#REF!</f>
        <v>#REF!</v>
      </c>
      <c r="P124" s="75" t="s">
        <v>64</v>
      </c>
      <c r="T124" s="233"/>
    </row>
    <row r="125" spans="1:20" ht="15.75" customHeight="1">
      <c r="B125" s="75" t="s">
        <v>41</v>
      </c>
      <c r="N125" s="233"/>
      <c r="S125" s="75"/>
    </row>
  </sheetData>
  <mergeCells count="300">
    <mergeCell ref="G18:I18"/>
    <mergeCell ref="K18:M18"/>
    <mergeCell ref="O18:R18"/>
    <mergeCell ref="G21:I21"/>
    <mergeCell ref="O21:R21"/>
    <mergeCell ref="K21:M22"/>
    <mergeCell ref="S21:S22"/>
    <mergeCell ref="G12:I12"/>
    <mergeCell ref="O12:R12"/>
    <mergeCell ref="K12:M13"/>
    <mergeCell ref="O19:R19"/>
    <mergeCell ref="G20:I20"/>
    <mergeCell ref="K20:M20"/>
    <mergeCell ref="O20:R20"/>
    <mergeCell ref="G13:I13"/>
    <mergeCell ref="O13:R13"/>
    <mergeCell ref="G14:I14"/>
    <mergeCell ref="K14:M14"/>
    <mergeCell ref="O14:R14"/>
    <mergeCell ref="K19:M19"/>
    <mergeCell ref="S9:S10"/>
    <mergeCell ref="G11:I11"/>
    <mergeCell ref="O11:R11"/>
    <mergeCell ref="K11:M11"/>
    <mergeCell ref="G9:I9"/>
    <mergeCell ref="O9:R9"/>
    <mergeCell ref="G10:I10"/>
    <mergeCell ref="O10:R10"/>
    <mergeCell ref="S12:S13"/>
    <mergeCell ref="Q122:R122"/>
    <mergeCell ref="B121:C121"/>
    <mergeCell ref="D121:E121"/>
    <mergeCell ref="F121:G121"/>
    <mergeCell ref="H121:K121"/>
    <mergeCell ref="L121:N121"/>
    <mergeCell ref="Q121:R121"/>
    <mergeCell ref="L120:N120"/>
    <mergeCell ref="Q120:R120"/>
    <mergeCell ref="B122:C122"/>
    <mergeCell ref="D122:E122"/>
    <mergeCell ref="F122:G122"/>
    <mergeCell ref="H122:K122"/>
    <mergeCell ref="L122:N122"/>
    <mergeCell ref="B120:C120"/>
    <mergeCell ref="D120:E120"/>
    <mergeCell ref="F120:G120"/>
    <mergeCell ref="H120:K120"/>
    <mergeCell ref="A115:D115"/>
    <mergeCell ref="G115:K115"/>
    <mergeCell ref="N115:P115"/>
    <mergeCell ref="A116:D116"/>
    <mergeCell ref="G116:K116"/>
    <mergeCell ref="N116:P116"/>
    <mergeCell ref="C111:G111"/>
    <mergeCell ref="A114:D114"/>
    <mergeCell ref="G114:K114"/>
    <mergeCell ref="N114:P114"/>
    <mergeCell ref="A103:A111"/>
    <mergeCell ref="C103:G103"/>
    <mergeCell ref="O103:R103"/>
    <mergeCell ref="S103:S107"/>
    <mergeCell ref="C104:G104"/>
    <mergeCell ref="C105:G105"/>
    <mergeCell ref="C106:G106"/>
    <mergeCell ref="C107:G107"/>
    <mergeCell ref="C108:G108"/>
    <mergeCell ref="O108:R111"/>
    <mergeCell ref="S108:S111"/>
    <mergeCell ref="C109:G109"/>
    <mergeCell ref="C110:G110"/>
    <mergeCell ref="C101:G101"/>
    <mergeCell ref="L101:N101"/>
    <mergeCell ref="C102:G102"/>
    <mergeCell ref="O102:R102"/>
    <mergeCell ref="C98:G98"/>
    <mergeCell ref="O98:R98"/>
    <mergeCell ref="C99:G99"/>
    <mergeCell ref="C97:G97"/>
    <mergeCell ref="A94:A97"/>
    <mergeCell ref="C94:G94"/>
    <mergeCell ref="O94:R94"/>
    <mergeCell ref="C95:G95"/>
    <mergeCell ref="O95:R95"/>
    <mergeCell ref="C96:G96"/>
    <mergeCell ref="O96:R96"/>
    <mergeCell ref="O97:R97"/>
    <mergeCell ref="O99:R99"/>
    <mergeCell ref="C100:G100"/>
    <mergeCell ref="O100:R100"/>
    <mergeCell ref="A98:A100"/>
    <mergeCell ref="C87:G87"/>
    <mergeCell ref="O87:R87"/>
    <mergeCell ref="A91:A93"/>
    <mergeCell ref="C91:G91"/>
    <mergeCell ref="O91:R91"/>
    <mergeCell ref="C92:G92"/>
    <mergeCell ref="O92:R92"/>
    <mergeCell ref="C93:G93"/>
    <mergeCell ref="O93:R93"/>
    <mergeCell ref="C90:G90"/>
    <mergeCell ref="O90:R90"/>
    <mergeCell ref="C88:G88"/>
    <mergeCell ref="O88:R88"/>
    <mergeCell ref="C89:G89"/>
    <mergeCell ref="O89:R89"/>
    <mergeCell ref="O76:R76"/>
    <mergeCell ref="C77:E77"/>
    <mergeCell ref="O77:R77"/>
    <mergeCell ref="A78:A79"/>
    <mergeCell ref="C78:E78"/>
    <mergeCell ref="O78:R78"/>
    <mergeCell ref="C79:E79"/>
    <mergeCell ref="O79:R79"/>
    <mergeCell ref="A82:A83"/>
    <mergeCell ref="C82:E82"/>
    <mergeCell ref="O82:R82"/>
    <mergeCell ref="C83:E83"/>
    <mergeCell ref="O83:R83"/>
    <mergeCell ref="O81:R81"/>
    <mergeCell ref="A80:A81"/>
    <mergeCell ref="C80:E80"/>
    <mergeCell ref="C81:E81"/>
    <mergeCell ref="A84:A85"/>
    <mergeCell ref="C84:E84"/>
    <mergeCell ref="O84:R84"/>
    <mergeCell ref="C85:E85"/>
    <mergeCell ref="O85:R85"/>
    <mergeCell ref="O86:R86"/>
    <mergeCell ref="O80:R80"/>
    <mergeCell ref="A70:A71"/>
    <mergeCell ref="C70:E70"/>
    <mergeCell ref="O70:R70"/>
    <mergeCell ref="C71:E71"/>
    <mergeCell ref="O71:R71"/>
    <mergeCell ref="C75:E75"/>
    <mergeCell ref="O75:R75"/>
    <mergeCell ref="C72:E72"/>
    <mergeCell ref="O72:R72"/>
    <mergeCell ref="C73:E73"/>
    <mergeCell ref="O73:R73"/>
    <mergeCell ref="A72:A73"/>
    <mergeCell ref="C74:E74"/>
    <mergeCell ref="O74:R74"/>
    <mergeCell ref="A74:A75"/>
    <mergeCell ref="A76:A77"/>
    <mergeCell ref="C76:E76"/>
    <mergeCell ref="O67:R67"/>
    <mergeCell ref="A68:A69"/>
    <mergeCell ref="C68:E68"/>
    <mergeCell ref="O68:R68"/>
    <mergeCell ref="C69:E69"/>
    <mergeCell ref="O69:R69"/>
    <mergeCell ref="A63:A64"/>
    <mergeCell ref="C63:E63"/>
    <mergeCell ref="O63:R63"/>
    <mergeCell ref="C64:E64"/>
    <mergeCell ref="O64:R64"/>
    <mergeCell ref="A65:A66"/>
    <mergeCell ref="C65:E65"/>
    <mergeCell ref="O65:R65"/>
    <mergeCell ref="C66:E66"/>
    <mergeCell ref="O66:R66"/>
    <mergeCell ref="A61:A62"/>
    <mergeCell ref="C61:E61"/>
    <mergeCell ref="O61:R61"/>
    <mergeCell ref="C62:E62"/>
    <mergeCell ref="O62:R62"/>
    <mergeCell ref="C59:E59"/>
    <mergeCell ref="O59:R59"/>
    <mergeCell ref="C60:E60"/>
    <mergeCell ref="O60:R60"/>
    <mergeCell ref="A59:A60"/>
    <mergeCell ref="A53:A54"/>
    <mergeCell ref="C53:E53"/>
    <mergeCell ref="O53:R53"/>
    <mergeCell ref="C54:E54"/>
    <mergeCell ref="O54:R54"/>
    <mergeCell ref="A57:A58"/>
    <mergeCell ref="C57:E57"/>
    <mergeCell ref="O57:R57"/>
    <mergeCell ref="C58:E58"/>
    <mergeCell ref="O58:R58"/>
    <mergeCell ref="A55:A56"/>
    <mergeCell ref="C55:E55"/>
    <mergeCell ref="O55:R55"/>
    <mergeCell ref="C56:E56"/>
    <mergeCell ref="O56:R56"/>
    <mergeCell ref="A45:A50"/>
    <mergeCell ref="C45:E45"/>
    <mergeCell ref="M45:M47"/>
    <mergeCell ref="O45:R47"/>
    <mergeCell ref="S45:S47"/>
    <mergeCell ref="C46:E46"/>
    <mergeCell ref="C47:E47"/>
    <mergeCell ref="A39:A44"/>
    <mergeCell ref="C39:E39"/>
    <mergeCell ref="M39:M41"/>
    <mergeCell ref="O39:R41"/>
    <mergeCell ref="S39:S41"/>
    <mergeCell ref="C40:E40"/>
    <mergeCell ref="C41:E41"/>
    <mergeCell ref="C42:E42"/>
    <mergeCell ref="M42:M44"/>
    <mergeCell ref="O42:R44"/>
    <mergeCell ref="C48:E48"/>
    <mergeCell ref="M48:M50"/>
    <mergeCell ref="O48:R50"/>
    <mergeCell ref="S48:S50"/>
    <mergeCell ref="C49:E49"/>
    <mergeCell ref="C50:E50"/>
    <mergeCell ref="S42:S44"/>
    <mergeCell ref="A32:A38"/>
    <mergeCell ref="C32:E32"/>
    <mergeCell ref="M32:M34"/>
    <mergeCell ref="O32:R34"/>
    <mergeCell ref="G28:I28"/>
    <mergeCell ref="K28:M30"/>
    <mergeCell ref="O28:R30"/>
    <mergeCell ref="S32:S34"/>
    <mergeCell ref="C33:E33"/>
    <mergeCell ref="C34:E34"/>
    <mergeCell ref="C35:E35"/>
    <mergeCell ref="M35:M38"/>
    <mergeCell ref="O35:R38"/>
    <mergeCell ref="S35:S38"/>
    <mergeCell ref="C36:E36"/>
    <mergeCell ref="C37:E37"/>
    <mergeCell ref="C38:E38"/>
    <mergeCell ref="G23:I23"/>
    <mergeCell ref="K23:M23"/>
    <mergeCell ref="S28:S30"/>
    <mergeCell ref="G29:I29"/>
    <mergeCell ref="G30:I30"/>
    <mergeCell ref="V51:X51"/>
    <mergeCell ref="C52:E52"/>
    <mergeCell ref="O52:R52"/>
    <mergeCell ref="V52:X52"/>
    <mergeCell ref="K24:M24"/>
    <mergeCell ref="O24:R24"/>
    <mergeCell ref="G25:I25"/>
    <mergeCell ref="K25:M27"/>
    <mergeCell ref="O25:R27"/>
    <mergeCell ref="S25:S27"/>
    <mergeCell ref="C31:E31"/>
    <mergeCell ref="O31:R31"/>
    <mergeCell ref="C43:E43"/>
    <mergeCell ref="C44:E44"/>
    <mergeCell ref="A15:A16"/>
    <mergeCell ref="G15:I15"/>
    <mergeCell ref="K15:M15"/>
    <mergeCell ref="O15:R15"/>
    <mergeCell ref="G16:I16"/>
    <mergeCell ref="K16:M16"/>
    <mergeCell ref="O16:R16"/>
    <mergeCell ref="O23:R23"/>
    <mergeCell ref="A88:A90"/>
    <mergeCell ref="A51:A52"/>
    <mergeCell ref="C51:E51"/>
    <mergeCell ref="O51:R51"/>
    <mergeCell ref="A25:A30"/>
    <mergeCell ref="G26:I26"/>
    <mergeCell ref="G27:I27"/>
    <mergeCell ref="A17:A18"/>
    <mergeCell ref="G17:I17"/>
    <mergeCell ref="K17:M17"/>
    <mergeCell ref="O17:R17"/>
    <mergeCell ref="G22:I22"/>
    <mergeCell ref="O22:R22"/>
    <mergeCell ref="A21:A23"/>
    <mergeCell ref="A19:A20"/>
    <mergeCell ref="G19:I19"/>
    <mergeCell ref="A12:A14"/>
    <mergeCell ref="G6:I6"/>
    <mergeCell ref="K6:M6"/>
    <mergeCell ref="O6:R6"/>
    <mergeCell ref="A7:A8"/>
    <mergeCell ref="G7:I7"/>
    <mergeCell ref="K7:M7"/>
    <mergeCell ref="O7:R7"/>
    <mergeCell ref="G8:I8"/>
    <mergeCell ref="K8:M8"/>
    <mergeCell ref="O8:R8"/>
    <mergeCell ref="A9:A11"/>
    <mergeCell ref="K9:M10"/>
    <mergeCell ref="L4:M4"/>
    <mergeCell ref="N4:P4"/>
    <mergeCell ref="Q4:R4"/>
    <mergeCell ref="L5:M5"/>
    <mergeCell ref="N5:P5"/>
    <mergeCell ref="Q5:R5"/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</mergeCells>
  <phoneticPr fontId="26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工作表53"/>
  <dimension ref="A1:BV84"/>
  <sheetViews>
    <sheetView zoomScale="80" zoomScaleNormal="80" zoomScaleSheetLayoutView="75" workbookViewId="0">
      <pane xSplit="5" ySplit="3" topLeftCell="F4" activePane="bottomRight" state="frozen"/>
      <selection activeCell="W23" sqref="W23"/>
      <selection pane="topRight" activeCell="W23" sqref="W23"/>
      <selection pane="bottomLeft" activeCell="W23" sqref="W23"/>
      <selection pane="bottomRight" activeCell="N2" sqref="N2:S4"/>
    </sheetView>
  </sheetViews>
  <sheetFormatPr defaultRowHeight="15.75"/>
  <cols>
    <col min="1" max="1" width="9" style="533" customWidth="1"/>
    <col min="2" max="2" width="5.375" style="533" customWidth="1"/>
    <col min="3" max="3" width="13" style="533" customWidth="1"/>
    <col min="4" max="4" width="7.875" style="533" customWidth="1"/>
    <col min="5" max="5" width="27.375" style="533" customWidth="1"/>
    <col min="6" max="6" width="9.125" style="533" customWidth="1"/>
    <col min="7" max="7" width="7.5" style="533" customWidth="1"/>
    <col min="8" max="8" width="1.5" style="533" hidden="1" customWidth="1"/>
    <col min="9" max="9" width="8.75" style="533" customWidth="1"/>
    <col min="10" max="10" width="9.625" style="533" customWidth="1"/>
    <col min="11" max="11" width="8.625" style="533" customWidth="1"/>
    <col min="12" max="12" width="11" style="533" customWidth="1"/>
    <col min="13" max="13" width="9.25" style="533" customWidth="1"/>
    <col min="14" max="14" width="8.375" style="533" customWidth="1"/>
    <col min="15" max="15" width="10.75" style="768" customWidth="1"/>
    <col min="16" max="16" width="23.125" style="768" customWidth="1"/>
    <col min="17" max="17" width="15.625" style="768" customWidth="1"/>
    <col min="18" max="18" width="16.25" style="768" customWidth="1"/>
    <col min="19" max="19" width="23.75" style="768" customWidth="1"/>
    <col min="20" max="16384" width="9" style="533"/>
  </cols>
  <sheetData>
    <row r="1" spans="1:20" ht="15" customHeight="1">
      <c r="A1" s="1669" t="s">
        <v>424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  <c r="L1" s="1626" t="s">
        <v>53</v>
      </c>
      <c r="M1" s="1626"/>
      <c r="N1" s="1626" t="s">
        <v>420</v>
      </c>
      <c r="O1" s="1626"/>
      <c r="P1" s="1626"/>
      <c r="Q1" s="1626" t="s">
        <v>421</v>
      </c>
      <c r="R1" s="1626"/>
      <c r="S1" s="679" t="s">
        <v>419</v>
      </c>
    </row>
    <row r="2" spans="1:20" ht="15" customHeight="1">
      <c r="A2" s="1669"/>
      <c r="B2" s="1669"/>
      <c r="C2" s="1669"/>
      <c r="D2" s="1669"/>
      <c r="E2" s="1669"/>
      <c r="F2" s="1669"/>
      <c r="G2" s="1669"/>
      <c r="H2" s="1669"/>
      <c r="I2" s="1669"/>
      <c r="J2" s="1669"/>
      <c r="K2" s="1670"/>
      <c r="L2" s="1660" t="s">
        <v>185</v>
      </c>
      <c r="M2" s="1660"/>
      <c r="N2" s="1318" t="s">
        <v>680</v>
      </c>
      <c r="O2" s="1319"/>
      <c r="P2" s="1320"/>
      <c r="Q2" s="1318" t="s">
        <v>682</v>
      </c>
      <c r="R2" s="1320"/>
      <c r="S2" s="642" t="s">
        <v>681</v>
      </c>
    </row>
    <row r="3" spans="1:20" ht="75" customHeight="1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70"/>
      <c r="L3" s="1660" t="s">
        <v>54</v>
      </c>
      <c r="M3" s="1660"/>
      <c r="N3" s="1318" t="s">
        <v>683</v>
      </c>
      <c r="O3" s="1319"/>
      <c r="P3" s="1320"/>
      <c r="Q3" s="1318" t="s">
        <v>684</v>
      </c>
      <c r="R3" s="1320"/>
      <c r="S3" s="85"/>
    </row>
    <row r="4" spans="1:20" ht="15" customHeight="1">
      <c r="A4" s="1669"/>
      <c r="B4" s="1669"/>
      <c r="C4" s="1669"/>
      <c r="D4" s="1669"/>
      <c r="E4" s="1669"/>
      <c r="F4" s="1669"/>
      <c r="G4" s="1669"/>
      <c r="H4" s="1669"/>
      <c r="I4" s="1669"/>
      <c r="J4" s="1669"/>
      <c r="K4" s="1670"/>
      <c r="L4" s="1660" t="s">
        <v>430</v>
      </c>
      <c r="M4" s="1660"/>
      <c r="N4" s="1318" t="s">
        <v>677</v>
      </c>
      <c r="O4" s="1319"/>
      <c r="P4" s="1320"/>
      <c r="Q4" s="1318" t="s">
        <v>678</v>
      </c>
      <c r="R4" s="1320"/>
      <c r="S4" s="85" t="s">
        <v>652</v>
      </c>
    </row>
    <row r="5" spans="1:20" ht="15" customHeight="1">
      <c r="A5" s="605" t="s">
        <v>187</v>
      </c>
      <c r="B5" s="605"/>
      <c r="C5" s="681">
        <v>44651</v>
      </c>
      <c r="D5" s="682" t="s">
        <v>632</v>
      </c>
      <c r="E5" s="683"/>
      <c r="G5" s="684" t="s">
        <v>189</v>
      </c>
      <c r="H5" s="684" t="s">
        <v>190</v>
      </c>
      <c r="I5" s="684"/>
      <c r="J5" s="685"/>
      <c r="K5" s="685"/>
      <c r="L5" s="1660" t="s">
        <v>431</v>
      </c>
      <c r="M5" s="1660"/>
      <c r="N5" s="1661"/>
      <c r="O5" s="1661"/>
      <c r="P5" s="1661"/>
      <c r="Q5" s="1662"/>
      <c r="R5" s="1662"/>
      <c r="S5" s="680" t="s">
        <v>55</v>
      </c>
    </row>
    <row r="6" spans="1:20" s="569" customFormat="1" ht="24" customHeight="1">
      <c r="A6" s="618" t="s">
        <v>192</v>
      </c>
      <c r="B6" s="618" t="s">
        <v>193</v>
      </c>
      <c r="C6" s="618" t="s">
        <v>432</v>
      </c>
      <c r="D6" s="686" t="s">
        <v>1</v>
      </c>
      <c r="E6" s="687" t="s">
        <v>196</v>
      </c>
      <c r="F6" s="688" t="s">
        <v>197</v>
      </c>
      <c r="G6" s="1663" t="s">
        <v>411</v>
      </c>
      <c r="H6" s="1663"/>
      <c r="I6" s="1663"/>
      <c r="J6" s="689" t="s">
        <v>200</v>
      </c>
      <c r="K6" s="1663" t="s">
        <v>2</v>
      </c>
      <c r="L6" s="1664"/>
      <c r="M6" s="1664"/>
      <c r="N6" s="689" t="s">
        <v>3</v>
      </c>
      <c r="O6" s="1665" t="s">
        <v>29</v>
      </c>
      <c r="P6" s="1665"/>
      <c r="Q6" s="1665"/>
      <c r="R6" s="1665"/>
      <c r="S6" s="690" t="s">
        <v>4</v>
      </c>
    </row>
    <row r="7" spans="1:20" s="456" customFormat="1" ht="17.25" customHeight="1">
      <c r="A7" s="1636" t="s">
        <v>5</v>
      </c>
      <c r="B7" s="691" t="s">
        <v>0</v>
      </c>
      <c r="C7" s="692" t="s">
        <v>42</v>
      </c>
      <c r="D7" s="693"/>
      <c r="E7" s="694"/>
      <c r="F7" s="695"/>
      <c r="G7" s="1666"/>
      <c r="H7" s="1666"/>
      <c r="I7" s="1666"/>
      <c r="J7" s="696"/>
      <c r="K7" s="1667"/>
      <c r="L7" s="1667"/>
      <c r="M7" s="1667"/>
      <c r="N7" s="534" t="e">
        <f t="shared" ref="N7:N22" si="0">J7/(G7+J7)</f>
        <v>#DIV/0!</v>
      </c>
      <c r="O7" s="1653"/>
      <c r="P7" s="1653"/>
      <c r="Q7" s="1653"/>
      <c r="R7" s="1653"/>
      <c r="S7" s="800"/>
    </row>
    <row r="8" spans="1:20" ht="17.25" customHeight="1">
      <c r="A8" s="1636"/>
      <c r="B8" s="697" t="s">
        <v>207</v>
      </c>
      <c r="C8" s="698" t="s">
        <v>42</v>
      </c>
      <c r="D8" s="699"/>
      <c r="E8" s="700"/>
      <c r="F8" s="698"/>
      <c r="G8" s="1654"/>
      <c r="H8" s="1654"/>
      <c r="I8" s="1654"/>
      <c r="J8" s="701"/>
      <c r="K8" s="1667"/>
      <c r="L8" s="1667"/>
      <c r="M8" s="1667"/>
      <c r="N8" s="484" t="e">
        <f t="shared" si="0"/>
        <v>#DIV/0!</v>
      </c>
      <c r="O8" s="1668"/>
      <c r="P8" s="1668"/>
      <c r="Q8" s="1668"/>
      <c r="R8" s="1668"/>
      <c r="S8" s="706"/>
    </row>
    <row r="9" spans="1:20" ht="17.25" customHeight="1">
      <c r="A9" s="1636" t="s">
        <v>6</v>
      </c>
      <c r="B9" s="581" t="s">
        <v>0</v>
      </c>
      <c r="C9" s="702" t="s">
        <v>42</v>
      </c>
      <c r="D9" s="703"/>
      <c r="E9" s="534"/>
      <c r="F9" s="534"/>
      <c r="G9" s="1649"/>
      <c r="H9" s="1649"/>
      <c r="I9" s="1649"/>
      <c r="J9" s="705"/>
      <c r="K9" s="1652"/>
      <c r="L9" s="1652"/>
      <c r="M9" s="1652"/>
      <c r="N9" s="484" t="e">
        <f t="shared" si="0"/>
        <v>#DIV/0!</v>
      </c>
      <c r="O9" s="1653"/>
      <c r="P9" s="1653"/>
      <c r="Q9" s="1653"/>
      <c r="R9" s="1653"/>
      <c r="S9" s="706"/>
    </row>
    <row r="10" spans="1:20" ht="17.25" customHeight="1">
      <c r="A10" s="1636"/>
      <c r="B10" s="697" t="s">
        <v>43</v>
      </c>
      <c r="C10" s="707" t="s">
        <v>58</v>
      </c>
      <c r="D10" s="708"/>
      <c r="E10" s="698"/>
      <c r="F10" s="698"/>
      <c r="G10" s="1657"/>
      <c r="H10" s="1657"/>
      <c r="I10" s="1657"/>
      <c r="J10" s="701"/>
      <c r="K10" s="1652"/>
      <c r="L10" s="1652"/>
      <c r="M10" s="1652"/>
      <c r="N10" s="484" t="e">
        <f t="shared" si="0"/>
        <v>#DIV/0!</v>
      </c>
      <c r="O10" s="1653"/>
      <c r="P10" s="1653"/>
      <c r="Q10" s="1653"/>
      <c r="R10" s="1653"/>
      <c r="S10" s="788"/>
    </row>
    <row r="11" spans="1:20" ht="17.25" customHeight="1">
      <c r="A11" s="1636" t="s">
        <v>7</v>
      </c>
      <c r="B11" s="581" t="s">
        <v>0</v>
      </c>
      <c r="C11" s="702" t="s">
        <v>42</v>
      </c>
      <c r="D11" s="680"/>
      <c r="E11" s="680"/>
      <c r="F11" s="680"/>
      <c r="G11" s="1658"/>
      <c r="H11" s="1658"/>
      <c r="I11" s="1658"/>
      <c r="J11" s="705"/>
      <c r="K11" s="1659"/>
      <c r="L11" s="1659"/>
      <c r="M11" s="1659"/>
      <c r="N11" s="484" t="e">
        <f t="shared" si="0"/>
        <v>#DIV/0!</v>
      </c>
      <c r="O11" s="1653"/>
      <c r="P11" s="1653"/>
      <c r="Q11" s="1653"/>
      <c r="R11" s="1653"/>
      <c r="S11" s="788"/>
    </row>
    <row r="12" spans="1:20" ht="17.25" customHeight="1">
      <c r="A12" s="1636"/>
      <c r="B12" s="697" t="s">
        <v>207</v>
      </c>
      <c r="C12" s="707" t="s">
        <v>42</v>
      </c>
      <c r="D12" s="699"/>
      <c r="E12" s="698"/>
      <c r="F12" s="698"/>
      <c r="G12" s="1657"/>
      <c r="H12" s="1657"/>
      <c r="I12" s="1657"/>
      <c r="J12" s="701"/>
      <c r="K12" s="1652"/>
      <c r="L12" s="1652"/>
      <c r="M12" s="1652"/>
      <c r="N12" s="484" t="e">
        <f t="shared" si="0"/>
        <v>#DIV/0!</v>
      </c>
      <c r="O12" s="1653"/>
      <c r="P12" s="1653"/>
      <c r="Q12" s="1653"/>
      <c r="R12" s="1653"/>
      <c r="S12" s="788"/>
    </row>
    <row r="13" spans="1:20" ht="17.25" customHeight="1">
      <c r="A13" s="1656" t="s">
        <v>8</v>
      </c>
      <c r="B13" s="581" t="s">
        <v>205</v>
      </c>
      <c r="C13" s="702" t="s">
        <v>44</v>
      </c>
      <c r="D13" s="709"/>
      <c r="E13" s="694"/>
      <c r="F13" s="534"/>
      <c r="G13" s="1649"/>
      <c r="H13" s="1649"/>
      <c r="I13" s="1649"/>
      <c r="J13" s="705"/>
      <c r="K13" s="1652"/>
      <c r="L13" s="1652"/>
      <c r="M13" s="1652"/>
      <c r="N13" s="534" t="e">
        <f t="shared" si="0"/>
        <v>#DIV/0!</v>
      </c>
      <c r="O13" s="1653"/>
      <c r="P13" s="1653"/>
      <c r="Q13" s="1653"/>
      <c r="R13" s="1653"/>
      <c r="S13" s="706"/>
    </row>
    <row r="14" spans="1:20" ht="17.25" customHeight="1">
      <c r="A14" s="1656"/>
      <c r="B14" s="697" t="s">
        <v>207</v>
      </c>
      <c r="C14" s="707" t="s">
        <v>44</v>
      </c>
      <c r="D14" s="754"/>
      <c r="E14" s="700"/>
      <c r="F14" s="698"/>
      <c r="G14" s="1654"/>
      <c r="H14" s="1654"/>
      <c r="I14" s="1654"/>
      <c r="J14" s="701"/>
      <c r="K14" s="1652"/>
      <c r="L14" s="1652"/>
      <c r="M14" s="1652"/>
      <c r="N14" s="484" t="e">
        <f t="shared" si="0"/>
        <v>#DIV/0!</v>
      </c>
      <c r="O14" s="1653"/>
      <c r="P14" s="1653"/>
      <c r="Q14" s="1653"/>
      <c r="R14" s="1653"/>
      <c r="S14" s="706"/>
    </row>
    <row r="15" spans="1:20" ht="17.25" customHeight="1">
      <c r="A15" s="1648" t="s">
        <v>9</v>
      </c>
      <c r="B15" s="581" t="s">
        <v>205</v>
      </c>
      <c r="C15" s="702" t="s">
        <v>44</v>
      </c>
      <c r="D15" s="703"/>
      <c r="E15" s="534"/>
      <c r="F15" s="534"/>
      <c r="G15" s="1649"/>
      <c r="H15" s="1649"/>
      <c r="I15" s="1649"/>
      <c r="J15" s="705"/>
      <c r="K15" s="1650"/>
      <c r="L15" s="1650"/>
      <c r="M15" s="1650"/>
      <c r="N15" s="484" t="e">
        <f t="shared" si="0"/>
        <v>#DIV/0!</v>
      </c>
      <c r="O15" s="1645"/>
      <c r="P15" s="1645"/>
      <c r="Q15" s="1645"/>
      <c r="R15" s="1645"/>
      <c r="S15" s="706"/>
      <c r="T15" s="533" t="s">
        <v>253</v>
      </c>
    </row>
    <row r="16" spans="1:20" ht="17.25" customHeight="1">
      <c r="A16" s="1648"/>
      <c r="B16" s="697" t="s">
        <v>207</v>
      </c>
      <c r="C16" s="707" t="s">
        <v>44</v>
      </c>
      <c r="D16" s="699"/>
      <c r="E16" s="698"/>
      <c r="F16" s="698"/>
      <c r="G16" s="1654"/>
      <c r="H16" s="1654"/>
      <c r="I16" s="1654"/>
      <c r="J16" s="701"/>
      <c r="K16" s="1650"/>
      <c r="L16" s="1650"/>
      <c r="M16" s="1650"/>
      <c r="N16" s="484" t="e">
        <f t="shared" si="0"/>
        <v>#DIV/0!</v>
      </c>
      <c r="O16" s="1653"/>
      <c r="P16" s="1653"/>
      <c r="Q16" s="1653"/>
      <c r="R16" s="1653"/>
      <c r="S16" s="706"/>
    </row>
    <row r="17" spans="1:19" ht="17.25" customHeight="1">
      <c r="A17" s="1655" t="s">
        <v>644</v>
      </c>
      <c r="B17" s="581" t="s">
        <v>205</v>
      </c>
      <c r="C17" s="702" t="s">
        <v>42</v>
      </c>
      <c r="D17" s="703"/>
      <c r="E17" s="534"/>
      <c r="F17" s="534"/>
      <c r="G17" s="1649"/>
      <c r="H17" s="1649"/>
      <c r="I17" s="1649"/>
      <c r="J17" s="705"/>
      <c r="K17" s="1650"/>
      <c r="L17" s="1650"/>
      <c r="M17" s="1650"/>
      <c r="N17" s="484" t="e">
        <f t="shared" si="0"/>
        <v>#DIV/0!</v>
      </c>
      <c r="O17" s="1645"/>
      <c r="P17" s="1645"/>
      <c r="Q17" s="1645"/>
      <c r="R17" s="1645"/>
      <c r="S17" s="706"/>
    </row>
    <row r="18" spans="1:19" ht="17.25" customHeight="1">
      <c r="A18" s="1655"/>
      <c r="B18" s="697" t="s">
        <v>207</v>
      </c>
      <c r="C18" s="707" t="s">
        <v>42</v>
      </c>
      <c r="D18" s="699"/>
      <c r="E18" s="698"/>
      <c r="F18" s="698"/>
      <c r="G18" s="1654"/>
      <c r="H18" s="1654"/>
      <c r="I18" s="1654"/>
      <c r="J18" s="701"/>
      <c r="K18" s="1652"/>
      <c r="L18" s="1652"/>
      <c r="M18" s="1652"/>
      <c r="N18" s="484" t="e">
        <f t="shared" si="0"/>
        <v>#DIV/0!</v>
      </c>
      <c r="O18" s="1653"/>
      <c r="P18" s="1653"/>
      <c r="Q18" s="1653"/>
      <c r="R18" s="1653"/>
      <c r="S18" s="706"/>
    </row>
    <row r="19" spans="1:19" ht="17.25" customHeight="1">
      <c r="A19" s="1648" t="s">
        <v>418</v>
      </c>
      <c r="B19" s="581" t="s">
        <v>205</v>
      </c>
      <c r="C19" s="702" t="s">
        <v>433</v>
      </c>
      <c r="D19" s="680"/>
      <c r="E19" s="534"/>
      <c r="F19" s="534"/>
      <c r="G19" s="1649"/>
      <c r="H19" s="1649"/>
      <c r="I19" s="1649"/>
      <c r="J19" s="705"/>
      <c r="K19" s="1650"/>
      <c r="L19" s="1650"/>
      <c r="M19" s="1650"/>
      <c r="N19" s="484" t="e">
        <f t="shared" si="0"/>
        <v>#DIV/0!</v>
      </c>
      <c r="O19" s="1651"/>
      <c r="P19" s="1645"/>
      <c r="Q19" s="1645"/>
      <c r="R19" s="1645"/>
      <c r="S19" s="706"/>
    </row>
    <row r="20" spans="1:19" ht="17.25" customHeight="1">
      <c r="A20" s="1648"/>
      <c r="B20" s="697" t="s">
        <v>207</v>
      </c>
      <c r="C20" s="707" t="s">
        <v>44</v>
      </c>
      <c r="D20" s="699"/>
      <c r="E20" s="698"/>
      <c r="F20" s="698"/>
      <c r="G20" s="1654"/>
      <c r="H20" s="1654"/>
      <c r="I20" s="1654"/>
      <c r="J20" s="701"/>
      <c r="K20" s="1652"/>
      <c r="L20" s="1652"/>
      <c r="M20" s="1652"/>
      <c r="N20" s="484" t="e">
        <f t="shared" si="0"/>
        <v>#DIV/0!</v>
      </c>
      <c r="O20" s="1653"/>
      <c r="P20" s="1653"/>
      <c r="Q20" s="1653"/>
      <c r="R20" s="1653"/>
      <c r="S20" s="706"/>
    </row>
    <row r="21" spans="1:19" ht="17.25" customHeight="1">
      <c r="A21" s="1636" t="s">
        <v>637</v>
      </c>
      <c r="B21" s="581" t="s">
        <v>205</v>
      </c>
      <c r="C21" s="702" t="s">
        <v>44</v>
      </c>
      <c r="D21" s="703"/>
      <c r="E21" s="534"/>
      <c r="F21" s="534"/>
      <c r="G21" s="1649"/>
      <c r="H21" s="1649"/>
      <c r="I21" s="1649"/>
      <c r="J21" s="705"/>
      <c r="K21" s="1650"/>
      <c r="L21" s="1650"/>
      <c r="M21" s="1650"/>
      <c r="N21" s="484" t="e">
        <f t="shared" si="0"/>
        <v>#DIV/0!</v>
      </c>
      <c r="O21" s="1645"/>
      <c r="P21" s="1645"/>
      <c r="Q21" s="1645"/>
      <c r="R21" s="1645"/>
      <c r="S21" s="706"/>
    </row>
    <row r="22" spans="1:19" ht="17.25" customHeight="1">
      <c r="A22" s="1636"/>
      <c r="B22" s="697" t="s">
        <v>207</v>
      </c>
      <c r="C22" s="707" t="s">
        <v>44</v>
      </c>
      <c r="D22" s="699"/>
      <c r="E22" s="698"/>
      <c r="F22" s="698"/>
      <c r="G22" s="1654"/>
      <c r="H22" s="1654"/>
      <c r="I22" s="1654"/>
      <c r="J22" s="701"/>
      <c r="K22" s="1650"/>
      <c r="L22" s="1650"/>
      <c r="M22" s="1650"/>
      <c r="N22" s="484" t="e">
        <f t="shared" si="0"/>
        <v>#DIV/0!</v>
      </c>
      <c r="O22" s="1645"/>
      <c r="P22" s="1645"/>
      <c r="Q22" s="1645"/>
      <c r="R22" s="1645"/>
      <c r="S22" s="706"/>
    </row>
    <row r="23" spans="1:19" s="456" customFormat="1" ht="24.75" customHeight="1">
      <c r="A23" s="618" t="s">
        <v>212</v>
      </c>
      <c r="B23" s="618" t="s">
        <v>193</v>
      </c>
      <c r="C23" s="1630" t="s">
        <v>11</v>
      </c>
      <c r="D23" s="1630"/>
      <c r="E23" s="1630"/>
      <c r="F23" s="801" t="s">
        <v>12</v>
      </c>
      <c r="G23" s="801" t="s">
        <v>13</v>
      </c>
      <c r="H23" s="802" t="s">
        <v>215</v>
      </c>
      <c r="I23" s="803" t="s">
        <v>14</v>
      </c>
      <c r="J23" s="804" t="s">
        <v>15</v>
      </c>
      <c r="K23" s="711" t="s">
        <v>16</v>
      </c>
      <c r="L23" s="711" t="s">
        <v>60</v>
      </c>
      <c r="M23" s="712" t="s">
        <v>17</v>
      </c>
      <c r="N23" s="711" t="s">
        <v>18</v>
      </c>
      <c r="O23" s="1647" t="s">
        <v>29</v>
      </c>
      <c r="P23" s="1647"/>
      <c r="Q23" s="1647"/>
      <c r="R23" s="1647"/>
      <c r="S23" s="690" t="s">
        <v>4</v>
      </c>
    </row>
    <row r="24" spans="1:19" s="794" customFormat="1" ht="17.25" customHeight="1">
      <c r="A24" s="1636" t="s">
        <v>19</v>
      </c>
      <c r="B24" s="713" t="s">
        <v>0</v>
      </c>
      <c r="C24" s="1637"/>
      <c r="D24" s="1637"/>
      <c r="E24" s="1637"/>
      <c r="F24" s="714"/>
      <c r="G24" s="715"/>
      <c r="H24" s="716"/>
      <c r="I24" s="716"/>
      <c r="J24" s="717"/>
      <c r="K24" s="717"/>
      <c r="L24" s="718"/>
      <c r="M24" s="805"/>
      <c r="N24" s="733"/>
      <c r="O24" s="1638"/>
      <c r="P24" s="1638"/>
      <c r="Q24" s="1638"/>
      <c r="R24" s="1638"/>
      <c r="S24" s="806"/>
    </row>
    <row r="25" spans="1:19" ht="17.25" customHeight="1">
      <c r="A25" s="1636"/>
      <c r="B25" s="697" t="s">
        <v>43</v>
      </c>
      <c r="C25" s="1639"/>
      <c r="D25" s="1639"/>
      <c r="E25" s="1639"/>
      <c r="F25" s="698"/>
      <c r="G25" s="719"/>
      <c r="H25" s="698"/>
      <c r="I25" s="698"/>
      <c r="J25" s="720"/>
      <c r="K25" s="710"/>
      <c r="L25" s="721"/>
      <c r="M25" s="805"/>
      <c r="N25" s="733"/>
      <c r="O25" s="1638"/>
      <c r="P25" s="1638"/>
      <c r="Q25" s="1638"/>
      <c r="R25" s="1638"/>
      <c r="S25" s="788"/>
    </row>
    <row r="26" spans="1:19" ht="17.25" customHeight="1">
      <c r="A26" s="1636" t="s">
        <v>241</v>
      </c>
      <c r="B26" s="581" t="s">
        <v>205</v>
      </c>
      <c r="C26" s="1637"/>
      <c r="D26" s="1637"/>
      <c r="E26" s="1637"/>
      <c r="F26" s="714"/>
      <c r="G26" s="722"/>
      <c r="H26" s="534"/>
      <c r="I26" s="534"/>
      <c r="J26" s="723"/>
      <c r="K26" s="704"/>
      <c r="L26" s="724"/>
      <c r="M26" s="805"/>
      <c r="N26" s="732"/>
      <c r="O26" s="1638"/>
      <c r="P26" s="1638"/>
      <c r="Q26" s="1638"/>
      <c r="R26" s="1638"/>
      <c r="S26" s="788"/>
    </row>
    <row r="27" spans="1:19" ht="17.25" customHeight="1">
      <c r="A27" s="1636"/>
      <c r="B27" s="697" t="s">
        <v>207</v>
      </c>
      <c r="C27" s="1639"/>
      <c r="D27" s="1639"/>
      <c r="E27" s="1639"/>
      <c r="F27" s="725"/>
      <c r="G27" s="719"/>
      <c r="H27" s="698"/>
      <c r="I27" s="698"/>
      <c r="J27" s="720"/>
      <c r="K27" s="710"/>
      <c r="L27" s="721"/>
      <c r="M27" s="805"/>
      <c r="N27" s="732"/>
      <c r="O27" s="1638"/>
      <c r="P27" s="1638"/>
      <c r="Q27" s="1638"/>
      <c r="R27" s="1638"/>
      <c r="S27" s="788"/>
    </row>
    <row r="28" spans="1:19" ht="17.25" customHeight="1">
      <c r="A28" s="1636" t="s">
        <v>20</v>
      </c>
      <c r="B28" s="581" t="s">
        <v>205</v>
      </c>
      <c r="C28" s="1637"/>
      <c r="D28" s="1637"/>
      <c r="E28" s="1637"/>
      <c r="F28" s="714"/>
      <c r="G28" s="722"/>
      <c r="H28" s="534"/>
      <c r="I28" s="534"/>
      <c r="J28" s="723"/>
      <c r="K28" s="726"/>
      <c r="L28" s="724"/>
      <c r="M28" s="805"/>
      <c r="N28" s="732"/>
      <c r="O28" s="1638"/>
      <c r="P28" s="1638"/>
      <c r="Q28" s="1638"/>
      <c r="R28" s="1638"/>
      <c r="S28" s="788"/>
    </row>
    <row r="29" spans="1:19" ht="17.25" customHeight="1">
      <c r="A29" s="1636"/>
      <c r="B29" s="697" t="s">
        <v>207</v>
      </c>
      <c r="C29" s="1639"/>
      <c r="D29" s="1639"/>
      <c r="E29" s="1639"/>
      <c r="F29" s="725"/>
      <c r="G29" s="719"/>
      <c r="H29" s="698"/>
      <c r="I29" s="698"/>
      <c r="J29" s="720"/>
      <c r="K29" s="710"/>
      <c r="L29" s="721"/>
      <c r="M29" s="805"/>
      <c r="N29" s="732"/>
      <c r="O29" s="1638"/>
      <c r="P29" s="1638"/>
      <c r="Q29" s="1638"/>
      <c r="R29" s="1638"/>
      <c r="S29" s="788"/>
    </row>
    <row r="30" spans="1:19" ht="17.25" customHeight="1">
      <c r="A30" s="1636" t="s">
        <v>638</v>
      </c>
      <c r="B30" s="581" t="s">
        <v>0</v>
      </c>
      <c r="C30" s="1637" t="s">
        <v>633</v>
      </c>
      <c r="D30" s="1637"/>
      <c r="E30" s="1637"/>
      <c r="F30" s="727"/>
      <c r="G30" s="704"/>
      <c r="H30" s="534"/>
      <c r="I30" s="728"/>
      <c r="J30" s="729"/>
      <c r="K30" s="704"/>
      <c r="L30" s="730"/>
      <c r="M30" s="731"/>
      <c r="N30" s="732"/>
      <c r="O30" s="1646"/>
      <c r="P30" s="1646"/>
      <c r="Q30" s="1646"/>
      <c r="R30" s="1646"/>
      <c r="S30" s="788"/>
    </row>
    <row r="31" spans="1:19" ht="17.25" customHeight="1">
      <c r="A31" s="1636"/>
      <c r="B31" s="697" t="s">
        <v>43</v>
      </c>
      <c r="C31" s="1639"/>
      <c r="D31" s="1639"/>
      <c r="E31" s="1639"/>
      <c r="F31" s="734"/>
      <c r="G31" s="710"/>
      <c r="H31" s="698"/>
      <c r="I31" s="734"/>
      <c r="J31" s="710"/>
      <c r="K31" s="710"/>
      <c r="L31" s="735"/>
      <c r="M31" s="731"/>
      <c r="N31" s="733"/>
      <c r="O31" s="1638"/>
      <c r="P31" s="1638"/>
      <c r="Q31" s="1638"/>
      <c r="R31" s="1638"/>
      <c r="S31" s="736"/>
    </row>
    <row r="32" spans="1:19" ht="17.25" customHeight="1">
      <c r="A32" s="1636" t="s">
        <v>639</v>
      </c>
      <c r="B32" s="581" t="s">
        <v>0</v>
      </c>
      <c r="C32" s="1640" t="str">
        <f>'[1]205'!K81</f>
        <v>PET-75平蓋-共用箱</v>
      </c>
      <c r="D32" s="1640"/>
      <c r="E32" s="1640"/>
      <c r="F32" s="728"/>
      <c r="G32" s="729"/>
      <c r="H32" s="534"/>
      <c r="I32" s="728"/>
      <c r="J32" s="729"/>
      <c r="K32" s="704"/>
      <c r="L32" s="704"/>
      <c r="M32" s="737"/>
      <c r="N32" s="732"/>
      <c r="O32" s="1645"/>
      <c r="P32" s="1645"/>
      <c r="Q32" s="1645"/>
      <c r="R32" s="1645"/>
      <c r="S32" s="788"/>
    </row>
    <row r="33" spans="1:74" ht="17.25" customHeight="1">
      <c r="A33" s="1636"/>
      <c r="B33" s="697" t="s">
        <v>43</v>
      </c>
      <c r="C33" s="1639"/>
      <c r="D33" s="1639"/>
      <c r="E33" s="1639"/>
      <c r="F33" s="734"/>
      <c r="G33" s="739"/>
      <c r="H33" s="698"/>
      <c r="I33" s="734"/>
      <c r="J33" s="739"/>
      <c r="K33" s="739"/>
      <c r="L33" s="740"/>
      <c r="M33" s="737"/>
      <c r="N33" s="732"/>
      <c r="O33" s="1645"/>
      <c r="P33" s="1645"/>
      <c r="Q33" s="1645"/>
      <c r="R33" s="1645"/>
      <c r="S33" s="788"/>
    </row>
    <row r="34" spans="1:74" ht="17.25" customHeight="1">
      <c r="A34" s="1636" t="s">
        <v>23</v>
      </c>
      <c r="B34" s="581" t="s">
        <v>0</v>
      </c>
      <c r="C34" s="1637" t="s">
        <v>633</v>
      </c>
      <c r="D34" s="1637"/>
      <c r="E34" s="1637"/>
      <c r="F34" s="728"/>
      <c r="G34" s="741"/>
      <c r="H34" s="534"/>
      <c r="I34" s="728"/>
      <c r="J34" s="741"/>
      <c r="K34" s="741"/>
      <c r="L34" s="742"/>
      <c r="M34" s="737"/>
      <c r="N34" s="732"/>
      <c r="O34" s="1645"/>
      <c r="P34" s="1645"/>
      <c r="Q34" s="1645"/>
      <c r="R34" s="1645"/>
      <c r="S34" s="788"/>
    </row>
    <row r="35" spans="1:74" ht="17.25" customHeight="1">
      <c r="A35" s="1636"/>
      <c r="B35" s="697" t="s">
        <v>43</v>
      </c>
      <c r="C35" s="1639"/>
      <c r="D35" s="1639"/>
      <c r="E35" s="1639"/>
      <c r="F35" s="734"/>
      <c r="G35" s="739"/>
      <c r="H35" s="698"/>
      <c r="I35" s="734"/>
      <c r="J35" s="739"/>
      <c r="K35" s="739"/>
      <c r="L35" s="740"/>
      <c r="M35" s="737"/>
      <c r="N35" s="732"/>
      <c r="O35" s="1645"/>
      <c r="P35" s="1645"/>
      <c r="Q35" s="1645"/>
      <c r="R35" s="1645"/>
      <c r="S35" s="736"/>
    </row>
    <row r="36" spans="1:74" s="794" customFormat="1" ht="17.25" customHeight="1">
      <c r="A36" s="1636" t="s">
        <v>24</v>
      </c>
      <c r="B36" s="581" t="s">
        <v>0</v>
      </c>
      <c r="C36" s="1637" t="str">
        <f>'[1]207'!K71</f>
        <v>PET-98平蓋-U LINE箱</v>
      </c>
      <c r="D36" s="1637"/>
      <c r="E36" s="1637"/>
      <c r="F36" s="728"/>
      <c r="G36" s="741"/>
      <c r="H36" s="534"/>
      <c r="I36" s="728"/>
      <c r="J36" s="741"/>
      <c r="K36" s="741"/>
      <c r="L36" s="741"/>
      <c r="M36" s="737"/>
      <c r="N36" s="733"/>
      <c r="O36" s="1645"/>
      <c r="P36" s="1645"/>
      <c r="Q36" s="1645"/>
      <c r="R36" s="1645"/>
      <c r="S36" s="736"/>
    </row>
    <row r="37" spans="1:74" ht="17.25" customHeight="1">
      <c r="A37" s="1636"/>
      <c r="B37" s="697" t="s">
        <v>43</v>
      </c>
      <c r="C37" s="1639"/>
      <c r="D37" s="1639"/>
      <c r="E37" s="1639"/>
      <c r="F37" s="734"/>
      <c r="G37" s="739"/>
      <c r="H37" s="698"/>
      <c r="I37" s="734"/>
      <c r="J37" s="739"/>
      <c r="K37" s="739"/>
      <c r="L37" s="739"/>
      <c r="M37" s="737"/>
      <c r="N37" s="732"/>
      <c r="O37" s="1638"/>
      <c r="P37" s="1638"/>
      <c r="Q37" s="1638"/>
      <c r="R37" s="1638"/>
      <c r="S37" s="788"/>
    </row>
    <row r="38" spans="1:74" ht="17.25" customHeight="1">
      <c r="A38" s="1636" t="s">
        <v>634</v>
      </c>
      <c r="B38" s="581" t="s">
        <v>0</v>
      </c>
      <c r="C38" s="1637" t="str">
        <f>'[1]208'!K68</f>
        <v>咖啡杯蓋-PP90-白+516W箱</v>
      </c>
      <c r="D38" s="1637"/>
      <c r="E38" s="1637"/>
      <c r="F38" s="728"/>
      <c r="G38" s="741"/>
      <c r="H38" s="534"/>
      <c r="I38" s="728"/>
      <c r="J38" s="741"/>
      <c r="K38" s="741"/>
      <c r="L38" s="741"/>
      <c r="M38" s="737"/>
      <c r="N38" s="732"/>
      <c r="O38" s="1645"/>
      <c r="P38" s="1645"/>
      <c r="Q38" s="1645"/>
      <c r="R38" s="1645"/>
      <c r="S38" s="788"/>
    </row>
    <row r="39" spans="1:74" ht="17.25" customHeight="1">
      <c r="A39" s="1636"/>
      <c r="B39" s="697" t="s">
        <v>43</v>
      </c>
      <c r="C39" s="1639"/>
      <c r="D39" s="1639"/>
      <c r="E39" s="1639"/>
      <c r="F39" s="734"/>
      <c r="G39" s="739"/>
      <c r="H39" s="698"/>
      <c r="I39" s="734"/>
      <c r="J39" s="739"/>
      <c r="K39" s="739"/>
      <c r="L39" s="739"/>
      <c r="M39" s="737"/>
      <c r="N39" s="732"/>
      <c r="O39" s="1645"/>
      <c r="P39" s="1645"/>
      <c r="Q39" s="1645"/>
      <c r="R39" s="1645"/>
      <c r="S39" s="788"/>
    </row>
    <row r="40" spans="1:74" ht="17.25" customHeight="1">
      <c r="A40" s="1636" t="s">
        <v>416</v>
      </c>
      <c r="B40" s="581" t="s">
        <v>0</v>
      </c>
      <c r="C40" s="1637" t="str">
        <f>'[1]209'!K61</f>
        <v>PET-PL200-2oz平蓋-Karat</v>
      </c>
      <c r="D40" s="1637"/>
      <c r="E40" s="1637"/>
      <c r="F40" s="728"/>
      <c r="G40" s="741"/>
      <c r="H40" s="534"/>
      <c r="I40" s="728"/>
      <c r="J40" s="741"/>
      <c r="K40" s="741"/>
      <c r="L40" s="741"/>
      <c r="M40" s="737"/>
      <c r="N40" s="732"/>
      <c r="O40" s="1645"/>
      <c r="P40" s="1645"/>
      <c r="Q40" s="1645"/>
      <c r="R40" s="1645"/>
      <c r="S40" s="788"/>
    </row>
    <row r="41" spans="1:74" ht="17.25" customHeight="1">
      <c r="A41" s="1636"/>
      <c r="B41" s="697" t="s">
        <v>43</v>
      </c>
      <c r="C41" s="1639"/>
      <c r="D41" s="1639"/>
      <c r="E41" s="1639"/>
      <c r="F41" s="734"/>
      <c r="G41" s="739"/>
      <c r="H41" s="698"/>
      <c r="I41" s="734"/>
      <c r="J41" s="739"/>
      <c r="K41" s="739"/>
      <c r="L41" s="739"/>
      <c r="M41" s="737"/>
      <c r="N41" s="732"/>
      <c r="O41" s="1638"/>
      <c r="P41" s="1638"/>
      <c r="Q41" s="1638"/>
      <c r="R41" s="1638"/>
      <c r="S41" s="788"/>
    </row>
    <row r="42" spans="1:74" ht="17.25" customHeight="1">
      <c r="A42" s="1636" t="s">
        <v>635</v>
      </c>
      <c r="B42" s="581" t="s">
        <v>0</v>
      </c>
      <c r="C42" s="1640" t="str">
        <f>'[1]210'!K75</f>
        <v>湯杯蓋-PP520-公版箱</v>
      </c>
      <c r="D42" s="1640"/>
      <c r="E42" s="1640"/>
      <c r="F42" s="728"/>
      <c r="G42" s="741"/>
      <c r="H42" s="534"/>
      <c r="I42" s="728"/>
      <c r="J42" s="741"/>
      <c r="K42" s="741"/>
      <c r="L42" s="741"/>
      <c r="M42" s="737"/>
      <c r="N42" s="732"/>
      <c r="O42" s="1645"/>
      <c r="P42" s="1645"/>
      <c r="Q42" s="1645"/>
      <c r="R42" s="1645"/>
      <c r="S42" s="788"/>
    </row>
    <row r="43" spans="1:74" ht="17.25" customHeight="1">
      <c r="A43" s="1636"/>
      <c r="B43" s="697" t="s">
        <v>43</v>
      </c>
      <c r="C43" s="1639"/>
      <c r="D43" s="1639"/>
      <c r="E43" s="1639"/>
      <c r="F43" s="734"/>
      <c r="G43" s="739"/>
      <c r="H43" s="698"/>
      <c r="I43" s="734"/>
      <c r="J43" s="739"/>
      <c r="K43" s="739"/>
      <c r="L43" s="739"/>
      <c r="M43" s="737"/>
      <c r="N43" s="732"/>
      <c r="O43" s="1638"/>
      <c r="P43" s="1638"/>
      <c r="Q43" s="1638"/>
      <c r="R43" s="1638"/>
      <c r="S43" s="788"/>
    </row>
    <row r="44" spans="1:74" ht="17.25" customHeight="1">
      <c r="A44" s="1636" t="s">
        <v>636</v>
      </c>
      <c r="B44" s="581" t="s">
        <v>0</v>
      </c>
      <c r="C44" s="1640" t="str">
        <f>'[1]211'!K32</f>
        <v>湯杯蓋-PP390-空白箱+BTH麥頭</v>
      </c>
      <c r="D44" s="1640"/>
      <c r="E44" s="1640"/>
      <c r="F44" s="728"/>
      <c r="G44" s="741"/>
      <c r="H44" s="534"/>
      <c r="I44" s="728"/>
      <c r="J44" s="741"/>
      <c r="K44" s="741"/>
      <c r="L44" s="741"/>
      <c r="M44" s="737"/>
      <c r="N44" s="732"/>
      <c r="O44" s="1645"/>
      <c r="P44" s="1645"/>
      <c r="Q44" s="1645"/>
      <c r="R44" s="1645"/>
      <c r="S44" s="788"/>
    </row>
    <row r="45" spans="1:74" ht="17.25" customHeight="1">
      <c r="A45" s="1636"/>
      <c r="B45" s="697" t="s">
        <v>43</v>
      </c>
      <c r="C45" s="1639" t="str">
        <f>'[1]211'!K35</f>
        <v>湯杯蓋-PP390-公版箱</v>
      </c>
      <c r="D45" s="1639"/>
      <c r="E45" s="1639"/>
      <c r="F45" s="734"/>
      <c r="G45" s="739"/>
      <c r="H45" s="698"/>
      <c r="I45" s="734"/>
      <c r="J45" s="739"/>
      <c r="K45" s="739"/>
      <c r="L45" s="739"/>
      <c r="M45" s="737"/>
      <c r="N45" s="732"/>
      <c r="O45" s="1638"/>
      <c r="P45" s="1638"/>
      <c r="Q45" s="1638"/>
      <c r="R45" s="1638"/>
      <c r="S45" s="788"/>
    </row>
    <row r="46" spans="1:74" ht="17.25" customHeight="1">
      <c r="A46" s="1636" t="s">
        <v>25</v>
      </c>
      <c r="B46" s="581" t="s">
        <v>0</v>
      </c>
      <c r="C46" s="1637" t="str">
        <f>'[1]301'!K54</f>
        <v>杯飲-PET-107-32-空白箱</v>
      </c>
      <c r="D46" s="1637"/>
      <c r="E46" s="1637"/>
      <c r="F46" s="728"/>
      <c r="G46" s="741"/>
      <c r="H46" s="534"/>
      <c r="I46" s="728"/>
      <c r="J46" s="741"/>
      <c r="K46" s="741"/>
      <c r="L46" s="741"/>
      <c r="M46" s="737"/>
      <c r="N46" s="732"/>
      <c r="O46" s="1645"/>
      <c r="P46" s="1645"/>
      <c r="Q46" s="1645"/>
      <c r="R46" s="1645"/>
      <c r="S46" s="738"/>
      <c r="T46" s="795"/>
      <c r="U46" s="795"/>
      <c r="V46" s="795"/>
      <c r="W46" s="795"/>
      <c r="X46" s="795"/>
      <c r="Y46" s="795"/>
      <c r="Z46" s="795"/>
      <c r="AA46" s="795"/>
      <c r="AB46" s="795"/>
      <c r="AC46" s="795"/>
      <c r="AD46" s="795"/>
      <c r="AE46" s="795"/>
      <c r="AF46" s="795"/>
      <c r="AG46" s="795"/>
      <c r="AH46" s="795"/>
      <c r="AI46" s="795"/>
      <c r="AJ46" s="795"/>
      <c r="AK46" s="795"/>
      <c r="AL46" s="795"/>
      <c r="AM46" s="795"/>
      <c r="AN46" s="795"/>
      <c r="AO46" s="795"/>
      <c r="AP46" s="795"/>
      <c r="AQ46" s="795"/>
      <c r="AR46" s="795"/>
      <c r="AS46" s="795"/>
      <c r="AT46" s="795"/>
      <c r="AU46" s="795"/>
      <c r="AV46" s="795"/>
      <c r="AW46" s="795"/>
      <c r="AX46" s="795"/>
      <c r="AY46" s="795"/>
      <c r="AZ46" s="795"/>
      <c r="BA46" s="795"/>
      <c r="BB46" s="795"/>
      <c r="BC46" s="795"/>
      <c r="BD46" s="795"/>
      <c r="BE46" s="795"/>
      <c r="BF46" s="795"/>
      <c r="BG46" s="795"/>
      <c r="BH46" s="795"/>
      <c r="BI46" s="795"/>
      <c r="BJ46" s="795"/>
      <c r="BK46" s="795"/>
      <c r="BL46" s="795"/>
      <c r="BM46" s="795"/>
      <c r="BN46" s="795"/>
      <c r="BO46" s="795"/>
      <c r="BP46" s="795"/>
      <c r="BQ46" s="795"/>
      <c r="BR46" s="795"/>
      <c r="BS46" s="795"/>
      <c r="BT46" s="795"/>
      <c r="BU46" s="795"/>
      <c r="BV46" s="795"/>
    </row>
    <row r="47" spans="1:74" ht="17.25" customHeight="1">
      <c r="A47" s="1636"/>
      <c r="B47" s="697" t="s">
        <v>43</v>
      </c>
      <c r="C47" s="1639"/>
      <c r="D47" s="1639"/>
      <c r="E47" s="1639"/>
      <c r="F47" s="734"/>
      <c r="G47" s="739"/>
      <c r="H47" s="698"/>
      <c r="I47" s="734"/>
      <c r="J47" s="739"/>
      <c r="K47" s="739"/>
      <c r="L47" s="739"/>
      <c r="M47" s="737"/>
      <c r="N47" s="732"/>
      <c r="O47" s="1638"/>
      <c r="P47" s="1638"/>
      <c r="Q47" s="1638"/>
      <c r="R47" s="1638"/>
      <c r="S47" s="736"/>
      <c r="T47" s="795"/>
      <c r="U47" s="795"/>
      <c r="V47" s="795"/>
      <c r="W47" s="795"/>
      <c r="X47" s="795"/>
      <c r="Y47" s="795"/>
      <c r="Z47" s="795"/>
      <c r="AA47" s="795"/>
      <c r="AB47" s="795"/>
      <c r="AC47" s="795"/>
      <c r="AD47" s="795"/>
      <c r="AE47" s="795"/>
      <c r="AF47" s="795"/>
      <c r="AG47" s="795"/>
      <c r="AH47" s="795"/>
      <c r="AI47" s="795"/>
      <c r="AJ47" s="795"/>
      <c r="AK47" s="795"/>
      <c r="AL47" s="795"/>
      <c r="AM47" s="795"/>
      <c r="AN47" s="795"/>
      <c r="AO47" s="795"/>
      <c r="AP47" s="795"/>
      <c r="AQ47" s="795"/>
      <c r="AR47" s="795"/>
      <c r="AS47" s="795"/>
      <c r="AT47" s="795"/>
      <c r="AU47" s="795"/>
      <c r="AV47" s="795"/>
      <c r="AW47" s="795"/>
      <c r="AX47" s="795"/>
      <c r="AY47" s="795"/>
      <c r="AZ47" s="795"/>
      <c r="BA47" s="795"/>
      <c r="BB47" s="795"/>
      <c r="BC47" s="795"/>
      <c r="BD47" s="795"/>
      <c r="BE47" s="795"/>
      <c r="BF47" s="795"/>
      <c r="BG47" s="795"/>
      <c r="BH47" s="795"/>
      <c r="BI47" s="795"/>
      <c r="BJ47" s="795"/>
      <c r="BK47" s="795"/>
      <c r="BL47" s="795"/>
      <c r="BM47" s="795"/>
      <c r="BN47" s="795"/>
      <c r="BO47" s="795"/>
      <c r="BP47" s="795"/>
      <c r="BQ47" s="795"/>
      <c r="BR47" s="795"/>
      <c r="BS47" s="795"/>
      <c r="BT47" s="795"/>
      <c r="BU47" s="795"/>
      <c r="BV47" s="795"/>
    </row>
    <row r="48" spans="1:74" ht="17.25" customHeight="1">
      <c r="A48" s="1636" t="s">
        <v>268</v>
      </c>
      <c r="B48" s="581" t="s">
        <v>0</v>
      </c>
      <c r="C48" s="1640" t="str">
        <f>'[1]302'!K88</f>
        <v>杯飲-PP-Deli-117-8oz-KARAT箱</v>
      </c>
      <c r="D48" s="1640"/>
      <c r="E48" s="1640"/>
      <c r="F48" s="728"/>
      <c r="G48" s="741"/>
      <c r="H48" s="534"/>
      <c r="I48" s="728"/>
      <c r="J48" s="741"/>
      <c r="K48" s="741"/>
      <c r="L48" s="741"/>
      <c r="M48" s="737"/>
      <c r="N48" s="732"/>
      <c r="O48" s="1638"/>
      <c r="P48" s="1638"/>
      <c r="Q48" s="1638"/>
      <c r="R48" s="1638"/>
      <c r="S48" s="789"/>
      <c r="T48" s="795"/>
      <c r="U48" s="795"/>
      <c r="V48" s="795"/>
      <c r="W48" s="795"/>
      <c r="X48" s="795"/>
      <c r="Y48" s="795"/>
      <c r="Z48" s="795"/>
      <c r="AA48" s="795"/>
      <c r="AB48" s="795"/>
      <c r="AC48" s="795"/>
      <c r="AD48" s="795"/>
      <c r="AE48" s="795"/>
      <c r="AF48" s="795"/>
      <c r="AG48" s="795"/>
      <c r="AH48" s="795"/>
      <c r="AI48" s="795"/>
      <c r="AJ48" s="795"/>
      <c r="AK48" s="795"/>
      <c r="AL48" s="795"/>
      <c r="AM48" s="795"/>
      <c r="AN48" s="795"/>
      <c r="AO48" s="795"/>
      <c r="AP48" s="795"/>
      <c r="AQ48" s="795"/>
      <c r="AR48" s="795"/>
      <c r="AS48" s="795"/>
      <c r="AT48" s="795"/>
      <c r="AU48" s="795"/>
      <c r="AV48" s="795"/>
      <c r="AW48" s="795"/>
      <c r="AX48" s="795"/>
      <c r="AY48" s="795"/>
      <c r="AZ48" s="795"/>
      <c r="BA48" s="795"/>
      <c r="BB48" s="795"/>
      <c r="BC48" s="795"/>
      <c r="BD48" s="795"/>
      <c r="BE48" s="795"/>
      <c r="BF48" s="795"/>
      <c r="BG48" s="795"/>
      <c r="BH48" s="795"/>
      <c r="BI48" s="795"/>
      <c r="BJ48" s="795"/>
      <c r="BK48" s="795"/>
      <c r="BL48" s="795"/>
      <c r="BM48" s="795"/>
      <c r="BN48" s="795"/>
      <c r="BO48" s="795"/>
      <c r="BP48" s="795"/>
      <c r="BQ48" s="795"/>
      <c r="BR48" s="795"/>
      <c r="BS48" s="795"/>
      <c r="BT48" s="795"/>
      <c r="BU48" s="795"/>
      <c r="BV48" s="795"/>
    </row>
    <row r="49" spans="1:74" ht="17.25" customHeight="1">
      <c r="A49" s="1636"/>
      <c r="B49" s="697" t="s">
        <v>43</v>
      </c>
      <c r="C49" s="1639"/>
      <c r="D49" s="1639"/>
      <c r="E49" s="1639"/>
      <c r="F49" s="734"/>
      <c r="G49" s="739"/>
      <c r="H49" s="743"/>
      <c r="I49" s="734"/>
      <c r="J49" s="739"/>
      <c r="K49" s="739"/>
      <c r="L49" s="739"/>
      <c r="M49" s="737"/>
      <c r="N49" s="732"/>
      <c r="O49" s="1638"/>
      <c r="P49" s="1638"/>
      <c r="Q49" s="1638"/>
      <c r="R49" s="1638"/>
      <c r="S49" s="788"/>
      <c r="T49" s="795"/>
      <c r="U49" s="795"/>
      <c r="V49" s="795"/>
      <c r="W49" s="795"/>
      <c r="X49" s="795"/>
      <c r="Y49" s="795"/>
      <c r="Z49" s="795"/>
      <c r="AA49" s="795"/>
      <c r="AB49" s="795"/>
      <c r="AC49" s="795"/>
      <c r="AD49" s="795"/>
      <c r="AE49" s="795"/>
      <c r="AF49" s="795"/>
      <c r="AG49" s="795"/>
      <c r="AH49" s="795"/>
      <c r="AI49" s="795"/>
      <c r="AJ49" s="795"/>
      <c r="AK49" s="795"/>
      <c r="AL49" s="795"/>
      <c r="AM49" s="795"/>
      <c r="AN49" s="795"/>
      <c r="AO49" s="795"/>
      <c r="AP49" s="795"/>
      <c r="AQ49" s="795"/>
      <c r="AR49" s="795"/>
      <c r="AS49" s="795"/>
      <c r="AT49" s="795"/>
      <c r="AU49" s="795"/>
      <c r="AV49" s="795"/>
      <c r="AW49" s="795"/>
      <c r="AX49" s="795"/>
      <c r="AY49" s="795"/>
      <c r="AZ49" s="795"/>
      <c r="BA49" s="795"/>
      <c r="BB49" s="795"/>
      <c r="BC49" s="795"/>
      <c r="BD49" s="795"/>
      <c r="BE49" s="795"/>
      <c r="BF49" s="795"/>
      <c r="BG49" s="795"/>
      <c r="BH49" s="795"/>
      <c r="BI49" s="795"/>
      <c r="BJ49" s="795"/>
      <c r="BK49" s="795"/>
      <c r="BL49" s="795"/>
      <c r="BM49" s="795"/>
      <c r="BN49" s="795"/>
      <c r="BO49" s="795"/>
      <c r="BP49" s="795"/>
      <c r="BQ49" s="795"/>
      <c r="BR49" s="795"/>
      <c r="BS49" s="795"/>
      <c r="BT49" s="795"/>
      <c r="BU49" s="795"/>
      <c r="BV49" s="795"/>
    </row>
    <row r="50" spans="1:74" ht="17.25" customHeight="1">
      <c r="A50" s="1636" t="s">
        <v>640</v>
      </c>
      <c r="B50" s="581" t="s">
        <v>0</v>
      </c>
      <c r="C50" s="1637" t="str">
        <f>'[1]303'!K85</f>
        <v>杯飲-PP-Q500-梅花杯-空白箱+未裝袋</v>
      </c>
      <c r="D50" s="1637"/>
      <c r="E50" s="1637"/>
      <c r="F50" s="728"/>
      <c r="G50" s="741"/>
      <c r="H50" s="744"/>
      <c r="I50" s="728"/>
      <c r="J50" s="741"/>
      <c r="K50" s="741"/>
      <c r="L50" s="741"/>
      <c r="M50" s="737"/>
      <c r="N50" s="732"/>
      <c r="O50" s="1638"/>
      <c r="P50" s="1638"/>
      <c r="Q50" s="1638"/>
      <c r="R50" s="1638"/>
      <c r="S50" s="788"/>
      <c r="T50" s="795"/>
      <c r="U50" s="795"/>
      <c r="V50" s="795"/>
      <c r="W50" s="795"/>
      <c r="X50" s="795"/>
      <c r="Y50" s="795"/>
      <c r="Z50" s="795"/>
      <c r="AA50" s="795"/>
      <c r="AB50" s="795"/>
      <c r="AC50" s="795"/>
      <c r="AD50" s="795"/>
      <c r="AE50" s="795"/>
      <c r="AF50" s="795"/>
      <c r="AG50" s="795"/>
      <c r="AH50" s="795"/>
      <c r="AI50" s="795"/>
      <c r="AJ50" s="795"/>
      <c r="AK50" s="795"/>
      <c r="AL50" s="795"/>
      <c r="AM50" s="795"/>
      <c r="AN50" s="795"/>
      <c r="AO50" s="795"/>
      <c r="AP50" s="795"/>
      <c r="AQ50" s="795"/>
      <c r="AR50" s="795"/>
      <c r="AS50" s="795"/>
      <c r="AT50" s="795"/>
      <c r="AU50" s="795"/>
      <c r="AV50" s="795"/>
      <c r="AW50" s="795"/>
      <c r="AX50" s="795"/>
      <c r="AY50" s="795"/>
      <c r="AZ50" s="795"/>
      <c r="BA50" s="795"/>
      <c r="BB50" s="795"/>
      <c r="BC50" s="795"/>
      <c r="BD50" s="795"/>
      <c r="BE50" s="795"/>
      <c r="BF50" s="795"/>
      <c r="BG50" s="795"/>
      <c r="BH50" s="795"/>
      <c r="BI50" s="795"/>
      <c r="BJ50" s="795"/>
      <c r="BK50" s="795"/>
      <c r="BL50" s="795"/>
      <c r="BM50" s="795"/>
      <c r="BN50" s="795"/>
      <c r="BO50" s="795"/>
      <c r="BP50" s="795"/>
      <c r="BQ50" s="795"/>
      <c r="BR50" s="795"/>
      <c r="BS50" s="795"/>
      <c r="BT50" s="795"/>
      <c r="BU50" s="795"/>
      <c r="BV50" s="795"/>
    </row>
    <row r="51" spans="1:74" s="796" customFormat="1" ht="17.25" customHeight="1">
      <c r="A51" s="1636"/>
      <c r="B51" s="697" t="s">
        <v>43</v>
      </c>
      <c r="C51" s="1639"/>
      <c r="D51" s="1639"/>
      <c r="E51" s="1639"/>
      <c r="F51" s="734"/>
      <c r="G51" s="739"/>
      <c r="H51" s="745"/>
      <c r="I51" s="734"/>
      <c r="J51" s="739"/>
      <c r="K51" s="739"/>
      <c r="L51" s="739"/>
      <c r="M51" s="737"/>
      <c r="N51" s="732"/>
      <c r="O51" s="1638"/>
      <c r="P51" s="1638"/>
      <c r="Q51" s="1638"/>
      <c r="R51" s="1638"/>
      <c r="S51" s="790"/>
    </row>
    <row r="52" spans="1:74" s="797" customFormat="1" ht="17.25" customHeight="1">
      <c r="A52" s="1641" t="s">
        <v>26</v>
      </c>
      <c r="B52" s="581" t="s">
        <v>0</v>
      </c>
      <c r="C52" s="1637" t="s">
        <v>633</v>
      </c>
      <c r="D52" s="1637"/>
      <c r="E52" s="1637"/>
      <c r="F52" s="728"/>
      <c r="G52" s="741"/>
      <c r="H52" s="746"/>
      <c r="I52" s="728"/>
      <c r="J52" s="741"/>
      <c r="K52" s="741"/>
      <c r="L52" s="741"/>
      <c r="M52" s="747"/>
      <c r="N52" s="732"/>
      <c r="O52" s="1642"/>
      <c r="P52" s="1643"/>
      <c r="Q52" s="1643"/>
      <c r="R52" s="1643"/>
      <c r="S52" s="790"/>
    </row>
    <row r="53" spans="1:74" ht="17.25" customHeight="1">
      <c r="A53" s="1641"/>
      <c r="B53" s="697" t="s">
        <v>43</v>
      </c>
      <c r="C53" s="1644"/>
      <c r="D53" s="1644"/>
      <c r="E53" s="1644"/>
      <c r="F53" s="734"/>
      <c r="G53" s="739"/>
      <c r="H53" s="748"/>
      <c r="I53" s="734"/>
      <c r="J53" s="739"/>
      <c r="K53" s="739"/>
      <c r="L53" s="739"/>
      <c r="M53" s="737"/>
      <c r="N53" s="732"/>
      <c r="O53" s="1638"/>
      <c r="P53" s="1638"/>
      <c r="Q53" s="1638"/>
      <c r="R53" s="1638"/>
      <c r="S53" s="788"/>
    </row>
    <row r="54" spans="1:74" ht="17.25" customHeight="1">
      <c r="A54" s="1636" t="s">
        <v>27</v>
      </c>
      <c r="B54" s="581" t="s">
        <v>0</v>
      </c>
      <c r="C54" s="1637"/>
      <c r="D54" s="1637"/>
      <c r="E54" s="1637"/>
      <c r="F54" s="728"/>
      <c r="G54" s="741"/>
      <c r="H54" s="744"/>
      <c r="I54" s="728"/>
      <c r="J54" s="741"/>
      <c r="K54" s="741"/>
      <c r="L54" s="741"/>
      <c r="M54" s="737"/>
      <c r="N54" s="732"/>
      <c r="O54" s="1638"/>
      <c r="P54" s="1638"/>
      <c r="Q54" s="1638"/>
      <c r="R54" s="1638"/>
      <c r="S54" s="788"/>
    </row>
    <row r="55" spans="1:74" ht="17.25" customHeight="1">
      <c r="A55" s="1636"/>
      <c r="B55" s="697" t="s">
        <v>43</v>
      </c>
      <c r="C55" s="1639" t="s">
        <v>633</v>
      </c>
      <c r="D55" s="1639"/>
      <c r="E55" s="1639"/>
      <c r="F55" s="749"/>
      <c r="G55" s="739"/>
      <c r="H55" s="748"/>
      <c r="I55" s="749"/>
      <c r="J55" s="739"/>
      <c r="K55" s="739"/>
      <c r="L55" s="739"/>
      <c r="M55" s="737"/>
      <c r="N55" s="732"/>
      <c r="O55" s="1638"/>
      <c r="P55" s="1638"/>
      <c r="Q55" s="1638"/>
      <c r="R55" s="1638"/>
      <c r="S55" s="788"/>
    </row>
    <row r="56" spans="1:74" ht="17.25" customHeight="1">
      <c r="A56" s="1636" t="s">
        <v>641</v>
      </c>
      <c r="B56" s="581" t="s">
        <v>0</v>
      </c>
      <c r="C56" s="1637" t="str">
        <f>'[1]306'!K57</f>
        <v>杯飲-PP-1.5oz-醬料杯-透-Karat</v>
      </c>
      <c r="D56" s="1637"/>
      <c r="E56" s="1637"/>
      <c r="F56" s="728"/>
      <c r="G56" s="741"/>
      <c r="H56" s="744"/>
      <c r="I56" s="728"/>
      <c r="J56" s="741"/>
      <c r="K56" s="741"/>
      <c r="L56" s="741"/>
      <c r="M56" s="737"/>
      <c r="N56" s="732"/>
      <c r="O56" s="1638"/>
      <c r="P56" s="1638"/>
      <c r="Q56" s="1638"/>
      <c r="R56" s="1638"/>
      <c r="S56" s="736"/>
    </row>
    <row r="57" spans="1:74" ht="17.25" customHeight="1">
      <c r="A57" s="1636"/>
      <c r="B57" s="697" t="s">
        <v>43</v>
      </c>
      <c r="C57" s="1639"/>
      <c r="D57" s="1639"/>
      <c r="E57" s="1639"/>
      <c r="F57" s="734"/>
      <c r="G57" s="739"/>
      <c r="H57" s="748"/>
      <c r="I57" s="734"/>
      <c r="J57" s="739"/>
      <c r="K57" s="739"/>
      <c r="L57" s="739"/>
      <c r="M57" s="737"/>
      <c r="N57" s="732"/>
      <c r="O57" s="1638"/>
      <c r="P57" s="1638"/>
      <c r="Q57" s="1638"/>
      <c r="R57" s="1638"/>
      <c r="S57" s="788"/>
    </row>
    <row r="58" spans="1:74" ht="17.25" customHeight="1">
      <c r="A58" s="1636" t="s">
        <v>642</v>
      </c>
      <c r="B58" s="581" t="s">
        <v>0</v>
      </c>
      <c r="C58" s="1637" t="str">
        <f>'[1]501'!K108</f>
        <v>杯飲-PET-92-12oz-WINSIGHT箱</v>
      </c>
      <c r="D58" s="1637"/>
      <c r="E58" s="1637"/>
      <c r="F58" s="728"/>
      <c r="G58" s="729"/>
      <c r="H58" s="744"/>
      <c r="I58" s="728"/>
      <c r="J58" s="729"/>
      <c r="K58" s="729"/>
      <c r="L58" s="729"/>
      <c r="M58" s="737"/>
      <c r="N58" s="732"/>
      <c r="O58" s="1638"/>
      <c r="P58" s="1638"/>
      <c r="Q58" s="1638"/>
      <c r="R58" s="1638"/>
      <c r="S58" s="788"/>
    </row>
    <row r="59" spans="1:74" ht="17.25" customHeight="1">
      <c r="A59" s="1636"/>
      <c r="B59" s="697" t="s">
        <v>43</v>
      </c>
      <c r="C59" s="1639"/>
      <c r="D59" s="1639"/>
      <c r="E59" s="1639"/>
      <c r="F59" s="749"/>
      <c r="G59" s="750"/>
      <c r="H59" s="748"/>
      <c r="I59" s="749"/>
      <c r="J59" s="750"/>
      <c r="K59" s="750"/>
      <c r="L59" s="750"/>
      <c r="M59" s="737"/>
      <c r="N59" s="732"/>
      <c r="O59" s="1638"/>
      <c r="P59" s="1638"/>
      <c r="Q59" s="1638"/>
      <c r="R59" s="1638"/>
      <c r="S59" s="736"/>
    </row>
    <row r="60" spans="1:74" ht="17.25" customHeight="1">
      <c r="A60" s="1636" t="s">
        <v>643</v>
      </c>
      <c r="B60" s="581" t="s">
        <v>0</v>
      </c>
      <c r="C60" s="1640" t="str">
        <f>'[1]502'!K102</f>
        <v>杯飲-PET-98-24oz-WINSIGHT箱</v>
      </c>
      <c r="D60" s="1640"/>
      <c r="E60" s="1640"/>
      <c r="F60" s="728"/>
      <c r="G60" s="680"/>
      <c r="H60" s="680"/>
      <c r="I60" s="728"/>
      <c r="J60" s="729"/>
      <c r="K60" s="680"/>
      <c r="L60" s="680"/>
      <c r="M60" s="737"/>
      <c r="N60" s="733"/>
      <c r="O60" s="1638"/>
      <c r="P60" s="1638"/>
      <c r="Q60" s="1638"/>
      <c r="R60" s="1638"/>
      <c r="S60" s="788"/>
    </row>
    <row r="61" spans="1:74" ht="17.25" customHeight="1">
      <c r="A61" s="1636"/>
      <c r="B61" s="697" t="s">
        <v>43</v>
      </c>
      <c r="C61" s="1639"/>
      <c r="D61" s="1639"/>
      <c r="E61" s="1639"/>
      <c r="F61" s="752"/>
      <c r="G61" s="755"/>
      <c r="H61" s="754"/>
      <c r="I61" s="734"/>
      <c r="J61" s="754"/>
      <c r="K61" s="752"/>
      <c r="L61" s="753"/>
      <c r="M61" s="737"/>
      <c r="N61" s="732"/>
      <c r="O61" s="1638"/>
      <c r="P61" s="1638"/>
      <c r="Q61" s="1638"/>
      <c r="R61" s="1638"/>
      <c r="S61" s="788"/>
    </row>
    <row r="62" spans="1:74" s="456" customFormat="1" ht="24.95" customHeight="1">
      <c r="A62" s="756" t="s">
        <v>63</v>
      </c>
      <c r="B62" s="756" t="s">
        <v>193</v>
      </c>
      <c r="C62" s="1633" t="s">
        <v>11</v>
      </c>
      <c r="D62" s="1633"/>
      <c r="E62" s="1633"/>
      <c r="F62" s="1633"/>
      <c r="G62" s="1633"/>
      <c r="H62" s="688" t="s">
        <v>216</v>
      </c>
      <c r="I62" s="688" t="s">
        <v>12</v>
      </c>
      <c r="J62" s="688" t="s">
        <v>13</v>
      </c>
      <c r="K62" s="807" t="s">
        <v>218</v>
      </c>
      <c r="L62" s="757" t="s">
        <v>60</v>
      </c>
      <c r="M62" s="808" t="s">
        <v>28</v>
      </c>
      <c r="N62" s="808" t="s">
        <v>45</v>
      </c>
      <c r="O62" s="1634" t="s">
        <v>29</v>
      </c>
      <c r="P62" s="1634"/>
      <c r="Q62" s="1634"/>
      <c r="R62" s="1634"/>
      <c r="S62" s="758" t="s">
        <v>57</v>
      </c>
    </row>
    <row r="63" spans="1:74" ht="17.25" customHeight="1">
      <c r="A63" s="1626">
        <v>401</v>
      </c>
      <c r="B63" s="581" t="s">
        <v>205</v>
      </c>
      <c r="C63" s="1627"/>
      <c r="D63" s="1627"/>
      <c r="E63" s="1627"/>
      <c r="F63" s="1627"/>
      <c r="G63" s="1627"/>
      <c r="H63" s="744"/>
      <c r="I63" s="744"/>
      <c r="J63" s="729"/>
      <c r="K63" s="751"/>
      <c r="L63" s="751"/>
      <c r="M63" s="729"/>
      <c r="N63" s="759"/>
      <c r="O63" s="1631"/>
      <c r="P63" s="1631"/>
      <c r="Q63" s="1631"/>
      <c r="R63" s="1631"/>
      <c r="S63" s="791"/>
    </row>
    <row r="64" spans="1:74" ht="17.25" customHeight="1">
      <c r="A64" s="1626"/>
      <c r="B64" s="697" t="s">
        <v>43</v>
      </c>
      <c r="C64" s="1627"/>
      <c r="D64" s="1627"/>
      <c r="E64" s="1627"/>
      <c r="F64" s="1627"/>
      <c r="G64" s="1627"/>
      <c r="H64" s="748"/>
      <c r="I64" s="748"/>
      <c r="J64" s="750"/>
      <c r="K64" s="752"/>
      <c r="L64" s="752"/>
      <c r="M64" s="750"/>
      <c r="N64" s="760"/>
      <c r="O64" s="1632"/>
      <c r="P64" s="1632"/>
      <c r="Q64" s="1632"/>
      <c r="R64" s="1632"/>
      <c r="S64" s="792"/>
    </row>
    <row r="65" spans="1:19" ht="17.25" customHeight="1">
      <c r="A65" s="1635">
        <v>402</v>
      </c>
      <c r="B65" s="581" t="s">
        <v>205</v>
      </c>
      <c r="C65" s="1627"/>
      <c r="D65" s="1627"/>
      <c r="E65" s="1627"/>
      <c r="F65" s="1627"/>
      <c r="G65" s="1627"/>
      <c r="H65" s="744"/>
      <c r="I65" s="744"/>
      <c r="J65" s="729"/>
      <c r="K65" s="729"/>
      <c r="L65" s="729"/>
      <c r="M65" s="729"/>
      <c r="N65" s="759"/>
      <c r="O65" s="1631"/>
      <c r="P65" s="1631"/>
      <c r="Q65" s="1631"/>
      <c r="R65" s="1631"/>
      <c r="S65" s="791"/>
    </row>
    <row r="66" spans="1:19" ht="17.25" customHeight="1">
      <c r="A66" s="1635"/>
      <c r="B66" s="697" t="s">
        <v>43</v>
      </c>
      <c r="C66" s="1627"/>
      <c r="D66" s="1627"/>
      <c r="E66" s="1627"/>
      <c r="F66" s="1627"/>
      <c r="G66" s="1627"/>
      <c r="H66" s="748"/>
      <c r="I66" s="748"/>
      <c r="J66" s="750"/>
      <c r="K66" s="750"/>
      <c r="L66" s="750"/>
      <c r="M66" s="750"/>
      <c r="N66" s="760"/>
      <c r="O66" s="1632"/>
      <c r="P66" s="1632"/>
      <c r="Q66" s="1632"/>
      <c r="R66" s="1632"/>
      <c r="S66" s="792"/>
    </row>
    <row r="67" spans="1:19" ht="17.25" customHeight="1">
      <c r="A67" s="1630">
        <v>403</v>
      </c>
      <c r="B67" s="581" t="s">
        <v>205</v>
      </c>
      <c r="C67" s="1627"/>
      <c r="D67" s="1627"/>
      <c r="E67" s="1627"/>
      <c r="F67" s="1627"/>
      <c r="G67" s="1627"/>
      <c r="H67" s="744"/>
      <c r="I67" s="744"/>
      <c r="J67" s="729"/>
      <c r="K67" s="729"/>
      <c r="L67" s="729"/>
      <c r="M67" s="729"/>
      <c r="N67" s="759"/>
      <c r="O67" s="1631"/>
      <c r="P67" s="1631"/>
      <c r="Q67" s="1631"/>
      <c r="R67" s="1631"/>
      <c r="S67" s="791"/>
    </row>
    <row r="68" spans="1:19" ht="17.25" customHeight="1">
      <c r="A68" s="1630"/>
      <c r="B68" s="697" t="s">
        <v>43</v>
      </c>
      <c r="C68" s="1627"/>
      <c r="D68" s="1627"/>
      <c r="E68" s="1627"/>
      <c r="F68" s="1627"/>
      <c r="G68" s="1627"/>
      <c r="H68" s="748"/>
      <c r="I68" s="748"/>
      <c r="J68" s="750"/>
      <c r="K68" s="752"/>
      <c r="L68" s="761"/>
      <c r="M68" s="750"/>
      <c r="N68" s="750"/>
      <c r="O68" s="1632"/>
      <c r="P68" s="1632"/>
      <c r="Q68" s="1632"/>
      <c r="R68" s="1632"/>
      <c r="S68" s="792"/>
    </row>
    <row r="69" spans="1:19" s="456" customFormat="1" ht="24.95" customHeight="1">
      <c r="A69" s="756" t="s">
        <v>425</v>
      </c>
      <c r="B69" s="756" t="s">
        <v>193</v>
      </c>
      <c r="C69" s="1633" t="s">
        <v>11</v>
      </c>
      <c r="D69" s="1633"/>
      <c r="E69" s="1633"/>
      <c r="F69" s="1633"/>
      <c r="G69" s="1633"/>
      <c r="H69" s="688" t="s">
        <v>216</v>
      </c>
      <c r="I69" s="688" t="s">
        <v>12</v>
      </c>
      <c r="J69" s="688" t="s">
        <v>13</v>
      </c>
      <c r="K69" s="807" t="s">
        <v>218</v>
      </c>
      <c r="L69" s="762" t="s">
        <v>60</v>
      </c>
      <c r="M69" s="808" t="s">
        <v>28</v>
      </c>
      <c r="N69" s="808" t="s">
        <v>45</v>
      </c>
      <c r="O69" s="1634" t="s">
        <v>29</v>
      </c>
      <c r="P69" s="1634"/>
      <c r="Q69" s="1634"/>
      <c r="R69" s="1634"/>
      <c r="S69" s="758" t="s">
        <v>57</v>
      </c>
    </row>
    <row r="70" spans="1:19" ht="17.25" customHeight="1">
      <c r="A70" s="1626" t="s">
        <v>426</v>
      </c>
      <c r="B70" s="581" t="s">
        <v>205</v>
      </c>
      <c r="C70" s="1627"/>
      <c r="D70" s="1627"/>
      <c r="E70" s="1627"/>
      <c r="F70" s="1627"/>
      <c r="G70" s="1627"/>
      <c r="H70" s="744"/>
      <c r="I70" s="744"/>
      <c r="J70" s="729"/>
      <c r="K70" s="751"/>
      <c r="L70" s="763"/>
      <c r="M70" s="729" t="e">
        <f>[1]印403!O91</f>
        <v>#REF!</v>
      </c>
      <c r="N70" s="729"/>
      <c r="O70" s="1631"/>
      <c r="P70" s="1631"/>
      <c r="Q70" s="1631"/>
      <c r="R70" s="1631"/>
      <c r="S70" s="791"/>
    </row>
    <row r="71" spans="1:19" ht="17.25" customHeight="1">
      <c r="A71" s="1626"/>
      <c r="B71" s="697" t="s">
        <v>43</v>
      </c>
      <c r="C71" s="1627"/>
      <c r="D71" s="1627"/>
      <c r="E71" s="1627"/>
      <c r="F71" s="1627"/>
      <c r="G71" s="1627"/>
      <c r="H71" s="748"/>
      <c r="I71" s="748"/>
      <c r="J71" s="750"/>
      <c r="K71" s="752"/>
      <c r="L71" s="764"/>
      <c r="M71" s="729" t="e">
        <f>[1]印403!O99</f>
        <v>#REF!</v>
      </c>
      <c r="N71" s="760"/>
      <c r="O71" s="1632"/>
      <c r="P71" s="1632"/>
      <c r="Q71" s="1632"/>
      <c r="R71" s="1632"/>
      <c r="S71" s="792"/>
    </row>
    <row r="72" spans="1:19" ht="6" customHeight="1" thickBot="1">
      <c r="A72" s="765"/>
      <c r="C72" s="766"/>
      <c r="K72" s="798"/>
      <c r="L72" s="767"/>
      <c r="M72" s="799"/>
      <c r="N72" s="799" t="s">
        <v>46</v>
      </c>
    </row>
    <row r="73" spans="1:19" ht="15" customHeight="1" thickTop="1">
      <c r="A73" s="1622" t="s">
        <v>30</v>
      </c>
      <c r="B73" s="1623"/>
      <c r="C73" s="1623"/>
      <c r="D73" s="1623"/>
      <c r="E73" s="769">
        <v>2451800</v>
      </c>
      <c r="F73" s="533" t="s">
        <v>64</v>
      </c>
      <c r="G73" s="1624" t="s">
        <v>31</v>
      </c>
      <c r="H73" s="1625"/>
      <c r="I73" s="1625"/>
      <c r="J73" s="1625"/>
      <c r="K73" s="1625"/>
      <c r="L73" s="770">
        <v>2495000</v>
      </c>
      <c r="M73" s="533" t="s">
        <v>64</v>
      </c>
      <c r="N73" s="1624" t="s">
        <v>32</v>
      </c>
      <c r="O73" s="1625"/>
      <c r="P73" s="1625"/>
      <c r="Q73" s="770">
        <v>3246000</v>
      </c>
      <c r="R73" s="533" t="s">
        <v>64</v>
      </c>
      <c r="S73" s="533"/>
    </row>
    <row r="74" spans="1:19" ht="15" customHeight="1" thickBot="1">
      <c r="A74" s="1604" t="s">
        <v>66</v>
      </c>
      <c r="B74" s="1605"/>
      <c r="C74" s="1605"/>
      <c r="D74" s="1605"/>
      <c r="E74" s="771"/>
      <c r="G74" s="1604" t="s">
        <v>66</v>
      </c>
      <c r="H74" s="1605"/>
      <c r="I74" s="1605"/>
      <c r="J74" s="1605"/>
      <c r="K74" s="1605"/>
      <c r="L74" s="771"/>
      <c r="N74" s="1604" t="s">
        <v>33</v>
      </c>
      <c r="O74" s="1605"/>
      <c r="P74" s="1605"/>
      <c r="Q74" s="771"/>
      <c r="R74" s="533"/>
      <c r="S74" s="533"/>
    </row>
    <row r="75" spans="1:19" ht="15" customHeight="1" thickTop="1" thickBot="1">
      <c r="A75" s="1606" t="s">
        <v>34</v>
      </c>
      <c r="B75" s="1607"/>
      <c r="C75" s="1607"/>
      <c r="D75" s="1607"/>
      <c r="E75" s="772">
        <f>E73+E74</f>
        <v>2451800</v>
      </c>
      <c r="F75" s="533" t="s">
        <v>64</v>
      </c>
      <c r="G75" s="1608" t="s">
        <v>35</v>
      </c>
      <c r="H75" s="1609"/>
      <c r="I75" s="1609"/>
      <c r="J75" s="1609"/>
      <c r="K75" s="1609"/>
      <c r="L75" s="773">
        <f>L73+L74</f>
        <v>2495000</v>
      </c>
      <c r="M75" s="533" t="s">
        <v>64</v>
      </c>
      <c r="N75" s="1608" t="s">
        <v>36</v>
      </c>
      <c r="O75" s="1609"/>
      <c r="P75" s="1609"/>
      <c r="Q75" s="773">
        <f>Q73+Q74</f>
        <v>3246000</v>
      </c>
      <c r="R75" s="533" t="s">
        <v>64</v>
      </c>
      <c r="S75" s="533"/>
    </row>
    <row r="76" spans="1:19" ht="15" customHeight="1" thickTop="1" thickBot="1">
      <c r="E76" s="774">
        <f>印401!M64</f>
        <v>0</v>
      </c>
      <c r="L76" s="775" t="e">
        <f>#REF!</f>
        <v>#REF!</v>
      </c>
      <c r="O76" s="533"/>
      <c r="P76" s="533"/>
      <c r="Q76" s="775" t="e">
        <f>#REF!</f>
        <v>#REF!</v>
      </c>
      <c r="R76" s="533"/>
      <c r="S76" s="533"/>
    </row>
    <row r="77" spans="1:19" ht="15" customHeight="1" thickBot="1">
      <c r="A77" s="776" t="s">
        <v>37</v>
      </c>
      <c r="B77" s="777"/>
      <c r="C77" s="777"/>
      <c r="D77" s="778"/>
      <c r="E77" s="779">
        <f>印401!P64</f>
        <v>0</v>
      </c>
      <c r="F77" s="533" t="s">
        <v>64</v>
      </c>
      <c r="G77" s="776" t="s">
        <v>38</v>
      </c>
      <c r="H77" s="777"/>
      <c r="I77" s="777"/>
      <c r="J77" s="777"/>
      <c r="K77" s="777"/>
      <c r="L77" s="780" t="e">
        <f>#REF!</f>
        <v>#REF!</v>
      </c>
      <c r="M77" s="533" t="s">
        <v>64</v>
      </c>
      <c r="N77" s="776" t="s">
        <v>39</v>
      </c>
      <c r="O77" s="777"/>
      <c r="P77" s="777"/>
      <c r="Q77" s="780" t="e">
        <f>#REF!</f>
        <v>#REF!</v>
      </c>
      <c r="R77" s="533" t="s">
        <v>64</v>
      </c>
      <c r="S77" s="533"/>
    </row>
    <row r="78" spans="1:19" ht="3" customHeight="1" thickBot="1">
      <c r="J78" s="781"/>
      <c r="K78" s="782"/>
    </row>
    <row r="79" spans="1:19" ht="15" customHeight="1" thickTop="1">
      <c r="B79" s="1616" t="s">
        <v>69</v>
      </c>
      <c r="C79" s="1616"/>
      <c r="D79" s="1617" t="s">
        <v>305</v>
      </c>
      <c r="E79" s="1617"/>
      <c r="F79" s="1618" t="s">
        <v>306</v>
      </c>
      <c r="G79" s="1618"/>
      <c r="H79" s="1619" t="s">
        <v>307</v>
      </c>
      <c r="I79" s="1619"/>
      <c r="J79" s="1619"/>
      <c r="K79" s="1619"/>
      <c r="O79" s="533"/>
      <c r="P79" s="533"/>
      <c r="Q79" s="1620" t="s">
        <v>65</v>
      </c>
      <c r="R79" s="1621"/>
      <c r="S79" s="783">
        <v>65153459</v>
      </c>
    </row>
    <row r="80" spans="1:19" ht="15" customHeight="1" thickBot="1">
      <c r="B80" s="1628" t="s">
        <v>308</v>
      </c>
      <c r="C80" s="1628"/>
      <c r="D80" s="1629">
        <f>'101'!H74+'101'!I74+'102'!H80+'102'!I80+'103'!H78+'103'!I78+'104'!H68+'104'!I68+'105'!H72+'105'!I72+'106'!H84+'106'!I84+'107'!H78+'107'!I78</f>
        <v>1372141</v>
      </c>
      <c r="E80" s="1629"/>
      <c r="F80" s="1612">
        <f>'101'!K74+'102'!K80+'103'!K78+'104'!K68+'105'!K72+'106'!K84+'107'!K78</f>
        <v>1316871</v>
      </c>
      <c r="G80" s="1612"/>
      <c r="H80" s="1613">
        <f>(D80-F80)/D80</f>
        <v>4.028011698506203E-2</v>
      </c>
      <c r="I80" s="1613"/>
      <c r="J80" s="1613"/>
      <c r="K80" s="1613"/>
      <c r="O80" s="533"/>
      <c r="P80" s="533"/>
      <c r="Q80" s="1602" t="s">
        <v>67</v>
      </c>
      <c r="R80" s="1603"/>
      <c r="S80" s="784">
        <f>SUM(L24:L61,L63:L71)</f>
        <v>0</v>
      </c>
    </row>
    <row r="81" spans="2:20" ht="15" customHeight="1" thickTop="1" thickBot="1">
      <c r="B81" s="1610" t="s">
        <v>309</v>
      </c>
      <c r="C81" s="1610"/>
      <c r="D81" s="1611" t="e">
        <f>#REF!+#REF!+#REF!+#REF!+#REF!+#REF!+#REF!+#REF!+#REF!+#REF!+#REF!+#REF!+#REF!+#REF!+#REF!+#REF!+#REF!+#REF!</f>
        <v>#REF!</v>
      </c>
      <c r="E81" s="1611"/>
      <c r="F81" s="1612" t="e">
        <f>#REF!+#REF!+#REF!+#REF!+#REF!+#REF!+#REF!+#REF!+#REF!+#REF!+#REF!+#REF!+#REF!+#REF!+#REF!+#REF!+#REF!+#REF!</f>
        <v>#REF!</v>
      </c>
      <c r="G81" s="1612"/>
      <c r="H81" s="1613" t="e">
        <f>(D81-F81)/D81</f>
        <v>#REF!</v>
      </c>
      <c r="I81" s="1613"/>
      <c r="J81" s="1613"/>
      <c r="K81" s="1613"/>
      <c r="O81" s="533"/>
      <c r="P81" s="533"/>
      <c r="Q81" s="1614" t="s">
        <v>68</v>
      </c>
      <c r="R81" s="1615"/>
      <c r="S81" s="785">
        <f>S79+S80</f>
        <v>65153459</v>
      </c>
    </row>
    <row r="82" spans="2:20" ht="14.1" customHeight="1" thickTop="1">
      <c r="B82" s="786" t="s">
        <v>310</v>
      </c>
      <c r="C82" s="786"/>
      <c r="D82" s="786"/>
      <c r="E82" s="768"/>
      <c r="O82" s="533"/>
      <c r="P82" s="533"/>
      <c r="Q82" s="533"/>
      <c r="R82" s="787">
        <f>'[1]202'!N10+'[1]203'!N8+'[1]204'!N82+'[1]205'!N85+'[1]206'!N63+'[1]207'!N74+'[1]301'!N60+'[1]302'!N92+'[1]303'!N89+'[1]304'!N33+'[1]305'!N80+'[1]306'!N63+'[1]501'!N114+'[1]502'!N106+[1]印401!N57+[1]印402!N69+[1]印403!N83+'[1]208'!N72+'[1]209'!N65+'[1]210'!N79+'[1]211'!N38</f>
        <v>67539124.799999997</v>
      </c>
      <c r="S82" s="787">
        <f>R82-S81</f>
        <v>2385665.799999997</v>
      </c>
    </row>
    <row r="83" spans="2:20" ht="14.1" customHeight="1">
      <c r="B83" s="786" t="s">
        <v>40</v>
      </c>
      <c r="C83" s="768"/>
      <c r="D83" s="768"/>
      <c r="E83" s="768"/>
      <c r="F83" s="768"/>
      <c r="O83" s="533"/>
      <c r="P83" s="533"/>
      <c r="T83" s="768"/>
    </row>
    <row r="84" spans="2:20" ht="15.75" customHeight="1">
      <c r="B84" s="533" t="s">
        <v>41</v>
      </c>
      <c r="N84" s="768"/>
      <c r="S84" s="533"/>
    </row>
  </sheetData>
  <mergeCells count="220">
    <mergeCell ref="A1:K4"/>
    <mergeCell ref="L1:M1"/>
    <mergeCell ref="N1:P1"/>
    <mergeCell ref="Q1:R1"/>
    <mergeCell ref="L2:M2"/>
    <mergeCell ref="N2:P2"/>
    <mergeCell ref="Q2:R2"/>
    <mergeCell ref="L3:M3"/>
    <mergeCell ref="N3:P3"/>
    <mergeCell ref="Q3:R3"/>
    <mergeCell ref="L4:M4"/>
    <mergeCell ref="N4:P4"/>
    <mergeCell ref="Q4:R4"/>
    <mergeCell ref="L5:M5"/>
    <mergeCell ref="N5:P5"/>
    <mergeCell ref="Q5:R5"/>
    <mergeCell ref="G6:I6"/>
    <mergeCell ref="K6:M6"/>
    <mergeCell ref="O6:R6"/>
    <mergeCell ref="A7:A8"/>
    <mergeCell ref="G7:I7"/>
    <mergeCell ref="K7:M7"/>
    <mergeCell ref="O7:R7"/>
    <mergeCell ref="K8:M8"/>
    <mergeCell ref="O8:R8"/>
    <mergeCell ref="G8:I8"/>
    <mergeCell ref="A9:A10"/>
    <mergeCell ref="G9:I9"/>
    <mergeCell ref="K9:M9"/>
    <mergeCell ref="O9:R9"/>
    <mergeCell ref="K10:M10"/>
    <mergeCell ref="O10:R10"/>
    <mergeCell ref="G10:I10"/>
    <mergeCell ref="A11:A12"/>
    <mergeCell ref="G11:I11"/>
    <mergeCell ref="K11:M11"/>
    <mergeCell ref="O11:R11"/>
    <mergeCell ref="K12:M12"/>
    <mergeCell ref="O12:R12"/>
    <mergeCell ref="G12:I12"/>
    <mergeCell ref="A13:A14"/>
    <mergeCell ref="G13:I13"/>
    <mergeCell ref="K13:M13"/>
    <mergeCell ref="O13:R13"/>
    <mergeCell ref="G14:I14"/>
    <mergeCell ref="K14:M14"/>
    <mergeCell ref="O14:R14"/>
    <mergeCell ref="A15:A16"/>
    <mergeCell ref="G15:I15"/>
    <mergeCell ref="K15:M15"/>
    <mergeCell ref="O15:R15"/>
    <mergeCell ref="G17:I17"/>
    <mergeCell ref="K16:M16"/>
    <mergeCell ref="O16:R16"/>
    <mergeCell ref="G16:I16"/>
    <mergeCell ref="A17:A18"/>
    <mergeCell ref="K17:M17"/>
    <mergeCell ref="O17:R17"/>
    <mergeCell ref="K18:M18"/>
    <mergeCell ref="O18:R18"/>
    <mergeCell ref="G18:I18"/>
    <mergeCell ref="A19:A20"/>
    <mergeCell ref="G19:I19"/>
    <mergeCell ref="K19:M19"/>
    <mergeCell ref="O19:R19"/>
    <mergeCell ref="K20:M20"/>
    <mergeCell ref="O20:R20"/>
    <mergeCell ref="G20:I20"/>
    <mergeCell ref="A21:A22"/>
    <mergeCell ref="G21:I21"/>
    <mergeCell ref="K21:M21"/>
    <mergeCell ref="O21:R21"/>
    <mergeCell ref="K22:M22"/>
    <mergeCell ref="O22:R22"/>
    <mergeCell ref="G22:I22"/>
    <mergeCell ref="C23:E23"/>
    <mergeCell ref="O23:R23"/>
    <mergeCell ref="A24:A25"/>
    <mergeCell ref="C24:E24"/>
    <mergeCell ref="O24:R24"/>
    <mergeCell ref="O25:R25"/>
    <mergeCell ref="C25:E25"/>
    <mergeCell ref="A26:A27"/>
    <mergeCell ref="C26:E26"/>
    <mergeCell ref="O26:R26"/>
    <mergeCell ref="O27:R27"/>
    <mergeCell ref="C27:E27"/>
    <mergeCell ref="A28:A29"/>
    <mergeCell ref="C28:E28"/>
    <mergeCell ref="O28:R28"/>
    <mergeCell ref="O29:R29"/>
    <mergeCell ref="C29:E29"/>
    <mergeCell ref="O31:R31"/>
    <mergeCell ref="C31:E31"/>
    <mergeCell ref="A32:A33"/>
    <mergeCell ref="C32:E32"/>
    <mergeCell ref="O32:R32"/>
    <mergeCell ref="A30:A31"/>
    <mergeCell ref="C30:E30"/>
    <mergeCell ref="O30:R30"/>
    <mergeCell ref="O33:R33"/>
    <mergeCell ref="C33:E33"/>
    <mergeCell ref="A34:A35"/>
    <mergeCell ref="C34:E34"/>
    <mergeCell ref="O34:R34"/>
    <mergeCell ref="O35:R35"/>
    <mergeCell ref="C35:E35"/>
    <mergeCell ref="A36:A37"/>
    <mergeCell ref="O36:R36"/>
    <mergeCell ref="C36:E36"/>
    <mergeCell ref="O37:R37"/>
    <mergeCell ref="C37:E37"/>
    <mergeCell ref="A38:A39"/>
    <mergeCell ref="C38:E38"/>
    <mergeCell ref="O38:R38"/>
    <mergeCell ref="O39:R39"/>
    <mergeCell ref="C39:E39"/>
    <mergeCell ref="A40:A41"/>
    <mergeCell ref="C40:E40"/>
    <mergeCell ref="O40:R40"/>
    <mergeCell ref="O41:R41"/>
    <mergeCell ref="C41:E41"/>
    <mergeCell ref="A42:A43"/>
    <mergeCell ref="C42:E42"/>
    <mergeCell ref="O42:R42"/>
    <mergeCell ref="O43:R43"/>
    <mergeCell ref="C43:E43"/>
    <mergeCell ref="A44:A45"/>
    <mergeCell ref="C44:E44"/>
    <mergeCell ref="O44:R44"/>
    <mergeCell ref="O45:R45"/>
    <mergeCell ref="C45:E45"/>
    <mergeCell ref="A46:A47"/>
    <mergeCell ref="C46:E46"/>
    <mergeCell ref="O46:R46"/>
    <mergeCell ref="O47:R47"/>
    <mergeCell ref="C47:E47"/>
    <mergeCell ref="A48:A49"/>
    <mergeCell ref="C48:E48"/>
    <mergeCell ref="O48:R48"/>
    <mergeCell ref="O49:R49"/>
    <mergeCell ref="C49:E49"/>
    <mergeCell ref="A50:A51"/>
    <mergeCell ref="C50:E50"/>
    <mergeCell ref="O50:R50"/>
    <mergeCell ref="O51:R51"/>
    <mergeCell ref="C51:E51"/>
    <mergeCell ref="A52:A53"/>
    <mergeCell ref="C52:E52"/>
    <mergeCell ref="O52:R52"/>
    <mergeCell ref="O53:R53"/>
    <mergeCell ref="C53:E53"/>
    <mergeCell ref="O54:R54"/>
    <mergeCell ref="O55:R55"/>
    <mergeCell ref="C55:E55"/>
    <mergeCell ref="A56:A57"/>
    <mergeCell ref="C56:E56"/>
    <mergeCell ref="A54:A55"/>
    <mergeCell ref="C54:E54"/>
    <mergeCell ref="O56:R56"/>
    <mergeCell ref="O57:R57"/>
    <mergeCell ref="C57:E57"/>
    <mergeCell ref="A58:A59"/>
    <mergeCell ref="C58:E58"/>
    <mergeCell ref="O58:R58"/>
    <mergeCell ref="O59:R59"/>
    <mergeCell ref="C59:E59"/>
    <mergeCell ref="A60:A61"/>
    <mergeCell ref="C60:E60"/>
    <mergeCell ref="O60:R60"/>
    <mergeCell ref="O61:R61"/>
    <mergeCell ref="C61:E61"/>
    <mergeCell ref="C62:G62"/>
    <mergeCell ref="O62:R62"/>
    <mergeCell ref="A63:A64"/>
    <mergeCell ref="C63:G63"/>
    <mergeCell ref="O63:R63"/>
    <mergeCell ref="O64:R64"/>
    <mergeCell ref="C64:G64"/>
    <mergeCell ref="A65:A66"/>
    <mergeCell ref="C65:G65"/>
    <mergeCell ref="O65:R65"/>
    <mergeCell ref="O66:R66"/>
    <mergeCell ref="C66:G66"/>
    <mergeCell ref="A67:A68"/>
    <mergeCell ref="C67:G67"/>
    <mergeCell ref="O67:R67"/>
    <mergeCell ref="O68:R68"/>
    <mergeCell ref="O71:R71"/>
    <mergeCell ref="C68:G68"/>
    <mergeCell ref="C69:G69"/>
    <mergeCell ref="O69:R69"/>
    <mergeCell ref="O70:R70"/>
    <mergeCell ref="C71:G71"/>
    <mergeCell ref="A73:D73"/>
    <mergeCell ref="G73:K73"/>
    <mergeCell ref="N73:P73"/>
    <mergeCell ref="A70:A71"/>
    <mergeCell ref="C70:G70"/>
    <mergeCell ref="B80:C80"/>
    <mergeCell ref="D80:E80"/>
    <mergeCell ref="F80:G80"/>
    <mergeCell ref="H80:K80"/>
    <mergeCell ref="Q80:R80"/>
    <mergeCell ref="A74:D74"/>
    <mergeCell ref="G74:K74"/>
    <mergeCell ref="N74:P74"/>
    <mergeCell ref="A75:D75"/>
    <mergeCell ref="G75:K75"/>
    <mergeCell ref="B81:C81"/>
    <mergeCell ref="D81:E81"/>
    <mergeCell ref="F81:G81"/>
    <mergeCell ref="H81:K81"/>
    <mergeCell ref="Q81:R81"/>
    <mergeCell ref="B79:C79"/>
    <mergeCell ref="D79:E79"/>
    <mergeCell ref="F79:G79"/>
    <mergeCell ref="H79:K79"/>
    <mergeCell ref="Q79:R79"/>
    <mergeCell ref="N75:P75"/>
  </mergeCells>
  <phoneticPr fontId="26" type="noConversion"/>
  <printOptions horizontalCentered="1"/>
  <pageMargins left="0" right="0" top="0" bottom="0.39370078740157483" header="1.0236220472440944" footer="0.11811023622047245"/>
  <pageSetup paperSize="9" scale="62" orientation="landscape" r:id="rId1"/>
  <headerFooter alignWithMargins="0">
    <oddFooter>&amp;R製表:羅文伶
版號P-015-13</oddFooter>
  </headerFooter>
  <colBreaks count="1" manualBreakCount="1">
    <brk id="19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49">
    <tabColor indexed="13"/>
  </sheetPr>
  <dimension ref="A1:H56"/>
  <sheetViews>
    <sheetView zoomScale="75" workbookViewId="0">
      <selection activeCell="A9" sqref="A9"/>
    </sheetView>
  </sheetViews>
  <sheetFormatPr defaultRowHeight="15.75"/>
  <cols>
    <col min="1" max="1" width="14.5" style="533" customWidth="1"/>
    <col min="2" max="2" width="18.125" style="533" customWidth="1"/>
    <col min="3" max="5" width="15.375" style="533" customWidth="1"/>
    <col min="6" max="6" width="12.375" style="533" customWidth="1"/>
    <col min="7" max="8" width="11.5" style="533" customWidth="1"/>
    <col min="9" max="16384" width="9" style="533"/>
  </cols>
  <sheetData>
    <row r="1" spans="1:8" ht="16.5" customHeight="1">
      <c r="A1" s="1669" t="s">
        <v>182</v>
      </c>
      <c r="B1" s="1669"/>
      <c r="C1" s="1669"/>
      <c r="D1" s="1669"/>
      <c r="E1" s="1669"/>
      <c r="F1" s="610"/>
      <c r="G1" s="456"/>
      <c r="H1" s="456"/>
    </row>
    <row r="2" spans="1:8" ht="16.149999999999999" customHeight="1">
      <c r="A2" s="1669"/>
      <c r="B2" s="1669"/>
      <c r="C2" s="1669"/>
      <c r="D2" s="1669"/>
      <c r="E2" s="1669"/>
      <c r="F2" s="610"/>
      <c r="G2" s="456"/>
      <c r="H2" s="456"/>
    </row>
    <row r="3" spans="1:8" ht="16.149999999999999" customHeight="1">
      <c r="A3" s="1669"/>
      <c r="B3" s="1669"/>
      <c r="C3" s="1669"/>
      <c r="D3" s="1669"/>
      <c r="E3" s="1669"/>
      <c r="F3" s="610"/>
      <c r="G3" s="456"/>
      <c r="H3" s="456"/>
    </row>
    <row r="4" spans="1:8" ht="24.95" customHeight="1">
      <c r="A4" s="533" t="s">
        <v>312</v>
      </c>
      <c r="B4" s="611" t="s">
        <v>676</v>
      </c>
      <c r="C4" s="612" t="s">
        <v>738</v>
      </c>
      <c r="D4" s="456"/>
      <c r="F4" s="610"/>
      <c r="G4" s="456"/>
      <c r="H4" s="456"/>
    </row>
    <row r="5" spans="1:8" ht="24.95" customHeight="1">
      <c r="A5" s="605"/>
      <c r="B5" s="613"/>
      <c r="C5" s="614"/>
      <c r="D5" s="456"/>
      <c r="F5" s="610"/>
      <c r="G5" s="456"/>
      <c r="H5" s="456"/>
    </row>
    <row r="6" spans="1:8" ht="24.95" customHeight="1">
      <c r="A6" s="534" t="s">
        <v>53</v>
      </c>
      <c r="B6" s="1626" t="s">
        <v>183</v>
      </c>
      <c r="C6" s="1626"/>
      <c r="D6" s="1626" t="s">
        <v>184</v>
      </c>
      <c r="E6" s="1626"/>
      <c r="F6" s="610"/>
      <c r="G6" s="456"/>
      <c r="H6" s="456"/>
    </row>
    <row r="7" spans="1:8" ht="24.95" customHeight="1">
      <c r="A7" s="640" t="s">
        <v>185</v>
      </c>
      <c r="B7" s="1676" t="s">
        <v>739</v>
      </c>
      <c r="C7" s="1677"/>
      <c r="D7" s="1676" t="s">
        <v>740</v>
      </c>
      <c r="E7" s="1677"/>
      <c r="F7" s="610"/>
      <c r="G7" s="456"/>
      <c r="H7" s="456"/>
    </row>
    <row r="8" spans="1:8" ht="37.5" customHeight="1">
      <c r="A8" s="640" t="s">
        <v>186</v>
      </c>
      <c r="B8" s="1680" t="s">
        <v>741</v>
      </c>
      <c r="C8" s="1681"/>
      <c r="D8" s="1680" t="s">
        <v>742</v>
      </c>
      <c r="E8" s="1681"/>
      <c r="F8" s="610"/>
      <c r="G8" s="456"/>
      <c r="H8" s="456"/>
    </row>
    <row r="9" spans="1:8" ht="24.95" customHeight="1">
      <c r="A9" s="640" t="s">
        <v>56</v>
      </c>
      <c r="B9" s="1676" t="s">
        <v>743</v>
      </c>
      <c r="C9" s="1677"/>
      <c r="D9" s="1676" t="s">
        <v>744</v>
      </c>
      <c r="E9" s="1677"/>
      <c r="F9" s="610"/>
      <c r="G9" s="456"/>
      <c r="H9" s="456"/>
    </row>
    <row r="10" spans="1:8" ht="24.95" customHeight="1">
      <c r="A10" s="615"/>
      <c r="B10" s="616"/>
      <c r="C10" s="614"/>
      <c r="D10" s="617"/>
      <c r="F10" s="610"/>
      <c r="G10" s="456"/>
      <c r="H10" s="456"/>
    </row>
    <row r="11" spans="1:8" s="456" customFormat="1" ht="36.950000000000003" customHeight="1">
      <c r="A11" s="618" t="s">
        <v>192</v>
      </c>
      <c r="B11" s="618" t="s">
        <v>194</v>
      </c>
      <c r="C11" s="619" t="s">
        <v>313</v>
      </c>
      <c r="D11" s="620" t="s">
        <v>314</v>
      </c>
      <c r="E11" s="620" t="s">
        <v>315</v>
      </c>
      <c r="F11" s="610"/>
    </row>
    <row r="12" spans="1:8" ht="24.95" customHeight="1">
      <c r="A12" s="621">
        <v>101</v>
      </c>
      <c r="B12" s="580" t="s">
        <v>613</v>
      </c>
      <c r="C12" s="622"/>
      <c r="D12" s="623">
        <f>'101'!H74</f>
        <v>18700</v>
      </c>
      <c r="E12" s="624">
        <f>'101'!K74</f>
        <v>57107</v>
      </c>
      <c r="F12" s="610"/>
    </row>
    <row r="13" spans="1:8" ht="24.95" customHeight="1">
      <c r="A13" s="621">
        <v>102</v>
      </c>
      <c r="B13" s="580" t="s">
        <v>613</v>
      </c>
      <c r="C13" s="622"/>
      <c r="D13" s="623">
        <f>'102'!H80</f>
        <v>215600</v>
      </c>
      <c r="E13" s="624">
        <f>'102'!K80</f>
        <v>331928</v>
      </c>
      <c r="F13" s="610"/>
    </row>
    <row r="14" spans="1:8" ht="24.95" customHeight="1">
      <c r="A14" s="621">
        <v>103</v>
      </c>
      <c r="B14" s="580" t="s">
        <v>614</v>
      </c>
      <c r="C14" s="622"/>
      <c r="D14" s="623">
        <f>'103'!H78</f>
        <v>12100</v>
      </c>
      <c r="E14" s="624">
        <f>'103'!K78</f>
        <v>123776</v>
      </c>
      <c r="F14" s="610"/>
    </row>
    <row r="15" spans="1:8" ht="24.95" customHeight="1">
      <c r="A15" s="621">
        <v>104</v>
      </c>
      <c r="B15" s="580" t="s">
        <v>615</v>
      </c>
      <c r="C15" s="622"/>
      <c r="D15" s="625">
        <f>'104'!H68</f>
        <v>0</v>
      </c>
      <c r="E15" s="624">
        <f>'104'!K68</f>
        <v>0</v>
      </c>
      <c r="F15" s="610"/>
    </row>
    <row r="16" spans="1:8" ht="24.95" customHeight="1">
      <c r="A16" s="621">
        <v>105</v>
      </c>
      <c r="B16" s="580" t="s">
        <v>392</v>
      </c>
      <c r="C16" s="622"/>
      <c r="D16" s="625">
        <f>'105'!H72</f>
        <v>45175</v>
      </c>
      <c r="E16" s="624">
        <f>'105'!K72</f>
        <v>97617</v>
      </c>
      <c r="F16" s="610"/>
    </row>
    <row r="17" spans="1:6" ht="24.95" customHeight="1">
      <c r="A17" s="621">
        <v>106</v>
      </c>
      <c r="B17" s="580" t="s">
        <v>613</v>
      </c>
      <c r="C17" s="622"/>
      <c r="D17" s="625">
        <f>'106'!H84</f>
        <v>203500</v>
      </c>
      <c r="E17" s="624">
        <f>'106'!K84</f>
        <v>507428</v>
      </c>
      <c r="F17" s="610"/>
    </row>
    <row r="18" spans="1:6" ht="24.95" customHeight="1">
      <c r="A18" s="621">
        <v>107</v>
      </c>
      <c r="B18" s="580" t="s">
        <v>392</v>
      </c>
      <c r="C18" s="622"/>
      <c r="D18" s="625">
        <f>'107'!H78</f>
        <v>55045</v>
      </c>
      <c r="E18" s="624">
        <f>'107'!K78</f>
        <v>199015</v>
      </c>
      <c r="F18" s="610"/>
    </row>
    <row r="19" spans="1:6" ht="24.95" customHeight="1">
      <c r="A19" s="621">
        <v>501</v>
      </c>
      <c r="B19" s="580" t="s">
        <v>254</v>
      </c>
      <c r="C19" s="622"/>
      <c r="D19" s="625" t="e">
        <f>#REF!</f>
        <v>#REF!</v>
      </c>
      <c r="E19" s="624">
        <f>'501押'!M8</f>
        <v>0</v>
      </c>
      <c r="F19" s="610" t="s">
        <v>412</v>
      </c>
    </row>
    <row r="20" spans="1:6" ht="24.95" customHeight="1">
      <c r="A20" s="1678" t="s">
        <v>316</v>
      </c>
      <c r="B20" s="1679"/>
      <c r="C20" s="626">
        <f>SUM(C12:C19)</f>
        <v>0</v>
      </c>
      <c r="D20" s="626" t="e">
        <f>SUM(D12:D19)</f>
        <v>#REF!</v>
      </c>
      <c r="E20" s="626">
        <f>SUM(E12:E19)</f>
        <v>1316871</v>
      </c>
      <c r="F20" s="610"/>
    </row>
    <row r="21" spans="1:6" ht="24.95" customHeight="1">
      <c r="A21" s="627" t="s">
        <v>317</v>
      </c>
      <c r="B21" s="628"/>
      <c r="C21" s="629"/>
      <c r="D21" s="629"/>
      <c r="E21" s="630"/>
      <c r="F21" s="610"/>
    </row>
    <row r="22" spans="1:6" ht="24.95" customHeight="1">
      <c r="A22" s="631"/>
      <c r="B22" s="632"/>
      <c r="C22" s="633"/>
      <c r="D22" s="633"/>
      <c r="E22" s="634"/>
      <c r="F22" s="610"/>
    </row>
    <row r="23" spans="1:6" s="456" customFormat="1" ht="30" customHeight="1">
      <c r="A23" s="618" t="s">
        <v>212</v>
      </c>
      <c r="B23" s="618" t="s">
        <v>194</v>
      </c>
      <c r="C23" s="620" t="s">
        <v>318</v>
      </c>
      <c r="D23" s="620" t="s">
        <v>319</v>
      </c>
      <c r="E23" s="620" t="s">
        <v>320</v>
      </c>
      <c r="F23" s="620" t="s">
        <v>655</v>
      </c>
    </row>
    <row r="24" spans="1:6" ht="24.95" customHeight="1">
      <c r="A24" s="635" t="s">
        <v>616</v>
      </c>
      <c r="B24" s="580" t="s">
        <v>617</v>
      </c>
      <c r="C24" s="637"/>
      <c r="D24" s="637"/>
      <c r="E24" s="637"/>
      <c r="F24" s="534"/>
    </row>
    <row r="25" spans="1:6" ht="24.95" customHeight="1">
      <c r="A25" s="635" t="s">
        <v>618</v>
      </c>
      <c r="B25" s="580" t="s">
        <v>617</v>
      </c>
      <c r="C25" s="637"/>
      <c r="D25" s="637"/>
      <c r="E25" s="637"/>
      <c r="F25" s="534"/>
    </row>
    <row r="26" spans="1:6" ht="24.95" customHeight="1">
      <c r="A26" s="635" t="s">
        <v>619</v>
      </c>
      <c r="B26" s="580" t="s">
        <v>620</v>
      </c>
      <c r="C26" s="637" t="e">
        <f>#REF!</f>
        <v>#REF!</v>
      </c>
      <c r="D26" s="637" t="e">
        <f>#REF!</f>
        <v>#REF!</v>
      </c>
      <c r="E26" s="870" t="e">
        <f>#REF!</f>
        <v>#REF!</v>
      </c>
      <c r="F26" s="534" t="e">
        <f>#REF!</f>
        <v>#REF!</v>
      </c>
    </row>
    <row r="27" spans="1:6" ht="24.95" customHeight="1">
      <c r="A27" s="635" t="s">
        <v>621</v>
      </c>
      <c r="B27" s="580" t="s">
        <v>620</v>
      </c>
      <c r="C27" s="637" t="e">
        <f>#REF!</f>
        <v>#REF!</v>
      </c>
      <c r="D27" s="637" t="e">
        <f>#REF!</f>
        <v>#REF!</v>
      </c>
      <c r="E27" s="637" t="e">
        <f>#REF!</f>
        <v>#REF!</v>
      </c>
      <c r="F27" s="534" t="e">
        <f>#REF!</f>
        <v>#REF!</v>
      </c>
    </row>
    <row r="28" spans="1:6" ht="24.95" customHeight="1">
      <c r="A28" s="635" t="s">
        <v>382</v>
      </c>
      <c r="B28" s="580" t="s">
        <v>620</v>
      </c>
      <c r="C28" s="637" t="e">
        <f>#REF!</f>
        <v>#REF!</v>
      </c>
      <c r="D28" s="637" t="e">
        <f>#REF!</f>
        <v>#REF!</v>
      </c>
      <c r="E28" s="637" t="e">
        <f>#REF!</f>
        <v>#REF!</v>
      </c>
      <c r="F28" s="534" t="e">
        <f>#REF!</f>
        <v>#REF!</v>
      </c>
    </row>
    <row r="29" spans="1:6" ht="24.95" customHeight="1">
      <c r="A29" s="635" t="s">
        <v>137</v>
      </c>
      <c r="B29" s="580" t="s">
        <v>620</v>
      </c>
      <c r="C29" s="637" t="e">
        <f>#REF!</f>
        <v>#REF!</v>
      </c>
      <c r="D29" s="637" t="e">
        <f>#REF!</f>
        <v>#REF!</v>
      </c>
      <c r="E29" s="637" t="e">
        <f>#REF!</f>
        <v>#REF!</v>
      </c>
      <c r="F29" s="534" t="e">
        <f>#REF!</f>
        <v>#REF!</v>
      </c>
    </row>
    <row r="30" spans="1:6" ht="24.95" customHeight="1">
      <c r="A30" s="635" t="s">
        <v>414</v>
      </c>
      <c r="B30" s="580" t="s">
        <v>620</v>
      </c>
      <c r="C30" s="637" t="e">
        <f>#REF!</f>
        <v>#REF!</v>
      </c>
      <c r="D30" s="637" t="e">
        <f>#REF!</f>
        <v>#REF!</v>
      </c>
      <c r="E30" s="637" t="e">
        <f>#REF!</f>
        <v>#REF!</v>
      </c>
      <c r="F30" s="534" t="e">
        <f>#REF!</f>
        <v>#REF!</v>
      </c>
    </row>
    <row r="31" spans="1:6" ht="24.95" customHeight="1">
      <c r="A31" s="635" t="s">
        <v>415</v>
      </c>
      <c r="B31" s="580" t="s">
        <v>620</v>
      </c>
      <c r="C31" s="637" t="e">
        <f>#REF!</f>
        <v>#REF!</v>
      </c>
      <c r="D31" s="637" t="e">
        <f>#REF!</f>
        <v>#REF!</v>
      </c>
      <c r="E31" s="637" t="e">
        <f>#REF!</f>
        <v>#REF!</v>
      </c>
      <c r="F31" s="534" t="e">
        <f>#REF!</f>
        <v>#REF!</v>
      </c>
    </row>
    <row r="32" spans="1:6" ht="24.95" customHeight="1">
      <c r="A32" s="635" t="s">
        <v>625</v>
      </c>
      <c r="B32" s="580" t="s">
        <v>620</v>
      </c>
      <c r="C32" s="637" t="e">
        <f>#REF!</f>
        <v>#REF!</v>
      </c>
      <c r="D32" s="637" t="e">
        <f>#REF!</f>
        <v>#REF!</v>
      </c>
      <c r="E32" s="637" t="e">
        <f>#REF!</f>
        <v>#REF!</v>
      </c>
      <c r="F32" s="534" t="e">
        <f>#REF!</f>
        <v>#REF!</v>
      </c>
    </row>
    <row r="33" spans="1:6" ht="24.95" customHeight="1">
      <c r="A33" s="635" t="s">
        <v>626</v>
      </c>
      <c r="B33" s="580" t="s">
        <v>620</v>
      </c>
      <c r="C33" s="637" t="e">
        <f>#REF!</f>
        <v>#REF!</v>
      </c>
      <c r="D33" s="637" t="e">
        <f>#REF!</f>
        <v>#REF!</v>
      </c>
      <c r="E33" s="637" t="e">
        <f>#REF!</f>
        <v>#REF!</v>
      </c>
      <c r="F33" s="534" t="e">
        <f>#REF!</f>
        <v>#REF!</v>
      </c>
    </row>
    <row r="34" spans="1:6" ht="24.95" customHeight="1">
      <c r="A34" s="635" t="s">
        <v>622</v>
      </c>
      <c r="B34" s="580" t="s">
        <v>613</v>
      </c>
      <c r="C34" s="637" t="e">
        <f>#REF!</f>
        <v>#REF!</v>
      </c>
      <c r="D34" s="637" t="e">
        <f>#REF!</f>
        <v>#REF!</v>
      </c>
      <c r="E34" s="637" t="e">
        <f>#REF!</f>
        <v>#REF!</v>
      </c>
      <c r="F34" s="534" t="e">
        <f>#REF!</f>
        <v>#REF!</v>
      </c>
    </row>
    <row r="35" spans="1:6" ht="24.95" customHeight="1">
      <c r="A35" s="635" t="s">
        <v>623</v>
      </c>
      <c r="B35" s="580" t="s">
        <v>613</v>
      </c>
      <c r="C35" s="637" t="e">
        <f>#REF!</f>
        <v>#REF!</v>
      </c>
      <c r="D35" s="637" t="e">
        <f>#REF!</f>
        <v>#REF!</v>
      </c>
      <c r="E35" s="637" t="e">
        <f>#REF!</f>
        <v>#REF!</v>
      </c>
      <c r="F35" s="534" t="e">
        <f>#REF!</f>
        <v>#REF!</v>
      </c>
    </row>
    <row r="36" spans="1:6" ht="24.95" customHeight="1">
      <c r="A36" s="635" t="s">
        <v>624</v>
      </c>
      <c r="B36" s="580" t="s">
        <v>321</v>
      </c>
      <c r="C36" s="637" t="e">
        <f>#REF!</f>
        <v>#REF!</v>
      </c>
      <c r="D36" s="637" t="e">
        <f>#REF!</f>
        <v>#REF!</v>
      </c>
      <c r="E36" s="637" t="e">
        <f>#REF!</f>
        <v>#REF!</v>
      </c>
      <c r="F36" s="534" t="e">
        <f>#REF!</f>
        <v>#REF!</v>
      </c>
    </row>
    <row r="37" spans="1:6" ht="24.95" customHeight="1">
      <c r="A37" s="635" t="s">
        <v>147</v>
      </c>
      <c r="B37" s="580" t="s">
        <v>148</v>
      </c>
      <c r="C37" s="637" t="e">
        <f>#REF!</f>
        <v>#REF!</v>
      </c>
      <c r="D37" s="637" t="e">
        <f>#REF!</f>
        <v>#REF!</v>
      </c>
      <c r="E37" s="637" t="e">
        <f>#REF!</f>
        <v>#REF!</v>
      </c>
      <c r="F37" s="534" t="e">
        <f>#REF!</f>
        <v>#REF!</v>
      </c>
    </row>
    <row r="38" spans="1:6" ht="24.95" customHeight="1">
      <c r="A38" s="635" t="s">
        <v>146</v>
      </c>
      <c r="B38" s="580" t="s">
        <v>321</v>
      </c>
      <c r="C38" s="637" t="e">
        <f>#REF!</f>
        <v>#REF!</v>
      </c>
      <c r="D38" s="637" t="e">
        <f>#REF!</f>
        <v>#REF!</v>
      </c>
      <c r="E38" s="637" t="e">
        <f>#REF!</f>
        <v>#REF!</v>
      </c>
      <c r="F38" s="534" t="e">
        <f>#REF!</f>
        <v>#REF!</v>
      </c>
    </row>
    <row r="39" spans="1:6" ht="24.95" customHeight="1">
      <c r="A39" s="635" t="s">
        <v>136</v>
      </c>
      <c r="B39" s="580" t="s">
        <v>321</v>
      </c>
      <c r="C39" s="637" t="e">
        <f>#REF!</f>
        <v>#REF!</v>
      </c>
      <c r="D39" s="637" t="e">
        <f>#REF!</f>
        <v>#REF!</v>
      </c>
      <c r="E39" s="637" t="e">
        <f>#REF!</f>
        <v>#REF!</v>
      </c>
      <c r="F39" s="534" t="e">
        <f>#REF!</f>
        <v>#REF!</v>
      </c>
    </row>
    <row r="40" spans="1:6" ht="24.95" customHeight="1">
      <c r="A40" s="635" t="s">
        <v>251</v>
      </c>
      <c r="B40" s="580" t="s">
        <v>254</v>
      </c>
      <c r="C40" s="637" t="e">
        <f>#REF!</f>
        <v>#REF!</v>
      </c>
      <c r="D40" s="637" t="e">
        <f>#REF!</f>
        <v>#REF!</v>
      </c>
      <c r="E40" s="637" t="e">
        <f>#REF!</f>
        <v>#REF!</v>
      </c>
      <c r="F40" s="534" t="e">
        <f>#REF!</f>
        <v>#REF!</v>
      </c>
    </row>
    <row r="41" spans="1:6" ht="24.95" customHeight="1">
      <c r="A41" s="635" t="s">
        <v>391</v>
      </c>
      <c r="B41" s="580" t="s">
        <v>255</v>
      </c>
      <c r="C41" s="637" t="e">
        <f>#REF!</f>
        <v>#REF!</v>
      </c>
      <c r="D41" s="637" t="e">
        <f>#REF!</f>
        <v>#REF!</v>
      </c>
      <c r="E41" s="637" t="e">
        <f>#REF!</f>
        <v>#REF!</v>
      </c>
      <c r="F41" s="534" t="e">
        <f>#REF!</f>
        <v>#REF!</v>
      </c>
    </row>
    <row r="42" spans="1:6" ht="24.95" customHeight="1">
      <c r="A42" s="635" t="s">
        <v>656</v>
      </c>
      <c r="B42" s="580" t="s">
        <v>42</v>
      </c>
      <c r="C42" s="637" t="e">
        <f>#REF!</f>
        <v>#REF!</v>
      </c>
      <c r="D42" s="637" t="e">
        <f>#REF!</f>
        <v>#REF!</v>
      </c>
      <c r="E42" s="637" t="e">
        <f>#REF!</f>
        <v>#REF!</v>
      </c>
      <c r="F42" s="534" t="e">
        <f>#REF!</f>
        <v>#REF!</v>
      </c>
    </row>
    <row r="43" spans="1:6" ht="24.95" customHeight="1">
      <c r="A43" s="1673" t="s">
        <v>322</v>
      </c>
      <c r="B43" s="1673"/>
      <c r="C43" s="638" t="e">
        <f>SUM(C24:C42)</f>
        <v>#REF!</v>
      </c>
      <c r="D43" s="638" t="e">
        <f>SUM(D24:D42)</f>
        <v>#REF!</v>
      </c>
      <c r="E43" s="638" t="e">
        <f>SUM(E24:E42)</f>
        <v>#REF!</v>
      </c>
      <c r="F43" s="819" t="e">
        <f>SUM(F24:F42)</f>
        <v>#REF!</v>
      </c>
    </row>
    <row r="44" spans="1:6" ht="24.95" customHeight="1">
      <c r="A44" s="627" t="s">
        <v>323</v>
      </c>
    </row>
    <row r="45" spans="1:6" ht="24.95" customHeight="1"/>
    <row r="46" spans="1:6" ht="24.95" customHeight="1"/>
    <row r="47" spans="1:6" ht="30" customHeight="1">
      <c r="A47" s="1674" t="s">
        <v>63</v>
      </c>
      <c r="B47" s="1675"/>
      <c r="C47" s="620" t="s">
        <v>324</v>
      </c>
      <c r="D47" s="620" t="s">
        <v>325</v>
      </c>
      <c r="E47" s="620" t="s">
        <v>320</v>
      </c>
    </row>
    <row r="48" spans="1:6" ht="24.95" customHeight="1">
      <c r="A48" s="1671" t="s">
        <v>256</v>
      </c>
      <c r="B48" s="1672"/>
      <c r="C48" s="580">
        <f>印401!G64</f>
        <v>0</v>
      </c>
      <c r="D48" s="580">
        <f>印401!M64</f>
        <v>0</v>
      </c>
      <c r="E48" s="534">
        <f>印401!N64</f>
        <v>0</v>
      </c>
    </row>
    <row r="49" spans="1:5" ht="24.95" customHeight="1">
      <c r="A49" s="1671" t="s">
        <v>257</v>
      </c>
      <c r="B49" s="1672"/>
      <c r="C49" s="534" t="e">
        <f>#REF!</f>
        <v>#REF!</v>
      </c>
      <c r="D49" s="534" t="e">
        <f>#REF!</f>
        <v>#REF!</v>
      </c>
      <c r="E49" s="534" t="e">
        <f>#REF!</f>
        <v>#REF!</v>
      </c>
    </row>
    <row r="50" spans="1:5" ht="24.95" customHeight="1">
      <c r="A50" s="1671" t="s">
        <v>326</v>
      </c>
      <c r="B50" s="1672"/>
      <c r="C50" s="601" t="e">
        <f>#REF!</f>
        <v>#REF!</v>
      </c>
      <c r="D50" s="534" t="e">
        <f>#REF!</f>
        <v>#REF!</v>
      </c>
      <c r="E50" s="534" t="e">
        <f>#REF!</f>
        <v>#REF!</v>
      </c>
    </row>
    <row r="51" spans="1:5" ht="24.95" customHeight="1">
      <c r="A51" s="1671" t="s">
        <v>653</v>
      </c>
      <c r="B51" s="1672"/>
      <c r="C51" s="601" t="e">
        <f>#REF!</f>
        <v>#REF!</v>
      </c>
      <c r="D51" s="534" t="e">
        <f>#REF!</f>
        <v>#REF!</v>
      </c>
      <c r="E51" s="534" t="e">
        <f>#REF!</f>
        <v>#REF!</v>
      </c>
    </row>
    <row r="52" spans="1:5" ht="24.95" customHeight="1">
      <c r="A52" s="1673" t="s">
        <v>327</v>
      </c>
      <c r="B52" s="1673"/>
      <c r="C52" s="639" t="e">
        <f>SUM(C48:C51)</f>
        <v>#REF!</v>
      </c>
      <c r="D52" s="639" t="e">
        <f>SUM(D48:D51)</f>
        <v>#REF!</v>
      </c>
      <c r="E52" s="639" t="e">
        <f>SUM(E48:E51)</f>
        <v>#REF!</v>
      </c>
    </row>
    <row r="53" spans="1:5" ht="24.95" customHeight="1">
      <c r="A53" s="627" t="s">
        <v>328</v>
      </c>
    </row>
    <row r="54" spans="1:5" ht="24.95" customHeight="1">
      <c r="E54" s="636" t="e">
        <f>E43+E52</f>
        <v>#REF!</v>
      </c>
    </row>
    <row r="56" spans="1:5">
      <c r="C56" s="457"/>
    </row>
  </sheetData>
  <mergeCells count="17">
    <mergeCell ref="A1:E3"/>
    <mergeCell ref="B9:C9"/>
    <mergeCell ref="D9:E9"/>
    <mergeCell ref="A20:B20"/>
    <mergeCell ref="D6:E6"/>
    <mergeCell ref="D7:E7"/>
    <mergeCell ref="D8:E8"/>
    <mergeCell ref="B6:C6"/>
    <mergeCell ref="B7:C7"/>
    <mergeCell ref="B8:C8"/>
    <mergeCell ref="A51:B51"/>
    <mergeCell ref="A49:B49"/>
    <mergeCell ref="A50:B50"/>
    <mergeCell ref="A52:B52"/>
    <mergeCell ref="A43:B43"/>
    <mergeCell ref="A47:B47"/>
    <mergeCell ref="A48:B48"/>
  </mergeCells>
  <phoneticPr fontId="26" type="noConversion"/>
  <pageMargins left="0.78740157480314965" right="0.23622047244094491" top="0.15748031496062992" bottom="0" header="1.0236220472440944" footer="0.15748031496062992"/>
  <pageSetup paperSize="9" scale="95" orientation="portrait" r:id="rId1"/>
  <headerFooter alignWithMargins="0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3">
    <tabColor indexed="50"/>
  </sheetPr>
  <dimension ref="A1:AD131"/>
  <sheetViews>
    <sheetView workbookViewId="0">
      <selection activeCell="E15" sqref="E15"/>
    </sheetView>
  </sheetViews>
  <sheetFormatPr defaultRowHeight="16.5"/>
  <cols>
    <col min="1" max="5" width="3.75" style="76" customWidth="1"/>
    <col min="6" max="6" width="15.125" style="75" customWidth="1"/>
    <col min="7" max="7" width="8.5" style="75" customWidth="1"/>
    <col min="8" max="8" width="8.5" style="77" customWidth="1"/>
    <col min="9" max="9" width="27.5" style="78" customWidth="1"/>
    <col min="10" max="10" width="29.25" style="79" customWidth="1"/>
    <col min="11" max="12" width="7.5" style="76" customWidth="1"/>
    <col min="13" max="14" width="12.25" style="76" customWidth="1"/>
    <col min="15" max="15" width="10.75" style="76" customWidth="1"/>
    <col min="16" max="16" width="10.75" style="133" customWidth="1"/>
    <col min="17" max="17" width="10.75" style="80" customWidth="1"/>
    <col min="18" max="18" width="8.5" style="81" customWidth="1"/>
    <col min="19" max="20" width="7" style="82" customWidth="1"/>
    <col min="21" max="21" width="7.5" style="102" hidden="1" customWidth="1"/>
    <col min="22" max="22" width="8.875" style="102" hidden="1" customWidth="1"/>
    <col min="23" max="23" width="7.875" style="103" hidden="1" customWidth="1"/>
    <col min="24" max="24" width="10.75" style="104" hidden="1" customWidth="1"/>
    <col min="25" max="25" width="10.75" style="105" hidden="1" customWidth="1"/>
    <col min="26" max="26" width="8.5" style="106" hidden="1" customWidth="1"/>
    <col min="27" max="28" width="7" style="107" hidden="1" customWidth="1"/>
    <col min="29" max="29" width="35" style="83" customWidth="1"/>
    <col min="30" max="126" width="8.875" style="76" customWidth="1"/>
    <col min="127" max="16384" width="9" style="76"/>
  </cols>
  <sheetData>
    <row r="1" spans="1:30" ht="21">
      <c r="A1" s="1682" t="s">
        <v>356</v>
      </c>
      <c r="B1" s="1682"/>
      <c r="C1" s="1682"/>
      <c r="D1" s="1682"/>
      <c r="E1" s="1682"/>
      <c r="F1" s="1682"/>
      <c r="G1" s="1682"/>
      <c r="H1" s="1682"/>
      <c r="I1" s="1682"/>
      <c r="J1" s="1682"/>
      <c r="K1" s="1682"/>
      <c r="L1" s="1682"/>
      <c r="M1" s="1682"/>
      <c r="N1" s="1682"/>
      <c r="O1" s="1682"/>
      <c r="P1" s="1682"/>
      <c r="Q1" s="1682"/>
      <c r="T1" s="86"/>
      <c r="U1" s="86"/>
      <c r="V1" s="86"/>
      <c r="W1" s="108"/>
      <c r="X1" s="82"/>
      <c r="Y1" s="86"/>
      <c r="Z1" s="109"/>
      <c r="AA1" s="110"/>
      <c r="AB1" s="110"/>
      <c r="AC1" s="98"/>
    </row>
    <row r="2" spans="1:30" ht="16.5" customHeight="1">
      <c r="A2" s="1685" t="s">
        <v>329</v>
      </c>
      <c r="B2" s="1687" t="s">
        <v>330</v>
      </c>
      <c r="C2" s="1687" t="s">
        <v>311</v>
      </c>
      <c r="D2" s="1683" t="s">
        <v>331</v>
      </c>
      <c r="E2" s="1683" t="s">
        <v>332</v>
      </c>
      <c r="F2" s="1695" t="s">
        <v>357</v>
      </c>
      <c r="G2" s="1683" t="s">
        <v>358</v>
      </c>
      <c r="H2" s="1724" t="s">
        <v>359</v>
      </c>
      <c r="I2" s="1688" t="s">
        <v>360</v>
      </c>
      <c r="J2" s="1688" t="s">
        <v>361</v>
      </c>
      <c r="K2" s="1727" t="s">
        <v>362</v>
      </c>
      <c r="L2" s="1683" t="s">
        <v>363</v>
      </c>
      <c r="M2" s="1690" t="s">
        <v>364</v>
      </c>
      <c r="N2" s="1692" t="s">
        <v>365</v>
      </c>
      <c r="O2" s="1698" t="s">
        <v>366</v>
      </c>
      <c r="P2" s="1700" t="s">
        <v>367</v>
      </c>
      <c r="Q2" s="1708" t="s">
        <v>201</v>
      </c>
      <c r="R2" s="1712" t="s">
        <v>339</v>
      </c>
      <c r="S2" s="1693" t="s">
        <v>340</v>
      </c>
      <c r="T2" s="1693"/>
      <c r="U2" s="1714" t="s">
        <v>363</v>
      </c>
      <c r="V2" s="1710" t="s">
        <v>365</v>
      </c>
      <c r="W2" s="1706" t="s">
        <v>368</v>
      </c>
      <c r="X2" s="1702" t="s">
        <v>369</v>
      </c>
      <c r="Y2" s="1704" t="s">
        <v>370</v>
      </c>
      <c r="Z2" s="1696" t="s">
        <v>339</v>
      </c>
      <c r="AA2" s="1781" t="s">
        <v>340</v>
      </c>
      <c r="AB2" s="1782"/>
      <c r="AC2" s="1780" t="s">
        <v>371</v>
      </c>
      <c r="AD2" s="1267" t="s">
        <v>372</v>
      </c>
    </row>
    <row r="3" spans="1:30" s="94" customFormat="1">
      <c r="A3" s="1686"/>
      <c r="B3" s="1461"/>
      <c r="C3" s="1461"/>
      <c r="D3" s="1461"/>
      <c r="E3" s="1461"/>
      <c r="F3" s="1571"/>
      <c r="G3" s="1684"/>
      <c r="H3" s="1725"/>
      <c r="I3" s="1689"/>
      <c r="J3" s="1689"/>
      <c r="K3" s="1728"/>
      <c r="L3" s="1684"/>
      <c r="M3" s="1691"/>
      <c r="N3" s="1684"/>
      <c r="O3" s="1699"/>
      <c r="P3" s="1701"/>
      <c r="Q3" s="1709"/>
      <c r="R3" s="1713"/>
      <c r="S3" s="153" t="s">
        <v>350</v>
      </c>
      <c r="T3" s="153" t="s">
        <v>351</v>
      </c>
      <c r="U3" s="1710"/>
      <c r="V3" s="1711"/>
      <c r="W3" s="1707"/>
      <c r="X3" s="1703"/>
      <c r="Y3" s="1705"/>
      <c r="Z3" s="1697"/>
      <c r="AA3" s="179" t="s">
        <v>350</v>
      </c>
      <c r="AB3" s="179" t="s">
        <v>351</v>
      </c>
      <c r="AC3" s="1751"/>
      <c r="AD3" s="1267"/>
    </row>
    <row r="4" spans="1:30" s="132" customFormat="1" ht="30" hidden="1" customHeight="1">
      <c r="A4" s="134">
        <v>102</v>
      </c>
      <c r="B4" s="134">
        <v>2</v>
      </c>
      <c r="C4" s="134">
        <v>28</v>
      </c>
      <c r="D4" s="134" t="s">
        <v>188</v>
      </c>
      <c r="E4" s="134" t="s">
        <v>205</v>
      </c>
      <c r="F4" s="135" t="s">
        <v>373</v>
      </c>
      <c r="G4" s="136" t="s">
        <v>374</v>
      </c>
      <c r="H4" s="137">
        <v>0</v>
      </c>
      <c r="I4" s="139" t="s">
        <v>375</v>
      </c>
      <c r="J4" s="21" t="s">
        <v>376</v>
      </c>
      <c r="K4" s="134">
        <v>420</v>
      </c>
      <c r="L4" s="140">
        <v>58</v>
      </c>
      <c r="M4" s="141">
        <f>K4*L4</f>
        <v>24360</v>
      </c>
      <c r="N4" s="141">
        <v>28</v>
      </c>
      <c r="O4" s="141">
        <v>29</v>
      </c>
      <c r="P4" s="142">
        <f>N4*O4*60*12/2000</f>
        <v>292.32</v>
      </c>
      <c r="Q4" s="154">
        <f>L4/P4</f>
        <v>0.19841269841269843</v>
      </c>
      <c r="R4" s="96">
        <f>Q4*12</f>
        <v>2.3809523809523814</v>
      </c>
      <c r="S4" s="155">
        <v>2</v>
      </c>
      <c r="T4" s="155">
        <f>(R4-S4)*60</f>
        <v>22.857142857142883</v>
      </c>
      <c r="U4" s="140">
        <v>58</v>
      </c>
      <c r="V4" s="141">
        <v>28</v>
      </c>
      <c r="W4" s="156">
        <v>24</v>
      </c>
      <c r="X4" s="157">
        <f>V4*W4*60*2.5/2000</f>
        <v>50.4</v>
      </c>
      <c r="Y4" s="180">
        <f>U4/X4</f>
        <v>1.1507936507936509</v>
      </c>
      <c r="Z4" s="181">
        <f>Y4*2.5</f>
        <v>2.8769841269841274</v>
      </c>
      <c r="AA4" s="140">
        <v>2</v>
      </c>
      <c r="AB4" s="182">
        <f>(Z4-AA4)*60</f>
        <v>52.619047619047649</v>
      </c>
      <c r="AC4" s="183" t="s">
        <v>377</v>
      </c>
      <c r="AD4" s="134"/>
    </row>
    <row r="5" spans="1:30" ht="14.25" customHeight="1">
      <c r="G5" s="89"/>
      <c r="H5" s="138"/>
      <c r="I5" s="35"/>
      <c r="J5" s="143"/>
      <c r="K5" s="144"/>
      <c r="L5" s="145">
        <f t="shared" ref="L5:Q5" si="0">SUM(L4:L4)</f>
        <v>58</v>
      </c>
      <c r="M5" s="146">
        <f t="shared" si="0"/>
        <v>24360</v>
      </c>
      <c r="N5" s="147"/>
      <c r="O5" s="145"/>
      <c r="P5" s="148"/>
      <c r="Q5" s="158">
        <f t="shared" si="0"/>
        <v>0.19841269841269843</v>
      </c>
      <c r="R5" s="91"/>
      <c r="S5" s="159"/>
      <c r="T5" s="159"/>
      <c r="U5" s="160" t="e">
        <f>SUM(#REF!)</f>
        <v>#REF!</v>
      </c>
      <c r="V5" s="161"/>
      <c r="W5" s="162"/>
      <c r="X5" s="163"/>
      <c r="Y5" s="184"/>
      <c r="Z5" s="185"/>
      <c r="AA5" s="186"/>
      <c r="AB5" s="187"/>
      <c r="AC5" s="188"/>
      <c r="AD5" s="375" t="s">
        <v>378</v>
      </c>
    </row>
    <row r="6" spans="1:30" ht="14.25" customHeight="1">
      <c r="G6" s="90"/>
      <c r="H6" s="138"/>
      <c r="I6" s="149"/>
      <c r="J6" s="150"/>
      <c r="K6" s="144"/>
      <c r="L6" s="144"/>
      <c r="M6" s="151"/>
      <c r="N6" s="151"/>
      <c r="O6" s="151"/>
      <c r="P6" s="152"/>
      <c r="Q6" s="164"/>
      <c r="R6" s="91"/>
      <c r="S6" s="159"/>
      <c r="T6" s="159"/>
      <c r="U6" s="165"/>
      <c r="V6" s="1694"/>
      <c r="W6" s="1733"/>
      <c r="X6" s="167"/>
      <c r="Y6" s="1744"/>
      <c r="Z6" s="1763"/>
      <c r="AA6" s="1770"/>
      <c r="AB6" s="1771"/>
      <c r="AC6" s="188"/>
    </row>
    <row r="7" spans="1:30" ht="14.25" customHeight="1">
      <c r="G7" s="90"/>
      <c r="H7" s="89"/>
      <c r="K7" s="144"/>
      <c r="L7" s="144"/>
      <c r="M7" s="151"/>
      <c r="N7" s="151"/>
      <c r="O7" s="151"/>
      <c r="P7" s="152"/>
      <c r="Q7" s="164"/>
      <c r="R7" s="91"/>
      <c r="S7" s="159"/>
      <c r="T7" s="159"/>
      <c r="U7" s="165"/>
      <c r="V7" s="1694"/>
      <c r="W7" s="1733"/>
      <c r="X7" s="167"/>
      <c r="Y7" s="1744"/>
      <c r="Z7" s="1763"/>
      <c r="AA7" s="1770"/>
      <c r="AB7" s="1771"/>
      <c r="AC7" s="188"/>
    </row>
    <row r="8" spans="1:30" ht="14.25" customHeight="1">
      <c r="V8" s="1694"/>
      <c r="W8" s="1733"/>
      <c r="X8" s="167"/>
      <c r="Y8" s="1744"/>
      <c r="Z8" s="1763"/>
      <c r="AA8" s="1770"/>
      <c r="AB8" s="1771"/>
    </row>
    <row r="9" spans="1:30" ht="14.25" customHeight="1">
      <c r="V9" s="1694"/>
      <c r="W9" s="1733"/>
      <c r="X9" s="167"/>
      <c r="Y9" s="1744"/>
      <c r="Z9" s="1763"/>
      <c r="AA9" s="1770"/>
      <c r="AB9" s="1771"/>
    </row>
    <row r="10" spans="1:30" ht="14.25" customHeight="1">
      <c r="V10" s="1694"/>
      <c r="W10" s="1733"/>
      <c r="X10" s="167"/>
      <c r="Y10" s="1744"/>
      <c r="Z10" s="1763"/>
      <c r="AA10" s="1770"/>
      <c r="AB10" s="1771"/>
    </row>
    <row r="11" spans="1:30" ht="14.25" customHeight="1">
      <c r="I11" s="1726"/>
      <c r="J11" s="1723"/>
      <c r="K11" s="1729"/>
      <c r="V11" s="1694"/>
      <c r="W11" s="1733"/>
      <c r="X11" s="167"/>
      <c r="Y11" s="1744"/>
      <c r="Z11" s="1763"/>
      <c r="AA11" s="1770"/>
      <c r="AB11" s="1771"/>
    </row>
    <row r="12" spans="1:30" ht="14.25" customHeight="1">
      <c r="I12" s="1726"/>
      <c r="J12" s="1723"/>
      <c r="K12" s="1729"/>
      <c r="V12" s="1694"/>
      <c r="W12" s="1733"/>
      <c r="X12" s="167"/>
      <c r="Y12" s="1744"/>
      <c r="Z12" s="1763"/>
      <c r="AA12" s="1770"/>
      <c r="AB12" s="1771"/>
    </row>
    <row r="13" spans="1:30" ht="14.25" customHeight="1">
      <c r="I13" s="1726"/>
      <c r="J13" s="1723"/>
      <c r="K13" s="1729"/>
      <c r="V13" s="1694"/>
      <c r="W13" s="1733"/>
      <c r="X13" s="167"/>
      <c r="Y13" s="1744"/>
      <c r="Z13" s="1763"/>
      <c r="AA13" s="1770"/>
      <c r="AB13" s="1771"/>
    </row>
    <row r="14" spans="1:30">
      <c r="V14" s="1694"/>
      <c r="W14" s="1733"/>
      <c r="X14" s="167"/>
      <c r="Y14" s="1744"/>
      <c r="Z14" s="1763"/>
      <c r="AA14" s="1770"/>
      <c r="AB14" s="1771"/>
    </row>
    <row r="15" spans="1:30">
      <c r="V15" s="1694"/>
      <c r="W15" s="1733"/>
      <c r="X15" s="167"/>
      <c r="Y15" s="1744"/>
      <c r="Z15" s="1763"/>
      <c r="AA15" s="1770"/>
      <c r="AB15" s="1771"/>
    </row>
    <row r="16" spans="1:30">
      <c r="V16" s="1694"/>
      <c r="W16" s="1733"/>
      <c r="X16" s="167"/>
      <c r="Y16" s="1744"/>
      <c r="Z16" s="1763"/>
      <c r="AA16" s="1770"/>
      <c r="AB16" s="1771"/>
    </row>
    <row r="17" spans="10:28">
      <c r="V17" s="1694"/>
      <c r="W17" s="1733"/>
      <c r="X17" s="167"/>
      <c r="Y17" s="1744"/>
      <c r="Z17" s="1763"/>
      <c r="AA17" s="1770"/>
      <c r="AB17" s="1771"/>
    </row>
    <row r="18" spans="10:28">
      <c r="J18" s="150"/>
      <c r="V18" s="1694"/>
      <c r="W18" s="1733"/>
      <c r="X18" s="167"/>
      <c r="Y18" s="1744"/>
      <c r="Z18" s="1763"/>
      <c r="AA18" s="1770"/>
      <c r="AB18" s="1771"/>
    </row>
    <row r="19" spans="10:28">
      <c r="V19" s="1694"/>
      <c r="W19" s="1733"/>
      <c r="X19" s="167"/>
      <c r="Y19" s="1744"/>
      <c r="Z19" s="1763"/>
      <c r="AA19" s="1770"/>
      <c r="AB19" s="1771"/>
    </row>
    <row r="20" spans="10:28">
      <c r="V20" s="1694"/>
      <c r="W20" s="1733"/>
      <c r="X20" s="167"/>
      <c r="Y20" s="1744"/>
      <c r="Z20" s="1763"/>
      <c r="AA20" s="1770"/>
      <c r="AB20" s="1771"/>
    </row>
    <row r="21" spans="10:28">
      <c r="V21" s="1694"/>
      <c r="W21" s="1733"/>
      <c r="X21" s="167"/>
      <c r="Y21" s="1744"/>
      <c r="Z21" s="1763"/>
      <c r="AA21" s="1770"/>
      <c r="AB21" s="1771"/>
    </row>
    <row r="22" spans="10:28">
      <c r="V22" s="1694"/>
      <c r="W22" s="1733"/>
      <c r="X22" s="167"/>
      <c r="Y22" s="1744"/>
      <c r="Z22" s="1763"/>
      <c r="AA22" s="1770"/>
      <c r="AB22" s="1771"/>
    </row>
    <row r="23" spans="10:28">
      <c r="V23" s="1694"/>
      <c r="W23" s="1733"/>
      <c r="X23" s="167"/>
      <c r="Y23" s="1744"/>
      <c r="Z23" s="1763"/>
      <c r="AA23" s="1770"/>
      <c r="AB23" s="1771"/>
    </row>
    <row r="24" spans="10:28">
      <c r="V24" s="1694"/>
      <c r="W24" s="1733"/>
      <c r="X24" s="167"/>
      <c r="Y24" s="1744"/>
      <c r="Z24" s="1763"/>
      <c r="AA24" s="1770"/>
      <c r="AB24" s="1771"/>
    </row>
    <row r="25" spans="10:28">
      <c r="V25" s="166"/>
      <c r="W25" s="99"/>
      <c r="X25" s="167"/>
      <c r="Y25" s="100"/>
      <c r="Z25" s="88"/>
      <c r="AA25" s="87"/>
      <c r="AB25" s="189"/>
    </row>
    <row r="26" spans="10:28">
      <c r="V26" s="166"/>
      <c r="W26" s="99"/>
      <c r="X26" s="167"/>
      <c r="Y26" s="100"/>
      <c r="Z26" s="88"/>
      <c r="AA26" s="87"/>
      <c r="AB26" s="189"/>
    </row>
    <row r="27" spans="10:28">
      <c r="V27" s="1694"/>
      <c r="W27" s="1733"/>
      <c r="X27" s="167"/>
      <c r="Y27" s="1744"/>
      <c r="Z27" s="1763"/>
      <c r="AA27" s="1770"/>
      <c r="AB27" s="1771"/>
    </row>
    <row r="28" spans="10:28">
      <c r="V28" s="1694"/>
      <c r="W28" s="1733"/>
      <c r="X28" s="167"/>
      <c r="Y28" s="1744"/>
      <c r="Z28" s="1763"/>
      <c r="AA28" s="1770"/>
      <c r="AB28" s="1771"/>
    </row>
    <row r="29" spans="10:28">
      <c r="V29" s="1730"/>
      <c r="W29" s="1737"/>
      <c r="X29" s="169"/>
      <c r="Y29" s="1741"/>
      <c r="Z29" s="1697"/>
      <c r="AA29" s="1710"/>
      <c r="AB29" s="1772"/>
    </row>
    <row r="30" spans="10:28">
      <c r="V30" s="166"/>
      <c r="W30" s="99"/>
      <c r="X30" s="167"/>
      <c r="Y30" s="100"/>
      <c r="Z30" s="88"/>
      <c r="AA30" s="87"/>
      <c r="AB30" s="189"/>
    </row>
    <row r="31" spans="10:28">
      <c r="V31" s="170"/>
      <c r="W31" s="99"/>
      <c r="X31" s="171"/>
      <c r="Y31" s="100"/>
      <c r="Z31" s="88"/>
      <c r="AA31" s="87"/>
      <c r="AB31" s="189"/>
    </row>
    <row r="32" spans="10:28">
      <c r="V32" s="1694"/>
      <c r="W32" s="1733"/>
      <c r="X32" s="167"/>
      <c r="Y32" s="1744"/>
      <c r="Z32" s="1763"/>
      <c r="AA32" s="1770"/>
      <c r="AB32" s="1771"/>
    </row>
    <row r="33" spans="22:28">
      <c r="V33" s="1694"/>
      <c r="W33" s="1733"/>
      <c r="X33" s="167"/>
      <c r="Y33" s="1744"/>
      <c r="Z33" s="1763"/>
      <c r="AA33" s="1770"/>
      <c r="AB33" s="1771"/>
    </row>
    <row r="34" spans="22:28">
      <c r="V34" s="166"/>
      <c r="W34" s="99"/>
      <c r="X34" s="172"/>
      <c r="Y34" s="100"/>
      <c r="Z34" s="88"/>
      <c r="AA34" s="87"/>
      <c r="AB34" s="189"/>
    </row>
    <row r="35" spans="22:28">
      <c r="V35" s="1694"/>
      <c r="W35" s="1733"/>
      <c r="X35" s="1715"/>
      <c r="Y35" s="1744"/>
      <c r="Z35" s="1763"/>
      <c r="AA35" s="1770"/>
      <c r="AB35" s="1771"/>
    </row>
    <row r="36" spans="22:28">
      <c r="V36" s="1694"/>
      <c r="W36" s="1733"/>
      <c r="X36" s="1716"/>
      <c r="Y36" s="1744"/>
      <c r="Z36" s="1763"/>
      <c r="AA36" s="1770"/>
      <c r="AB36" s="1771"/>
    </row>
    <row r="37" spans="22:28">
      <c r="V37" s="1694"/>
      <c r="W37" s="1733"/>
      <c r="X37" s="1716"/>
      <c r="Y37" s="1744"/>
      <c r="Z37" s="1763"/>
      <c r="AA37" s="1770"/>
      <c r="AB37" s="1771"/>
    </row>
    <row r="38" spans="22:28">
      <c r="V38" s="1694"/>
      <c r="W38" s="1733"/>
      <c r="X38" s="1716"/>
      <c r="Y38" s="1744"/>
      <c r="Z38" s="1763"/>
      <c r="AA38" s="1770"/>
      <c r="AB38" s="1771"/>
    </row>
    <row r="39" spans="22:28">
      <c r="V39" s="1694"/>
      <c r="W39" s="1733"/>
      <c r="X39" s="1716"/>
      <c r="Y39" s="1744"/>
      <c r="Z39" s="1763"/>
      <c r="AA39" s="1770"/>
      <c r="AB39" s="1771"/>
    </row>
    <row r="40" spans="22:28">
      <c r="V40" s="1694"/>
      <c r="W40" s="1733"/>
      <c r="X40" s="1717"/>
      <c r="Y40" s="1744"/>
      <c r="Z40" s="1763"/>
      <c r="AA40" s="1770"/>
      <c r="AB40" s="1771"/>
    </row>
    <row r="41" spans="22:28">
      <c r="V41" s="1730"/>
      <c r="W41" s="1737"/>
      <c r="X41" s="1715"/>
      <c r="Y41" s="1741"/>
      <c r="Z41" s="1697"/>
      <c r="AA41" s="1710"/>
      <c r="AB41" s="1772"/>
    </row>
    <row r="42" spans="22:28">
      <c r="V42" s="1732"/>
      <c r="W42" s="1738"/>
      <c r="X42" s="1717"/>
      <c r="Y42" s="1743"/>
      <c r="Z42" s="1750"/>
      <c r="AA42" s="1766"/>
      <c r="AB42" s="1774"/>
    </row>
    <row r="43" spans="22:28">
      <c r="V43" s="1730"/>
      <c r="W43" s="1737"/>
      <c r="X43" s="1715"/>
      <c r="Y43" s="1741"/>
      <c r="Z43" s="1697"/>
      <c r="AA43" s="1710"/>
      <c r="AB43" s="1772"/>
    </row>
    <row r="44" spans="22:28">
      <c r="V44" s="1731"/>
      <c r="W44" s="1740"/>
      <c r="X44" s="1716"/>
      <c r="Y44" s="1742"/>
      <c r="Z44" s="1751"/>
      <c r="AA44" s="1711"/>
      <c r="AB44" s="1773"/>
    </row>
    <row r="45" spans="22:28">
      <c r="V45" s="1732"/>
      <c r="W45" s="1738"/>
      <c r="X45" s="1717"/>
      <c r="Y45" s="1743"/>
      <c r="Z45" s="1750"/>
      <c r="AA45" s="1766"/>
      <c r="AB45" s="1774"/>
    </row>
    <row r="46" spans="22:28">
      <c r="V46" s="1718"/>
      <c r="W46" s="1734"/>
      <c r="X46" s="1756"/>
      <c r="Y46" s="1752"/>
      <c r="Z46" s="1767"/>
      <c r="AA46" s="1206"/>
      <c r="AB46" s="1775"/>
    </row>
    <row r="47" spans="22:28">
      <c r="V47" s="1719"/>
      <c r="W47" s="1735"/>
      <c r="X47" s="1756"/>
      <c r="Y47" s="1752"/>
      <c r="Z47" s="1768"/>
      <c r="AA47" s="1429"/>
      <c r="AB47" s="1776"/>
    </row>
    <row r="48" spans="22:28">
      <c r="V48" s="1720"/>
      <c r="W48" s="1736"/>
      <c r="X48" s="1756"/>
      <c r="Y48" s="1752"/>
      <c r="Z48" s="1769"/>
      <c r="AA48" s="1563"/>
      <c r="AB48" s="1777"/>
    </row>
    <row r="49" spans="22:28">
      <c r="V49" s="1718"/>
      <c r="W49" s="1734"/>
      <c r="X49" s="1753"/>
      <c r="Y49" s="1760"/>
      <c r="Z49" s="1767"/>
      <c r="AA49" s="1206"/>
      <c r="AB49" s="1775"/>
    </row>
    <row r="50" spans="22:28">
      <c r="V50" s="1719"/>
      <c r="W50" s="1735"/>
      <c r="X50" s="1754"/>
      <c r="Y50" s="1761"/>
      <c r="Z50" s="1768"/>
      <c r="AA50" s="1429"/>
      <c r="AB50" s="1776"/>
    </row>
    <row r="51" spans="22:28">
      <c r="V51" s="1719"/>
      <c r="W51" s="1735"/>
      <c r="X51" s="1754"/>
      <c r="Y51" s="1761"/>
      <c r="Z51" s="1768"/>
      <c r="AA51" s="1429"/>
      <c r="AB51" s="1776"/>
    </row>
    <row r="52" spans="22:28">
      <c r="V52" s="1720"/>
      <c r="W52" s="1736"/>
      <c r="X52" s="1755"/>
      <c r="Y52" s="1762"/>
      <c r="Z52" s="1769"/>
      <c r="AA52" s="1563"/>
      <c r="AB52" s="1777"/>
    </row>
    <row r="53" spans="22:28">
      <c r="V53" s="173"/>
      <c r="W53" s="162"/>
      <c r="X53" s="174"/>
      <c r="Y53" s="194"/>
      <c r="Z53" s="185"/>
      <c r="AA53" s="113"/>
      <c r="AB53" s="195"/>
    </row>
    <row r="54" spans="22:28">
      <c r="V54" s="1721"/>
      <c r="W54" s="1737"/>
      <c r="X54" s="174"/>
      <c r="Y54" s="194"/>
      <c r="Z54" s="1697"/>
      <c r="AA54" s="111"/>
      <c r="AB54" s="1764"/>
    </row>
    <row r="55" spans="22:28">
      <c r="V55" s="1722"/>
      <c r="W55" s="1740"/>
      <c r="X55" s="163"/>
      <c r="Y55" s="184"/>
      <c r="Z55" s="1751"/>
      <c r="AA55" s="113"/>
      <c r="AB55" s="1765"/>
    </row>
    <row r="56" spans="22:28">
      <c r="V56" s="1722"/>
      <c r="W56" s="1740"/>
      <c r="X56" s="169"/>
      <c r="Y56" s="1741"/>
      <c r="Z56" s="1751"/>
      <c r="AA56" s="113"/>
      <c r="AB56" s="1778">
        <f>(Z56-AA56)*60</f>
        <v>0</v>
      </c>
    </row>
    <row r="57" spans="22:28">
      <c r="V57" s="1722"/>
      <c r="W57" s="1740"/>
      <c r="X57" s="174"/>
      <c r="Y57" s="1742"/>
      <c r="Z57" s="1751"/>
      <c r="AA57" s="113"/>
      <c r="AB57" s="1764"/>
    </row>
    <row r="58" spans="22:28">
      <c r="V58" s="1739"/>
      <c r="W58" s="1738"/>
      <c r="X58" s="174"/>
      <c r="Y58" s="1742"/>
      <c r="Z58" s="1750"/>
      <c r="AA58" s="192"/>
      <c r="AB58" s="1765"/>
    </row>
    <row r="59" spans="22:28">
      <c r="V59" s="1721"/>
      <c r="W59" s="1737"/>
      <c r="X59" s="174"/>
      <c r="Y59" s="1742"/>
      <c r="Z59" s="1697"/>
      <c r="AA59" s="111"/>
      <c r="AB59" s="1778">
        <f>(Z59-AA59)*60</f>
        <v>0</v>
      </c>
    </row>
    <row r="60" spans="22:28">
      <c r="V60" s="1722"/>
      <c r="W60" s="1740"/>
      <c r="X60" s="169"/>
      <c r="Y60" s="190"/>
      <c r="Z60" s="1751"/>
      <c r="AA60" s="113"/>
      <c r="AB60" s="1764"/>
    </row>
    <row r="61" spans="22:28">
      <c r="V61" s="1722"/>
      <c r="W61" s="1740"/>
      <c r="X61" s="171"/>
      <c r="Y61" s="100"/>
      <c r="Z61" s="1751"/>
      <c r="AA61" s="113"/>
      <c r="AB61" s="1765"/>
    </row>
    <row r="62" spans="22:28">
      <c r="V62" s="1722"/>
      <c r="W62" s="1740"/>
      <c r="X62" s="171"/>
      <c r="Y62" s="100"/>
      <c r="Z62" s="1751"/>
      <c r="AA62" s="113"/>
      <c r="AB62" s="1778">
        <f>(Z62-AA62)*60</f>
        <v>0</v>
      </c>
    </row>
    <row r="63" spans="22:28">
      <c r="V63" s="175"/>
      <c r="W63" s="168"/>
      <c r="X63" s="176"/>
      <c r="Y63" s="1741"/>
      <c r="Z63" s="111"/>
      <c r="AA63" s="88"/>
      <c r="AB63" s="1764"/>
    </row>
    <row r="64" spans="22:28">
      <c r="V64" s="177"/>
      <c r="W64" s="99"/>
      <c r="X64" s="178"/>
      <c r="Y64" s="1742"/>
      <c r="Z64" s="196"/>
      <c r="AA64" s="111"/>
      <c r="AB64" s="1765"/>
    </row>
    <row r="65" spans="22:28">
      <c r="V65" s="177"/>
      <c r="W65" s="99"/>
      <c r="X65" s="197"/>
      <c r="Y65" s="1743"/>
      <c r="Z65" s="196"/>
      <c r="AA65" s="192"/>
      <c r="AB65" s="1778">
        <f>(Z65-AA65)*60</f>
        <v>0</v>
      </c>
    </row>
    <row r="66" spans="22:28">
      <c r="V66" s="1746"/>
      <c r="W66" s="1737"/>
      <c r="X66" s="176"/>
      <c r="Y66" s="190"/>
      <c r="Z66" s="1757"/>
      <c r="AA66" s="111"/>
      <c r="AB66" s="1764"/>
    </row>
    <row r="67" spans="22:28">
      <c r="V67" s="1747"/>
      <c r="W67" s="1740"/>
      <c r="X67" s="176"/>
      <c r="Y67" s="190"/>
      <c r="Z67" s="1758"/>
      <c r="AA67" s="113"/>
      <c r="AB67" s="1765"/>
    </row>
    <row r="68" spans="22:28">
      <c r="V68" s="1748"/>
      <c r="W68" s="1738"/>
      <c r="X68" s="176"/>
      <c r="Y68" s="190"/>
      <c r="Z68" s="1759"/>
      <c r="AA68" s="192"/>
      <c r="AB68" s="193"/>
    </row>
    <row r="69" spans="22:28">
      <c r="V69" s="198"/>
      <c r="W69" s="168"/>
      <c r="X69" s="176"/>
      <c r="Y69" s="190"/>
      <c r="Z69" s="208"/>
      <c r="AA69" s="111"/>
      <c r="AB69" s="191"/>
    </row>
    <row r="70" spans="22:28">
      <c r="V70" s="198"/>
      <c r="W70" s="168"/>
      <c r="X70" s="176"/>
      <c r="Y70" s="190"/>
      <c r="Z70" s="208"/>
      <c r="AA70" s="111"/>
      <c r="AB70" s="191"/>
    </row>
    <row r="71" spans="22:28">
      <c r="V71" s="198"/>
      <c r="W71" s="168"/>
      <c r="X71" s="176"/>
      <c r="Y71" s="1741"/>
      <c r="Z71" s="208"/>
      <c r="AA71" s="111"/>
      <c r="AB71" s="111"/>
    </row>
    <row r="72" spans="22:28">
      <c r="V72" s="198"/>
      <c r="W72" s="168"/>
      <c r="X72" s="197"/>
      <c r="Y72" s="1743"/>
      <c r="Z72" s="208"/>
      <c r="AA72" s="111"/>
      <c r="AB72" s="111"/>
    </row>
    <row r="73" spans="22:28">
      <c r="V73" s="198"/>
      <c r="W73" s="168"/>
      <c r="X73" s="176"/>
      <c r="Y73" s="190"/>
      <c r="Z73" s="208"/>
      <c r="AA73" s="111"/>
      <c r="AB73" s="111"/>
    </row>
    <row r="74" spans="22:28">
      <c r="V74" s="1746"/>
      <c r="W74" s="1737"/>
      <c r="X74" s="171"/>
      <c r="Y74" s="100"/>
      <c r="Z74" s="1757"/>
      <c r="AA74" s="111"/>
      <c r="AB74" s="111"/>
    </row>
    <row r="75" spans="22:28">
      <c r="V75" s="1748"/>
      <c r="W75" s="1738"/>
      <c r="X75" s="176"/>
      <c r="Y75" s="1741"/>
      <c r="Z75" s="1759"/>
      <c r="AA75" s="113"/>
      <c r="AB75" s="113"/>
    </row>
    <row r="76" spans="22:28">
      <c r="V76" s="198"/>
      <c r="W76" s="168"/>
      <c r="X76" s="178"/>
      <c r="Y76" s="1742"/>
      <c r="Z76" s="208"/>
      <c r="AA76" s="192"/>
      <c r="AB76" s="192"/>
    </row>
    <row r="77" spans="22:28">
      <c r="V77" s="177"/>
      <c r="W77" s="99"/>
      <c r="X77" s="178"/>
      <c r="Y77" s="1742"/>
      <c r="Z77" s="209"/>
      <c r="AA77" s="111"/>
      <c r="AB77" s="111"/>
    </row>
    <row r="78" spans="22:28">
      <c r="V78" s="1746"/>
      <c r="W78" s="1737"/>
      <c r="X78" s="197"/>
      <c r="Y78" s="1743"/>
      <c r="Z78" s="1757"/>
      <c r="AA78" s="113"/>
      <c r="AB78" s="113"/>
    </row>
    <row r="79" spans="22:28">
      <c r="V79" s="1747"/>
      <c r="W79" s="1740"/>
      <c r="X79" s="171"/>
      <c r="Y79" s="100"/>
      <c r="Z79" s="1758"/>
      <c r="AA79" s="113"/>
      <c r="AB79" s="113"/>
    </row>
    <row r="80" spans="22:28">
      <c r="V80" s="1747"/>
      <c r="W80" s="1740"/>
      <c r="X80" s="176"/>
      <c r="Y80" s="1741"/>
      <c r="Z80" s="1758"/>
      <c r="AA80" s="113"/>
      <c r="AB80" s="113"/>
    </row>
    <row r="81" spans="22:28">
      <c r="V81" s="1748"/>
      <c r="W81" s="1738"/>
      <c r="X81" s="178"/>
      <c r="Y81" s="1742"/>
      <c r="Z81" s="1759"/>
      <c r="AA81" s="192"/>
      <c r="AB81" s="192"/>
    </row>
    <row r="82" spans="22:28">
      <c r="V82" s="177"/>
      <c r="W82" s="99"/>
      <c r="X82" s="178"/>
      <c r="Y82" s="1742"/>
      <c r="Z82" s="209"/>
      <c r="AA82" s="111"/>
      <c r="AB82" s="111"/>
    </row>
    <row r="83" spans="22:28">
      <c r="V83" s="1746"/>
      <c r="W83" s="1737"/>
      <c r="X83" s="171"/>
      <c r="Y83" s="100"/>
      <c r="Z83" s="1757"/>
      <c r="AA83" s="113"/>
      <c r="AB83" s="113"/>
    </row>
    <row r="84" spans="22:28">
      <c r="V84" s="1747"/>
      <c r="W84" s="1740"/>
      <c r="X84" s="176"/>
      <c r="Y84" s="1741"/>
      <c r="Z84" s="1758"/>
      <c r="AA84" s="113"/>
      <c r="AB84" s="113"/>
    </row>
    <row r="85" spans="22:28">
      <c r="V85" s="1747"/>
      <c r="W85" s="1740"/>
      <c r="X85" s="178"/>
      <c r="Y85" s="1742"/>
      <c r="Z85" s="1758"/>
      <c r="AA85" s="113"/>
      <c r="AB85" s="113"/>
    </row>
    <row r="86" spans="22:28">
      <c r="V86" s="177"/>
      <c r="W86" s="99"/>
      <c r="X86" s="171"/>
      <c r="Y86" s="100"/>
      <c r="Z86" s="209"/>
      <c r="AA86" s="111"/>
      <c r="AB86" s="111"/>
    </row>
    <row r="87" spans="22:28">
      <c r="V87" s="1746"/>
      <c r="W87" s="1737"/>
      <c r="X87" s="176"/>
      <c r="Y87" s="190"/>
      <c r="Z87" s="1757"/>
      <c r="AA87" s="113"/>
      <c r="AB87" s="113"/>
    </row>
    <row r="88" spans="22:28">
      <c r="V88" s="1747"/>
      <c r="W88" s="1740"/>
      <c r="X88" s="171"/>
      <c r="Y88" s="100"/>
      <c r="Z88" s="1758"/>
      <c r="AA88" s="113"/>
      <c r="AB88" s="113"/>
    </row>
    <row r="89" spans="22:28">
      <c r="V89" s="177"/>
      <c r="W89" s="99"/>
      <c r="X89" s="167"/>
      <c r="Y89" s="1744"/>
      <c r="Z89" s="209"/>
      <c r="AA89" s="111"/>
      <c r="AB89" s="111"/>
    </row>
    <row r="90" spans="22:28">
      <c r="V90" s="198"/>
      <c r="W90" s="168"/>
      <c r="X90" s="167"/>
      <c r="Y90" s="1744"/>
      <c r="Z90" s="208"/>
      <c r="AA90" s="113"/>
      <c r="AB90" s="113"/>
    </row>
    <row r="91" spans="22:28">
      <c r="V91" s="177"/>
      <c r="W91" s="99"/>
      <c r="X91" s="167"/>
      <c r="Y91" s="1744"/>
      <c r="Z91" s="209"/>
      <c r="AA91" s="111"/>
      <c r="AB91" s="111"/>
    </row>
    <row r="92" spans="22:28">
      <c r="V92" s="1745"/>
      <c r="W92" s="1733"/>
      <c r="X92" s="167"/>
      <c r="Y92" s="1744"/>
      <c r="Z92" s="1763"/>
      <c r="AA92" s="111"/>
      <c r="AB92" s="111"/>
    </row>
    <row r="93" spans="22:28">
      <c r="V93" s="1745"/>
      <c r="W93" s="1733"/>
      <c r="X93" s="167"/>
      <c r="Y93" s="1744"/>
      <c r="Z93" s="1763"/>
      <c r="AA93" s="113"/>
      <c r="AB93" s="113"/>
    </row>
    <row r="94" spans="22:28">
      <c r="V94" s="1745"/>
      <c r="W94" s="1733"/>
      <c r="X94" s="167"/>
      <c r="Y94" s="1744"/>
      <c r="Z94" s="1763"/>
      <c r="AA94" s="192"/>
      <c r="AB94" s="192"/>
    </row>
    <row r="95" spans="22:28">
      <c r="V95" s="1745"/>
      <c r="W95" s="1733"/>
      <c r="X95" s="167"/>
      <c r="Y95" s="1744"/>
      <c r="Z95" s="1763"/>
      <c r="AA95" s="111"/>
      <c r="AB95" s="111"/>
    </row>
    <row r="96" spans="22:28">
      <c r="V96" s="1745"/>
      <c r="W96" s="1733"/>
      <c r="X96" s="167"/>
      <c r="Y96" s="1744"/>
      <c r="Z96" s="1763"/>
      <c r="AA96" s="113"/>
      <c r="AB96" s="113"/>
    </row>
    <row r="97" spans="22:28">
      <c r="V97" s="1745"/>
      <c r="W97" s="1733"/>
      <c r="X97" s="167"/>
      <c r="Y97" s="1744"/>
      <c r="Z97" s="1763"/>
      <c r="AA97" s="192"/>
      <c r="AB97" s="192"/>
    </row>
    <row r="98" spans="22:28">
      <c r="V98" s="1745"/>
      <c r="W98" s="1733"/>
      <c r="X98" s="167"/>
      <c r="Y98" s="1744"/>
      <c r="Z98" s="1763"/>
      <c r="AA98" s="111"/>
      <c r="AB98" s="111"/>
    </row>
    <row r="99" spans="22:28">
      <c r="V99" s="1745"/>
      <c r="W99" s="1733"/>
      <c r="X99" s="167"/>
      <c r="Y99" s="1744"/>
      <c r="Z99" s="1763"/>
      <c r="AA99" s="113"/>
      <c r="AB99" s="113"/>
    </row>
    <row r="100" spans="22:28">
      <c r="V100" s="1745"/>
      <c r="W100" s="1733"/>
      <c r="X100" s="167"/>
      <c r="Y100" s="1744"/>
      <c r="Z100" s="1763"/>
      <c r="AA100" s="113"/>
      <c r="AB100" s="113"/>
    </row>
    <row r="101" spans="22:28">
      <c r="V101" s="1745"/>
      <c r="W101" s="1733"/>
      <c r="X101" s="167"/>
      <c r="Y101" s="1744"/>
      <c r="Z101" s="1763"/>
      <c r="AA101" s="192"/>
      <c r="AB101" s="192"/>
    </row>
    <row r="102" spans="22:28">
      <c r="V102" s="1745"/>
      <c r="W102" s="1733"/>
      <c r="X102" s="167"/>
      <c r="Y102" s="1744"/>
      <c r="Z102" s="1763"/>
      <c r="AA102" s="111"/>
      <c r="AB102" s="111"/>
    </row>
    <row r="103" spans="22:28">
      <c r="V103" s="1745"/>
      <c r="W103" s="1733"/>
      <c r="X103" s="167"/>
      <c r="Y103" s="1744"/>
      <c r="Z103" s="1763"/>
      <c r="AA103" s="113"/>
      <c r="AB103" s="113"/>
    </row>
    <row r="104" spans="22:28">
      <c r="V104" s="1745"/>
      <c r="W104" s="1733"/>
      <c r="X104" s="167"/>
      <c r="Y104" s="100"/>
      <c r="Z104" s="1763"/>
      <c r="AA104" s="111"/>
      <c r="AB104" s="111"/>
    </row>
    <row r="105" spans="22:28">
      <c r="V105" s="1745"/>
      <c r="W105" s="1733"/>
      <c r="X105" s="200"/>
      <c r="Y105" s="1744"/>
      <c r="Z105" s="1763"/>
      <c r="AA105" s="113"/>
      <c r="AB105" s="113"/>
    </row>
    <row r="106" spans="22:28">
      <c r="V106" s="1745"/>
      <c r="W106" s="1733"/>
      <c r="X106" s="200"/>
      <c r="Y106" s="1744"/>
      <c r="Z106" s="1763"/>
      <c r="AA106" s="113"/>
      <c r="AB106" s="113"/>
    </row>
    <row r="107" spans="22:28">
      <c r="V107" s="199"/>
      <c r="W107" s="99"/>
      <c r="X107" s="167"/>
      <c r="Y107" s="100"/>
      <c r="Z107" s="88"/>
      <c r="AA107" s="111"/>
      <c r="AB107" s="111"/>
    </row>
    <row r="108" spans="22:28">
      <c r="V108" s="1749"/>
      <c r="W108" s="1733"/>
      <c r="X108" s="201"/>
      <c r="Y108" s="190"/>
      <c r="Z108" s="1779"/>
      <c r="AA108" s="111"/>
      <c r="AB108" s="111"/>
    </row>
    <row r="109" spans="22:28">
      <c r="V109" s="1749"/>
      <c r="W109" s="1733"/>
      <c r="X109" s="201"/>
      <c r="Y109" s="190"/>
      <c r="Z109" s="1779"/>
      <c r="AA109" s="113"/>
      <c r="AB109" s="113"/>
    </row>
    <row r="110" spans="22:28">
      <c r="V110" s="199"/>
      <c r="W110" s="99"/>
      <c r="X110" s="201"/>
      <c r="Y110" s="190"/>
      <c r="Z110" s="88"/>
      <c r="AA110" s="192"/>
      <c r="AB110" s="192"/>
    </row>
    <row r="111" spans="22:28">
      <c r="V111" s="202"/>
      <c r="W111" s="168"/>
      <c r="X111" s="169"/>
      <c r="Y111" s="1741"/>
      <c r="Z111" s="210"/>
      <c r="AA111" s="111"/>
      <c r="AB111" s="111"/>
    </row>
    <row r="112" spans="22:28">
      <c r="V112" s="202"/>
      <c r="W112" s="168"/>
      <c r="X112" s="174"/>
      <c r="Y112" s="1742"/>
      <c r="Z112" s="210"/>
      <c r="AA112" s="111"/>
      <c r="AB112" s="111"/>
    </row>
    <row r="113" spans="22:28">
      <c r="V113" s="202"/>
      <c r="W113" s="168"/>
      <c r="X113" s="163"/>
      <c r="Y113" s="1743"/>
      <c r="Z113" s="210"/>
      <c r="AA113" s="111"/>
      <c r="AB113" s="111"/>
    </row>
    <row r="114" spans="22:28">
      <c r="V114" s="1721"/>
      <c r="W114" s="1737"/>
      <c r="X114" s="203"/>
      <c r="Y114" s="211"/>
      <c r="Z114" s="1697"/>
      <c r="AA114" s="111"/>
      <c r="AB114" s="111"/>
    </row>
    <row r="115" spans="22:28">
      <c r="V115" s="1722"/>
      <c r="W115" s="1740"/>
      <c r="X115" s="203"/>
      <c r="Y115" s="211"/>
      <c r="Z115" s="1751"/>
      <c r="AA115" s="113"/>
      <c r="AB115" s="113"/>
    </row>
    <row r="116" spans="22:28">
      <c r="V116" s="1739"/>
      <c r="W116" s="1738"/>
      <c r="X116" s="203"/>
      <c r="Y116" s="211"/>
      <c r="Z116" s="1750"/>
      <c r="AA116" s="192"/>
      <c r="AB116" s="192"/>
    </row>
    <row r="117" spans="22:28">
      <c r="V117" s="204"/>
      <c r="W117" s="205"/>
      <c r="X117" s="203"/>
      <c r="Y117" s="211"/>
      <c r="Z117" s="196"/>
      <c r="AA117" s="88"/>
      <c r="AB117" s="88"/>
    </row>
    <row r="118" spans="22:28">
      <c r="V118" s="204"/>
      <c r="W118" s="205"/>
      <c r="X118" s="203"/>
      <c r="Y118" s="211"/>
      <c r="Z118" s="196"/>
      <c r="AA118" s="88"/>
      <c r="AB118" s="88"/>
    </row>
    <row r="119" spans="22:28">
      <c r="V119" s="204"/>
      <c r="W119" s="205"/>
      <c r="X119" s="203"/>
      <c r="Y119" s="211"/>
      <c r="Z119" s="196"/>
      <c r="AA119" s="88"/>
      <c r="AB119" s="88"/>
    </row>
    <row r="120" spans="22:28">
      <c r="V120" s="204"/>
      <c r="W120" s="205"/>
      <c r="X120" s="203"/>
      <c r="Y120" s="211"/>
      <c r="Z120" s="196"/>
      <c r="AA120" s="88"/>
      <c r="AB120" s="88"/>
    </row>
    <row r="121" spans="22:28">
      <c r="V121" s="204"/>
      <c r="W121" s="205"/>
      <c r="X121" s="203"/>
      <c r="Y121" s="211"/>
      <c r="Z121" s="196"/>
      <c r="AA121" s="88"/>
      <c r="AB121" s="88"/>
    </row>
    <row r="122" spans="22:28">
      <c r="V122" s="204"/>
      <c r="W122" s="205"/>
      <c r="X122" s="203"/>
      <c r="Y122" s="211"/>
      <c r="Z122" s="196"/>
      <c r="AA122" s="88"/>
      <c r="AB122" s="88"/>
    </row>
    <row r="123" spans="22:28">
      <c r="V123" s="204"/>
      <c r="W123" s="205"/>
      <c r="X123" s="203"/>
      <c r="Y123" s="211"/>
      <c r="Z123" s="196"/>
      <c r="AA123" s="88"/>
      <c r="AB123" s="88"/>
    </row>
    <row r="124" spans="22:28">
      <c r="V124" s="204"/>
      <c r="W124" s="205"/>
      <c r="X124" s="203"/>
      <c r="Y124" s="211"/>
      <c r="Z124" s="196"/>
      <c r="AA124" s="88"/>
      <c r="AB124" s="88"/>
    </row>
    <row r="125" spans="22:28">
      <c r="V125" s="204"/>
      <c r="W125" s="205"/>
      <c r="X125" s="203"/>
      <c r="Y125" s="211"/>
      <c r="Z125" s="196"/>
      <c r="AA125" s="88"/>
      <c r="AB125" s="88"/>
    </row>
    <row r="126" spans="22:28">
      <c r="V126" s="204"/>
      <c r="W126" s="205"/>
      <c r="X126" s="203"/>
      <c r="Y126" s="211"/>
      <c r="Z126" s="196"/>
      <c r="AA126" s="88"/>
      <c r="AB126" s="88"/>
    </row>
    <row r="127" spans="22:28">
      <c r="V127" s="204"/>
      <c r="W127" s="205"/>
      <c r="X127" s="206"/>
      <c r="Y127" s="212"/>
      <c r="Z127" s="196"/>
      <c r="AA127" s="88"/>
      <c r="AB127" s="88"/>
    </row>
    <row r="128" spans="22:28">
      <c r="V128" s="204"/>
      <c r="W128" s="205"/>
      <c r="X128" s="207"/>
      <c r="Y128" s="213"/>
      <c r="Z128" s="196"/>
      <c r="AA128" s="88"/>
      <c r="AB128" s="88"/>
    </row>
    <row r="129" spans="22:28">
      <c r="V129" s="204"/>
      <c r="W129" s="205"/>
      <c r="Z129" s="196"/>
      <c r="AA129" s="88"/>
      <c r="AB129" s="88"/>
    </row>
    <row r="130" spans="22:28">
      <c r="V130" s="204"/>
      <c r="W130" s="214"/>
      <c r="Z130" s="196"/>
      <c r="AA130" s="88"/>
      <c r="AB130" s="88"/>
    </row>
    <row r="131" spans="22:28">
      <c r="V131" s="160"/>
      <c r="W131" s="215"/>
      <c r="Z131" s="112"/>
      <c r="AA131" s="112"/>
      <c r="AB131" s="112"/>
    </row>
  </sheetData>
  <mergeCells count="175">
    <mergeCell ref="AC2:AC3"/>
    <mergeCell ref="AD2:AD3"/>
    <mergeCell ref="AB27:AB29"/>
    <mergeCell ref="AA2:AB2"/>
    <mergeCell ref="AA27:AA29"/>
    <mergeCell ref="AA15:AA16"/>
    <mergeCell ref="AB6:AB8"/>
    <mergeCell ref="AB12:AB14"/>
    <mergeCell ref="AB15:AB16"/>
    <mergeCell ref="AB17:AB21"/>
    <mergeCell ref="AB22:AB24"/>
    <mergeCell ref="AB9:AB11"/>
    <mergeCell ref="AA17:AA21"/>
    <mergeCell ref="AA22:AA24"/>
    <mergeCell ref="AA6:AA8"/>
    <mergeCell ref="AA9:AA11"/>
    <mergeCell ref="AA12:AA14"/>
    <mergeCell ref="Z114:Z116"/>
    <mergeCell ref="Z83:Z85"/>
    <mergeCell ref="Z108:Z109"/>
    <mergeCell ref="Z98:Z101"/>
    <mergeCell ref="Z102:Z103"/>
    <mergeCell ref="Z104:Z106"/>
    <mergeCell ref="Z95:Z97"/>
    <mergeCell ref="Z92:Z94"/>
    <mergeCell ref="Z87:Z88"/>
    <mergeCell ref="AA32:AA33"/>
    <mergeCell ref="AA35:AA40"/>
    <mergeCell ref="AB35:AB40"/>
    <mergeCell ref="AB43:AB45"/>
    <mergeCell ref="AB41:AB42"/>
    <mergeCell ref="AB46:AB48"/>
    <mergeCell ref="AB49:AB52"/>
    <mergeCell ref="AA49:AA52"/>
    <mergeCell ref="Z78:Z81"/>
    <mergeCell ref="Z74:Z75"/>
    <mergeCell ref="AB32:AB33"/>
    <mergeCell ref="AB62:AB64"/>
    <mergeCell ref="AB65:AB67"/>
    <mergeCell ref="AB59:AB61"/>
    <mergeCell ref="AB56:AB58"/>
    <mergeCell ref="Z49:Z52"/>
    <mergeCell ref="Z54:Z58"/>
    <mergeCell ref="Y12:Y14"/>
    <mergeCell ref="Y6:Y8"/>
    <mergeCell ref="Z9:Z11"/>
    <mergeCell ref="Y9:Y11"/>
    <mergeCell ref="AB54:AB55"/>
    <mergeCell ref="Z59:Z62"/>
    <mergeCell ref="AA46:AA48"/>
    <mergeCell ref="AA43:AA45"/>
    <mergeCell ref="AA41:AA42"/>
    <mergeCell ref="Z27:Z29"/>
    <mergeCell ref="Y27:Y29"/>
    <mergeCell ref="Z32:Z33"/>
    <mergeCell ref="Z35:Z40"/>
    <mergeCell ref="Y32:Y33"/>
    <mergeCell ref="Y35:Y40"/>
    <mergeCell ref="Z12:Z14"/>
    <mergeCell ref="Z6:Z8"/>
    <mergeCell ref="Z15:Z16"/>
    <mergeCell ref="Z17:Z21"/>
    <mergeCell ref="Z22:Z24"/>
    <mergeCell ref="Y22:Y24"/>
    <mergeCell ref="Y17:Y21"/>
    <mergeCell ref="Y15:Y16"/>
    <mergeCell ref="Z46:Z48"/>
    <mergeCell ref="X41:X42"/>
    <mergeCell ref="X43:X45"/>
    <mergeCell ref="Z41:Z42"/>
    <mergeCell ref="Y43:Y45"/>
    <mergeCell ref="Y41:Y42"/>
    <mergeCell ref="Z43:Z45"/>
    <mergeCell ref="Y46:Y48"/>
    <mergeCell ref="W114:W116"/>
    <mergeCell ref="W102:W103"/>
    <mergeCell ref="W104:W106"/>
    <mergeCell ref="W92:W94"/>
    <mergeCell ref="W98:W101"/>
    <mergeCell ref="W108:W109"/>
    <mergeCell ref="Y89:Y91"/>
    <mergeCell ref="X49:X52"/>
    <mergeCell ref="W54:W58"/>
    <mergeCell ref="Y111:Y113"/>
    <mergeCell ref="Y105:Y106"/>
    <mergeCell ref="Y101:Y103"/>
    <mergeCell ref="Y99:Y100"/>
    <mergeCell ref="X46:X48"/>
    <mergeCell ref="Z66:Z68"/>
    <mergeCell ref="Y75:Y78"/>
    <mergeCell ref="Y49:Y52"/>
    <mergeCell ref="V98:V101"/>
    <mergeCell ref="V114:V116"/>
    <mergeCell ref="V66:V68"/>
    <mergeCell ref="V74:V75"/>
    <mergeCell ref="V78:V81"/>
    <mergeCell ref="V83:V85"/>
    <mergeCell ref="V102:V103"/>
    <mergeCell ref="W83:W85"/>
    <mergeCell ref="W78:W81"/>
    <mergeCell ref="V92:V94"/>
    <mergeCell ref="V104:V106"/>
    <mergeCell ref="V108:V109"/>
    <mergeCell ref="V95:V97"/>
    <mergeCell ref="W87:W88"/>
    <mergeCell ref="V87:V88"/>
    <mergeCell ref="W95:W97"/>
    <mergeCell ref="W59:W62"/>
    <mergeCell ref="Y63:Y65"/>
    <mergeCell ref="Y80:Y82"/>
    <mergeCell ref="Y84:Y85"/>
    <mergeCell ref="W74:W75"/>
    <mergeCell ref="W66:W68"/>
    <mergeCell ref="Y95:Y98"/>
    <mergeCell ref="Y92:Y94"/>
    <mergeCell ref="Y71:Y72"/>
    <mergeCell ref="Y56:Y59"/>
    <mergeCell ref="W46:W48"/>
    <mergeCell ref="W41:W42"/>
    <mergeCell ref="W22:W24"/>
    <mergeCell ref="W15:W16"/>
    <mergeCell ref="W17:W21"/>
    <mergeCell ref="W27:W29"/>
    <mergeCell ref="W35:W40"/>
    <mergeCell ref="W32:W33"/>
    <mergeCell ref="V54:V58"/>
    <mergeCell ref="W43:W45"/>
    <mergeCell ref="W49:W52"/>
    <mergeCell ref="X35:X40"/>
    <mergeCell ref="V46:V48"/>
    <mergeCell ref="V49:V52"/>
    <mergeCell ref="V59:V62"/>
    <mergeCell ref="J11:J13"/>
    <mergeCell ref="H2:H3"/>
    <mergeCell ref="I11:I13"/>
    <mergeCell ref="L2:L3"/>
    <mergeCell ref="K2:K3"/>
    <mergeCell ref="J2:J3"/>
    <mergeCell ref="K11:K13"/>
    <mergeCell ref="V12:V14"/>
    <mergeCell ref="V27:V29"/>
    <mergeCell ref="V22:V24"/>
    <mergeCell ref="V43:V45"/>
    <mergeCell ref="V35:V40"/>
    <mergeCell ref="V15:V16"/>
    <mergeCell ref="V17:V21"/>
    <mergeCell ref="V32:V33"/>
    <mergeCell ref="V9:V11"/>
    <mergeCell ref="V41:V42"/>
    <mergeCell ref="W6:W8"/>
    <mergeCell ref="W9:W11"/>
    <mergeCell ref="W12:W14"/>
    <mergeCell ref="Z2:Z3"/>
    <mergeCell ref="O2:O3"/>
    <mergeCell ref="P2:P3"/>
    <mergeCell ref="X2:X3"/>
    <mergeCell ref="Y2:Y3"/>
    <mergeCell ref="W2:W3"/>
    <mergeCell ref="Q2:Q3"/>
    <mergeCell ref="V2:V3"/>
    <mergeCell ref="R2:R3"/>
    <mergeCell ref="U2:U3"/>
    <mergeCell ref="A1:Q1"/>
    <mergeCell ref="G2:G3"/>
    <mergeCell ref="A2:A3"/>
    <mergeCell ref="B2:B3"/>
    <mergeCell ref="I2:I3"/>
    <mergeCell ref="M2:M3"/>
    <mergeCell ref="N2:N3"/>
    <mergeCell ref="S2:T2"/>
    <mergeCell ref="V6:V8"/>
    <mergeCell ref="C2:C3"/>
    <mergeCell ref="D2:D3"/>
    <mergeCell ref="E2:E3"/>
    <mergeCell ref="F2:F3"/>
  </mergeCells>
  <phoneticPr fontId="26" type="noConversion"/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工作表28">
    <tabColor rgb="FFFFC000"/>
  </sheetPr>
  <dimension ref="A1:AB226"/>
  <sheetViews>
    <sheetView zoomScale="75" workbookViewId="0">
      <pane xSplit="4" ySplit="3" topLeftCell="E4" activePane="bottomRight" state="frozen"/>
      <selection activeCell="W23" sqref="W23"/>
      <selection pane="topRight" activeCell="W23" sqref="W23"/>
      <selection pane="bottomLeft" activeCell="W23" sqref="W23"/>
      <selection pane="bottomRight" activeCell="A2" sqref="A2:V3"/>
    </sheetView>
  </sheetViews>
  <sheetFormatPr defaultRowHeight="15.75"/>
  <cols>
    <col min="1" max="4" width="4.375" style="456" customWidth="1"/>
    <col min="5" max="5" width="5.625" style="569" customWidth="1"/>
    <col min="6" max="6" width="6.625" style="569" customWidth="1"/>
    <col min="7" max="7" width="9.625" style="574" customWidth="1"/>
    <col min="8" max="8" width="10.125" style="574" customWidth="1"/>
    <col min="9" max="9" width="10.375" style="574" customWidth="1"/>
    <col min="10" max="10" width="19.625" style="569" bestFit="1" customWidth="1"/>
    <col min="11" max="11" width="11.125" style="569" customWidth="1"/>
    <col min="12" max="12" width="9.625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46.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580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0" customHeigh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>
      <c r="A4" s="581">
        <v>11</v>
      </c>
      <c r="B4" s="581">
        <v>1</v>
      </c>
      <c r="C4" s="581" t="s">
        <v>632</v>
      </c>
      <c r="D4" s="581" t="s">
        <v>0</v>
      </c>
      <c r="E4" s="581" t="s">
        <v>42</v>
      </c>
      <c r="F4" s="582"/>
      <c r="G4" s="583" t="s">
        <v>633</v>
      </c>
      <c r="H4" s="584"/>
      <c r="I4" s="584"/>
      <c r="J4" s="585"/>
      <c r="K4" s="534"/>
      <c r="L4" s="586"/>
      <c r="M4" s="586"/>
      <c r="N4" s="586"/>
      <c r="O4" s="587">
        <v>500</v>
      </c>
      <c r="P4" s="576">
        <f t="shared" ref="P4:P18" si="0">K4/(O4*12)</f>
        <v>0</v>
      </c>
      <c r="Q4" s="588" t="e">
        <f t="shared" ref="Q4:Q18" si="1">L4/(K4+L4)</f>
        <v>#DIV/0!</v>
      </c>
      <c r="R4" s="589">
        <f t="shared" ref="R4:R18" si="2">S4+T4/60</f>
        <v>0</v>
      </c>
      <c r="S4" s="577"/>
      <c r="T4" s="577"/>
      <c r="U4" s="559"/>
      <c r="V4" s="534"/>
    </row>
    <row r="5" spans="1:28" ht="24.95" customHeight="1">
      <c r="A5" s="581">
        <v>11</v>
      </c>
      <c r="B5" s="581">
        <v>1</v>
      </c>
      <c r="C5" s="581" t="s">
        <v>632</v>
      </c>
      <c r="D5" s="581" t="s">
        <v>690</v>
      </c>
      <c r="E5" s="581" t="s">
        <v>42</v>
      </c>
      <c r="F5" s="582"/>
      <c r="G5" s="583" t="s">
        <v>633</v>
      </c>
      <c r="H5" s="584"/>
      <c r="I5" s="584"/>
      <c r="J5" s="585"/>
      <c r="K5" s="534"/>
      <c r="L5" s="586"/>
      <c r="M5" s="586"/>
      <c r="N5" s="586"/>
      <c r="O5" s="587">
        <v>500</v>
      </c>
      <c r="P5" s="576">
        <f t="shared" si="0"/>
        <v>0</v>
      </c>
      <c r="Q5" s="588" t="e">
        <f t="shared" si="1"/>
        <v>#DIV/0!</v>
      </c>
      <c r="R5" s="589">
        <f t="shared" si="2"/>
        <v>0</v>
      </c>
      <c r="S5" s="577"/>
      <c r="T5" s="577"/>
      <c r="U5" s="559"/>
      <c r="V5" s="534"/>
    </row>
    <row r="6" spans="1:28" ht="24.95" customHeight="1">
      <c r="A6" s="581">
        <v>11</v>
      </c>
      <c r="B6" s="581">
        <v>2</v>
      </c>
      <c r="C6" s="581" t="s">
        <v>755</v>
      </c>
      <c r="D6" s="581" t="s">
        <v>0</v>
      </c>
      <c r="E6" s="581" t="s">
        <v>42</v>
      </c>
      <c r="F6" s="582"/>
      <c r="G6" s="583" t="s">
        <v>633</v>
      </c>
      <c r="H6" s="584"/>
      <c r="I6" s="584"/>
      <c r="J6" s="585"/>
      <c r="K6" s="534"/>
      <c r="L6" s="586"/>
      <c r="M6" s="586"/>
      <c r="N6" s="586"/>
      <c r="O6" s="587">
        <v>500</v>
      </c>
      <c r="P6" s="576">
        <f>K6/(O6*12)</f>
        <v>0</v>
      </c>
      <c r="Q6" s="588" t="e">
        <f>L6/(K6+L6)</f>
        <v>#DIV/0!</v>
      </c>
      <c r="R6" s="589">
        <f>S6+T6/60</f>
        <v>0</v>
      </c>
      <c r="S6" s="577"/>
      <c r="T6" s="577"/>
      <c r="U6" s="559"/>
      <c r="V6" s="534"/>
    </row>
    <row r="7" spans="1:28" ht="24.95" customHeight="1">
      <c r="A7" s="581">
        <v>11</v>
      </c>
      <c r="B7" s="581">
        <v>2</v>
      </c>
      <c r="C7" s="581" t="s">
        <v>755</v>
      </c>
      <c r="D7" s="581" t="s">
        <v>43</v>
      </c>
      <c r="E7" s="581" t="s">
        <v>42</v>
      </c>
      <c r="F7" s="582"/>
      <c r="G7" s="583" t="s">
        <v>633</v>
      </c>
      <c r="H7" s="584"/>
      <c r="I7" s="584"/>
      <c r="J7" s="585"/>
      <c r="K7" s="534"/>
      <c r="L7" s="586"/>
      <c r="M7" s="586"/>
      <c r="N7" s="586"/>
      <c r="O7" s="587">
        <v>500</v>
      </c>
      <c r="P7" s="576">
        <f>K7/(O7*12)</f>
        <v>0</v>
      </c>
      <c r="Q7" s="588" t="e">
        <f>L7/(K7+L7)</f>
        <v>#DIV/0!</v>
      </c>
      <c r="R7" s="589">
        <f>S7+T7/60</f>
        <v>0</v>
      </c>
      <c r="S7" s="577"/>
      <c r="T7" s="577"/>
      <c r="U7" s="559"/>
      <c r="V7" s="534"/>
    </row>
    <row r="8" spans="1:28" ht="32.25" customHeight="1">
      <c r="A8" s="581">
        <v>11</v>
      </c>
      <c r="B8" s="581">
        <v>3</v>
      </c>
      <c r="C8" s="581" t="s">
        <v>784</v>
      </c>
      <c r="D8" s="581" t="s">
        <v>0</v>
      </c>
      <c r="E8" s="581" t="s">
        <v>42</v>
      </c>
      <c r="F8" s="582">
        <v>1.2</v>
      </c>
      <c r="G8" s="583">
        <v>0.5</v>
      </c>
      <c r="H8" s="584">
        <f>1100*3</f>
        <v>3300</v>
      </c>
      <c r="I8" s="584">
        <f>1027+905+1058+1110+876</f>
        <v>4976</v>
      </c>
      <c r="J8" s="585">
        <v>715</v>
      </c>
      <c r="K8" s="534">
        <f>564+1004+1006+1003+1007</f>
        <v>4584</v>
      </c>
      <c r="L8" s="586">
        <f>59</f>
        <v>59</v>
      </c>
      <c r="M8" s="586">
        <v>8</v>
      </c>
      <c r="N8" s="586">
        <v>6</v>
      </c>
      <c r="O8" s="587">
        <v>500</v>
      </c>
      <c r="P8" s="576">
        <f t="shared" si="0"/>
        <v>0.76400000000000001</v>
      </c>
      <c r="Q8" s="588">
        <f t="shared" si="1"/>
        <v>1.2707301313805729E-2</v>
      </c>
      <c r="R8" s="589">
        <f t="shared" si="2"/>
        <v>9.5500000000000007</v>
      </c>
      <c r="S8" s="577">
        <v>9</v>
      </c>
      <c r="T8" s="577">
        <v>33</v>
      </c>
      <c r="U8" s="590" t="s">
        <v>806</v>
      </c>
      <c r="V8" s="534" t="s">
        <v>706</v>
      </c>
    </row>
    <row r="9" spans="1:28" ht="24.95" customHeight="1">
      <c r="A9" s="581">
        <v>11</v>
      </c>
      <c r="B9" s="581">
        <v>3</v>
      </c>
      <c r="C9" s="581" t="s">
        <v>784</v>
      </c>
      <c r="D9" s="581" t="s">
        <v>43</v>
      </c>
      <c r="E9" s="581" t="s">
        <v>42</v>
      </c>
      <c r="F9" s="582">
        <v>1.2</v>
      </c>
      <c r="G9" s="583">
        <v>0.5</v>
      </c>
      <c r="H9" s="584">
        <f>1100*1</f>
        <v>1100</v>
      </c>
      <c r="I9" s="584">
        <f>975+720+1055+1070</f>
        <v>3820</v>
      </c>
      <c r="J9" s="585">
        <v>715</v>
      </c>
      <c r="K9" s="534">
        <f>460+346+1002+462+1005+1006+1005</f>
        <v>5286</v>
      </c>
      <c r="L9" s="586"/>
      <c r="M9" s="586">
        <v>8</v>
      </c>
      <c r="N9" s="586">
        <v>6</v>
      </c>
      <c r="O9" s="587">
        <v>500</v>
      </c>
      <c r="P9" s="576">
        <f t="shared" si="0"/>
        <v>0.88100000000000001</v>
      </c>
      <c r="Q9" s="588">
        <f t="shared" si="1"/>
        <v>0</v>
      </c>
      <c r="R9" s="589">
        <f t="shared" si="2"/>
        <v>11.166666666666666</v>
      </c>
      <c r="S9" s="577">
        <v>11</v>
      </c>
      <c r="T9" s="577">
        <v>10</v>
      </c>
      <c r="U9" s="559" t="s">
        <v>785</v>
      </c>
      <c r="V9" s="534" t="s">
        <v>786</v>
      </c>
    </row>
    <row r="10" spans="1:28" ht="24.95" customHeight="1">
      <c r="A10" s="581">
        <v>11</v>
      </c>
      <c r="B10" s="581">
        <v>4</v>
      </c>
      <c r="C10" s="581" t="s">
        <v>805</v>
      </c>
      <c r="D10" s="581" t="s">
        <v>0</v>
      </c>
      <c r="E10" s="581" t="s">
        <v>42</v>
      </c>
      <c r="F10" s="582">
        <v>1.2</v>
      </c>
      <c r="G10" s="583">
        <v>0.5</v>
      </c>
      <c r="H10" s="584">
        <f>1100*2</f>
        <v>2200</v>
      </c>
      <c r="I10" s="584">
        <f>1047+1043</f>
        <v>2090</v>
      </c>
      <c r="J10" s="585">
        <v>715</v>
      </c>
      <c r="K10" s="585">
        <f>1000+1005+1004+1006+1004+1009</f>
        <v>6028</v>
      </c>
      <c r="L10" s="586"/>
      <c r="M10" s="586">
        <v>8</v>
      </c>
      <c r="N10" s="586">
        <v>6</v>
      </c>
      <c r="O10" s="587">
        <v>500</v>
      </c>
      <c r="P10" s="576">
        <f t="shared" si="0"/>
        <v>1.0046666666666666</v>
      </c>
      <c r="Q10" s="588">
        <f t="shared" si="1"/>
        <v>0</v>
      </c>
      <c r="R10" s="589">
        <f t="shared" si="2"/>
        <v>12.75</v>
      </c>
      <c r="S10" s="577">
        <v>12</v>
      </c>
      <c r="T10" s="577">
        <v>45</v>
      </c>
      <c r="U10" s="559" t="s">
        <v>807</v>
      </c>
      <c r="V10" s="534" t="s">
        <v>706</v>
      </c>
    </row>
    <row r="11" spans="1:28" ht="24.95" customHeight="1">
      <c r="A11" s="581">
        <v>11</v>
      </c>
      <c r="B11" s="581">
        <v>4</v>
      </c>
      <c r="C11" s="581" t="s">
        <v>805</v>
      </c>
      <c r="D11" s="581" t="s">
        <v>43</v>
      </c>
      <c r="E11" s="581" t="s">
        <v>42</v>
      </c>
      <c r="F11" s="582">
        <v>1.2</v>
      </c>
      <c r="G11" s="583">
        <v>0.5</v>
      </c>
      <c r="H11" s="584">
        <f>1100*2</f>
        <v>2200</v>
      </c>
      <c r="I11" s="584">
        <f>1022+1032+779+1027</f>
        <v>3860</v>
      </c>
      <c r="J11" s="585">
        <v>715</v>
      </c>
      <c r="K11" s="585">
        <f>1005+1002+1006+1004+1003+1001</f>
        <v>6021</v>
      </c>
      <c r="L11" s="586"/>
      <c r="M11" s="586">
        <v>8</v>
      </c>
      <c r="N11" s="586">
        <v>6</v>
      </c>
      <c r="O11" s="587">
        <v>500</v>
      </c>
      <c r="P11" s="576">
        <f t="shared" si="0"/>
        <v>1.0035000000000001</v>
      </c>
      <c r="Q11" s="588">
        <f t="shared" si="1"/>
        <v>0</v>
      </c>
      <c r="R11" s="589">
        <f t="shared" si="2"/>
        <v>12.5</v>
      </c>
      <c r="S11" s="577">
        <v>12</v>
      </c>
      <c r="T11" s="577">
        <v>30</v>
      </c>
      <c r="U11" s="559" t="s">
        <v>808</v>
      </c>
      <c r="V11" s="534" t="s">
        <v>809</v>
      </c>
    </row>
    <row r="12" spans="1:28" ht="24.95" customHeight="1">
      <c r="A12" s="581">
        <v>11</v>
      </c>
      <c r="B12" s="581">
        <v>5</v>
      </c>
      <c r="C12" s="581" t="s">
        <v>834</v>
      </c>
      <c r="D12" s="581" t="s">
        <v>0</v>
      </c>
      <c r="E12" s="581" t="s">
        <v>42</v>
      </c>
      <c r="F12" s="582">
        <v>1.2</v>
      </c>
      <c r="G12" s="583">
        <v>0.5</v>
      </c>
      <c r="H12" s="584">
        <f>1100*2</f>
        <v>2200</v>
      </c>
      <c r="I12" s="584">
        <f>1024+850+1035</f>
        <v>2909</v>
      </c>
      <c r="J12" s="585">
        <v>715</v>
      </c>
      <c r="K12" s="585">
        <f>1004+580+1005+1003+1006+1002</f>
        <v>5600</v>
      </c>
      <c r="L12" s="586"/>
      <c r="M12" s="586">
        <v>8</v>
      </c>
      <c r="N12" s="586">
        <v>6</v>
      </c>
      <c r="O12" s="587">
        <v>500</v>
      </c>
      <c r="P12" s="576">
        <f t="shared" si="0"/>
        <v>0.93333333333333335</v>
      </c>
      <c r="Q12" s="588">
        <f t="shared" si="1"/>
        <v>0</v>
      </c>
      <c r="R12" s="589">
        <f t="shared" si="2"/>
        <v>11.35</v>
      </c>
      <c r="S12" s="577">
        <v>11</v>
      </c>
      <c r="T12" s="577">
        <v>21</v>
      </c>
      <c r="U12" s="559" t="s">
        <v>835</v>
      </c>
      <c r="V12" s="534" t="s">
        <v>836</v>
      </c>
    </row>
    <row r="13" spans="1:28" ht="24.95" customHeight="1">
      <c r="A13" s="581">
        <v>11</v>
      </c>
      <c r="B13" s="581">
        <v>5</v>
      </c>
      <c r="C13" s="581" t="s">
        <v>834</v>
      </c>
      <c r="D13" s="581" t="s">
        <v>43</v>
      </c>
      <c r="E13" s="581" t="s">
        <v>42</v>
      </c>
      <c r="F13" s="582">
        <v>1.2</v>
      </c>
      <c r="G13" s="583">
        <v>0.5</v>
      </c>
      <c r="H13" s="584">
        <f>1100*1</f>
        <v>1100</v>
      </c>
      <c r="I13" s="584">
        <f>1051+1052+1053</f>
        <v>3156</v>
      </c>
      <c r="J13" s="585">
        <v>715</v>
      </c>
      <c r="K13" s="534">
        <f>1002+1003+1006+1005+1006+1005</f>
        <v>6027</v>
      </c>
      <c r="L13" s="586"/>
      <c r="M13" s="586">
        <v>8</v>
      </c>
      <c r="N13" s="586">
        <v>6</v>
      </c>
      <c r="O13" s="587">
        <v>500</v>
      </c>
      <c r="P13" s="576">
        <f t="shared" si="0"/>
        <v>1.0044999999999999</v>
      </c>
      <c r="Q13" s="588">
        <f t="shared" si="1"/>
        <v>0</v>
      </c>
      <c r="R13" s="589">
        <f t="shared" si="2"/>
        <v>12</v>
      </c>
      <c r="S13" s="577">
        <v>12</v>
      </c>
      <c r="T13" s="577">
        <v>0</v>
      </c>
      <c r="U13" s="559" t="s">
        <v>837</v>
      </c>
      <c r="V13" s="534" t="s">
        <v>711</v>
      </c>
    </row>
    <row r="14" spans="1:28" ht="24.95" customHeight="1">
      <c r="A14" s="581">
        <v>11</v>
      </c>
      <c r="B14" s="581">
        <v>6</v>
      </c>
      <c r="C14" s="581" t="s">
        <v>859</v>
      </c>
      <c r="D14" s="581" t="s">
        <v>0</v>
      </c>
      <c r="E14" s="581" t="s">
        <v>42</v>
      </c>
      <c r="F14" s="582">
        <v>1.2</v>
      </c>
      <c r="G14" s="583">
        <v>0.5</v>
      </c>
      <c r="H14" s="584">
        <f>1100*2</f>
        <v>2200</v>
      </c>
      <c r="I14" s="584">
        <f>1051+1045+1038</f>
        <v>3134</v>
      </c>
      <c r="J14" s="585">
        <v>715</v>
      </c>
      <c r="K14" s="534">
        <f>1000+1005+1007+1009+1004+1007</f>
        <v>6032</v>
      </c>
      <c r="L14" s="586"/>
      <c r="M14" s="586">
        <v>8</v>
      </c>
      <c r="N14" s="586">
        <v>6</v>
      </c>
      <c r="O14" s="587">
        <v>500</v>
      </c>
      <c r="P14" s="576">
        <f>K14/(O14*12)</f>
        <v>1.0053333333333334</v>
      </c>
      <c r="Q14" s="588">
        <f>L14/(K14+L14)</f>
        <v>0</v>
      </c>
      <c r="R14" s="589">
        <f>S14+T14/60</f>
        <v>12.483333333333333</v>
      </c>
      <c r="S14" s="577">
        <v>12</v>
      </c>
      <c r="T14" s="577">
        <v>29</v>
      </c>
      <c r="U14" s="559" t="s">
        <v>860</v>
      </c>
      <c r="V14" s="534" t="s">
        <v>706</v>
      </c>
    </row>
    <row r="15" spans="1:28" ht="24.95" customHeight="1">
      <c r="A15" s="581">
        <v>11</v>
      </c>
      <c r="B15" s="581">
        <v>6</v>
      </c>
      <c r="C15" s="581" t="s">
        <v>859</v>
      </c>
      <c r="D15" s="581" t="s">
        <v>43</v>
      </c>
      <c r="E15" s="581" t="s">
        <v>42</v>
      </c>
      <c r="F15" s="582">
        <v>1.2</v>
      </c>
      <c r="G15" s="583">
        <v>0.5</v>
      </c>
      <c r="H15" s="584">
        <f>1100*1</f>
        <v>1100</v>
      </c>
      <c r="I15" s="584">
        <f>1050+1042+709+1061</f>
        <v>3862</v>
      </c>
      <c r="J15" s="585">
        <v>715</v>
      </c>
      <c r="K15" s="534">
        <f>1000+1005+1006+1005+1004+1003</f>
        <v>6023</v>
      </c>
      <c r="L15" s="586"/>
      <c r="M15" s="586">
        <v>8</v>
      </c>
      <c r="N15" s="586">
        <v>6</v>
      </c>
      <c r="O15" s="587">
        <v>500</v>
      </c>
      <c r="P15" s="576">
        <f t="shared" si="0"/>
        <v>1.0038333333333334</v>
      </c>
      <c r="Q15" s="588">
        <f t="shared" si="1"/>
        <v>0</v>
      </c>
      <c r="R15" s="589">
        <f t="shared" si="2"/>
        <v>12.333333333333334</v>
      </c>
      <c r="S15" s="577">
        <v>12</v>
      </c>
      <c r="T15" s="577">
        <v>20</v>
      </c>
      <c r="U15" s="559" t="s">
        <v>861</v>
      </c>
      <c r="V15" s="534" t="s">
        <v>711</v>
      </c>
    </row>
    <row r="16" spans="1:28" ht="24.95" customHeight="1">
      <c r="A16" s="581">
        <v>11</v>
      </c>
      <c r="B16" s="581">
        <v>7</v>
      </c>
      <c r="C16" s="581" t="s">
        <v>888</v>
      </c>
      <c r="D16" s="581" t="s">
        <v>0</v>
      </c>
      <c r="E16" s="581" t="s">
        <v>42</v>
      </c>
      <c r="F16" s="582">
        <v>1.2</v>
      </c>
      <c r="G16" s="583">
        <v>0.5</v>
      </c>
      <c r="H16" s="584">
        <f>1100*2</f>
        <v>2200</v>
      </c>
      <c r="I16" s="584">
        <f>1043+1036+1038</f>
        <v>3117</v>
      </c>
      <c r="J16" s="585">
        <v>715</v>
      </c>
      <c r="K16" s="585">
        <f>1002+1005+1001+1006+1007</f>
        <v>5021</v>
      </c>
      <c r="L16" s="586"/>
      <c r="M16" s="586">
        <v>8</v>
      </c>
      <c r="N16" s="586">
        <v>6</v>
      </c>
      <c r="O16" s="587">
        <v>500</v>
      </c>
      <c r="P16" s="576">
        <f t="shared" si="0"/>
        <v>0.83683333333333332</v>
      </c>
      <c r="Q16" s="588">
        <f t="shared" si="1"/>
        <v>0</v>
      </c>
      <c r="R16" s="589">
        <f t="shared" si="2"/>
        <v>10.383333333333333</v>
      </c>
      <c r="S16" s="577">
        <v>10</v>
      </c>
      <c r="T16" s="577">
        <v>23</v>
      </c>
      <c r="U16" s="559" t="s">
        <v>889</v>
      </c>
      <c r="V16" s="534" t="s">
        <v>706</v>
      </c>
    </row>
    <row r="17" spans="1:22" ht="24.95" customHeight="1">
      <c r="A17" s="581">
        <v>11</v>
      </c>
      <c r="B17" s="581">
        <v>7</v>
      </c>
      <c r="C17" s="581" t="s">
        <v>888</v>
      </c>
      <c r="D17" s="581" t="s">
        <v>43</v>
      </c>
      <c r="E17" s="581" t="s">
        <v>42</v>
      </c>
      <c r="F17" s="582">
        <v>1.2</v>
      </c>
      <c r="G17" s="583">
        <v>0.5</v>
      </c>
      <c r="H17" s="584">
        <f>1100*1</f>
        <v>1100</v>
      </c>
      <c r="I17" s="584">
        <f>1045+1040</f>
        <v>2085</v>
      </c>
      <c r="J17" s="585">
        <v>715</v>
      </c>
      <c r="K17" s="534">
        <f>1004+1005+1003+1002+1006+1005+460</f>
        <v>6485</v>
      </c>
      <c r="L17" s="586"/>
      <c r="M17" s="586">
        <v>8</v>
      </c>
      <c r="N17" s="586">
        <v>6</v>
      </c>
      <c r="O17" s="587">
        <v>500</v>
      </c>
      <c r="P17" s="576">
        <f t="shared" si="0"/>
        <v>1.0808333333333333</v>
      </c>
      <c r="Q17" s="588">
        <f t="shared" si="1"/>
        <v>0</v>
      </c>
      <c r="R17" s="589">
        <f t="shared" si="2"/>
        <v>13.533333333333333</v>
      </c>
      <c r="S17" s="577">
        <v>13</v>
      </c>
      <c r="T17" s="577">
        <v>32</v>
      </c>
      <c r="U17" s="559" t="s">
        <v>890</v>
      </c>
      <c r="V17" s="534" t="s">
        <v>711</v>
      </c>
    </row>
    <row r="18" spans="1:22" ht="24.95" customHeight="1">
      <c r="A18" s="581">
        <v>11</v>
      </c>
      <c r="B18" s="581">
        <v>8</v>
      </c>
      <c r="C18" s="581" t="s">
        <v>908</v>
      </c>
      <c r="D18" s="581" t="s">
        <v>0</v>
      </c>
      <c r="E18" s="581" t="s">
        <v>42</v>
      </c>
      <c r="F18" s="582"/>
      <c r="G18" s="583" t="s">
        <v>633</v>
      </c>
      <c r="H18" s="584"/>
      <c r="I18" s="584"/>
      <c r="J18" s="585"/>
      <c r="K18" s="585"/>
      <c r="L18" s="586"/>
      <c r="M18" s="586"/>
      <c r="N18" s="586"/>
      <c r="O18" s="587">
        <v>500</v>
      </c>
      <c r="P18" s="576">
        <f t="shared" si="0"/>
        <v>0</v>
      </c>
      <c r="Q18" s="588" t="e">
        <f t="shared" si="1"/>
        <v>#DIV/0!</v>
      </c>
      <c r="R18" s="589">
        <f t="shared" si="2"/>
        <v>0</v>
      </c>
      <c r="S18" s="577"/>
      <c r="T18" s="577"/>
      <c r="U18" s="559"/>
      <c r="V18" s="534"/>
    </row>
    <row r="19" spans="1:22" ht="24.95" customHeight="1">
      <c r="A19" s="581">
        <v>11</v>
      </c>
      <c r="B19" s="581">
        <v>8</v>
      </c>
      <c r="C19" s="581" t="s">
        <v>908</v>
      </c>
      <c r="D19" s="581" t="s">
        <v>43</v>
      </c>
      <c r="E19" s="581" t="s">
        <v>42</v>
      </c>
      <c r="F19" s="582"/>
      <c r="G19" s="583" t="s">
        <v>633</v>
      </c>
      <c r="H19" s="584"/>
      <c r="I19" s="584"/>
      <c r="J19" s="585"/>
      <c r="K19" s="585"/>
      <c r="L19" s="586"/>
      <c r="M19" s="586"/>
      <c r="N19" s="586"/>
      <c r="O19" s="587">
        <v>500</v>
      </c>
      <c r="P19" s="576">
        <f t="shared" ref="P19:P26" si="3">K19/(O19*12)</f>
        <v>0</v>
      </c>
      <c r="Q19" s="588" t="e">
        <f t="shared" ref="Q19:Q26" si="4">L19/(K19+L19)</f>
        <v>#DIV/0!</v>
      </c>
      <c r="R19" s="589">
        <f t="shared" ref="R19:R26" si="5">S19+T19/60</f>
        <v>0</v>
      </c>
      <c r="S19" s="577"/>
      <c r="T19" s="577"/>
      <c r="U19" s="559"/>
      <c r="V19" s="534"/>
    </row>
    <row r="20" spans="1:22" ht="24.95" customHeight="1">
      <c r="A20" s="581">
        <v>11</v>
      </c>
      <c r="B20" s="581">
        <v>9</v>
      </c>
      <c r="C20" s="581" t="s">
        <v>929</v>
      </c>
      <c r="D20" s="581" t="s">
        <v>0</v>
      </c>
      <c r="E20" s="581" t="s">
        <v>42</v>
      </c>
      <c r="F20" s="582"/>
      <c r="G20" s="583" t="s">
        <v>633</v>
      </c>
      <c r="H20" s="584"/>
      <c r="I20" s="584"/>
      <c r="J20" s="585"/>
      <c r="K20" s="585"/>
      <c r="L20" s="586"/>
      <c r="M20" s="586"/>
      <c r="N20" s="586"/>
      <c r="O20" s="587">
        <v>500</v>
      </c>
      <c r="P20" s="576">
        <f t="shared" si="3"/>
        <v>0</v>
      </c>
      <c r="Q20" s="588" t="e">
        <f t="shared" si="4"/>
        <v>#DIV/0!</v>
      </c>
      <c r="R20" s="589">
        <f t="shared" si="5"/>
        <v>0</v>
      </c>
      <c r="S20" s="577"/>
      <c r="T20" s="577"/>
      <c r="U20" s="559"/>
      <c r="V20" s="534"/>
    </row>
    <row r="21" spans="1:22" ht="24.95" customHeight="1">
      <c r="A21" s="581">
        <v>11</v>
      </c>
      <c r="B21" s="581">
        <v>9</v>
      </c>
      <c r="C21" s="581" t="s">
        <v>929</v>
      </c>
      <c r="D21" s="581" t="s">
        <v>43</v>
      </c>
      <c r="E21" s="581" t="s">
        <v>42</v>
      </c>
      <c r="F21" s="582"/>
      <c r="G21" s="583" t="s">
        <v>633</v>
      </c>
      <c r="H21" s="584"/>
      <c r="I21" s="584"/>
      <c r="J21" s="585"/>
      <c r="K21" s="585"/>
      <c r="L21" s="586"/>
      <c r="M21" s="586"/>
      <c r="N21" s="586"/>
      <c r="O21" s="587">
        <v>500</v>
      </c>
      <c r="P21" s="576">
        <f t="shared" si="3"/>
        <v>0</v>
      </c>
      <c r="Q21" s="588" t="e">
        <f t="shared" si="4"/>
        <v>#DIV/0!</v>
      </c>
      <c r="R21" s="589">
        <f t="shared" si="5"/>
        <v>0</v>
      </c>
      <c r="S21" s="577"/>
      <c r="T21" s="577"/>
      <c r="U21" s="559"/>
      <c r="V21" s="534"/>
    </row>
    <row r="22" spans="1:22" ht="24.95" customHeight="1">
      <c r="A22" s="581">
        <v>11</v>
      </c>
      <c r="B22" s="581">
        <v>10</v>
      </c>
      <c r="C22" s="581" t="s">
        <v>954</v>
      </c>
      <c r="D22" s="581" t="s">
        <v>0</v>
      </c>
      <c r="E22" s="581" t="s">
        <v>42</v>
      </c>
      <c r="F22" s="582"/>
      <c r="G22" s="583" t="s">
        <v>633</v>
      </c>
      <c r="H22" s="584"/>
      <c r="I22" s="584"/>
      <c r="J22" s="585"/>
      <c r="K22" s="534"/>
      <c r="L22" s="586"/>
      <c r="M22" s="586"/>
      <c r="N22" s="586"/>
      <c r="O22" s="587">
        <v>500</v>
      </c>
      <c r="P22" s="576">
        <f t="shared" si="3"/>
        <v>0</v>
      </c>
      <c r="Q22" s="588" t="e">
        <f t="shared" si="4"/>
        <v>#DIV/0!</v>
      </c>
      <c r="R22" s="589">
        <f t="shared" si="5"/>
        <v>0</v>
      </c>
      <c r="S22" s="577"/>
      <c r="T22" s="577"/>
      <c r="U22" s="559"/>
      <c r="V22" s="534"/>
    </row>
    <row r="23" spans="1:22" ht="24.95" customHeight="1">
      <c r="A23" s="581">
        <v>11</v>
      </c>
      <c r="B23" s="581">
        <v>10</v>
      </c>
      <c r="C23" s="581" t="s">
        <v>954</v>
      </c>
      <c r="D23" s="581" t="s">
        <v>43</v>
      </c>
      <c r="E23" s="581" t="s">
        <v>42</v>
      </c>
      <c r="F23" s="582"/>
      <c r="G23" s="583" t="s">
        <v>633</v>
      </c>
      <c r="H23" s="584"/>
      <c r="I23" s="584"/>
      <c r="J23" s="585"/>
      <c r="K23" s="585"/>
      <c r="L23" s="586"/>
      <c r="M23" s="586"/>
      <c r="N23" s="586"/>
      <c r="O23" s="587">
        <v>500</v>
      </c>
      <c r="P23" s="576">
        <f t="shared" si="3"/>
        <v>0</v>
      </c>
      <c r="Q23" s="588" t="e">
        <f t="shared" si="4"/>
        <v>#DIV/0!</v>
      </c>
      <c r="R23" s="589">
        <f t="shared" si="5"/>
        <v>0</v>
      </c>
      <c r="S23" s="577"/>
      <c r="T23" s="577"/>
      <c r="U23" s="559"/>
      <c r="V23" s="534"/>
    </row>
    <row r="24" spans="1:22" ht="24.95" customHeight="1">
      <c r="A24" s="581">
        <v>11</v>
      </c>
      <c r="B24" s="581">
        <v>11</v>
      </c>
      <c r="C24" s="581" t="s">
        <v>670</v>
      </c>
      <c r="D24" s="581" t="s">
        <v>0</v>
      </c>
      <c r="E24" s="581" t="s">
        <v>42</v>
      </c>
      <c r="F24" s="582"/>
      <c r="G24" s="583" t="s">
        <v>633</v>
      </c>
      <c r="H24" s="584"/>
      <c r="I24" s="584"/>
      <c r="J24" s="585"/>
      <c r="K24" s="585"/>
      <c r="L24" s="586"/>
      <c r="M24" s="586"/>
      <c r="N24" s="586"/>
      <c r="O24" s="587">
        <v>500</v>
      </c>
      <c r="P24" s="576">
        <f t="shared" si="3"/>
        <v>0</v>
      </c>
      <c r="Q24" s="588" t="e">
        <f t="shared" si="4"/>
        <v>#DIV/0!</v>
      </c>
      <c r="R24" s="589">
        <f t="shared" si="5"/>
        <v>0</v>
      </c>
      <c r="S24" s="577"/>
      <c r="T24" s="577"/>
      <c r="U24" s="559"/>
      <c r="V24" s="534"/>
    </row>
    <row r="25" spans="1:22" ht="24.95" customHeight="1">
      <c r="A25" s="581">
        <v>11</v>
      </c>
      <c r="B25" s="581">
        <v>11</v>
      </c>
      <c r="C25" s="581" t="s">
        <v>670</v>
      </c>
      <c r="D25" s="581" t="s">
        <v>43</v>
      </c>
      <c r="E25" s="581" t="s">
        <v>42</v>
      </c>
      <c r="F25" s="582"/>
      <c r="G25" s="583" t="s">
        <v>633</v>
      </c>
      <c r="H25" s="584"/>
      <c r="I25" s="584"/>
      <c r="J25" s="585"/>
      <c r="K25" s="585"/>
      <c r="L25" s="586"/>
      <c r="M25" s="586"/>
      <c r="N25" s="586"/>
      <c r="O25" s="587">
        <v>500</v>
      </c>
      <c r="P25" s="576">
        <f t="shared" si="3"/>
        <v>0</v>
      </c>
      <c r="Q25" s="588" t="e">
        <f t="shared" si="4"/>
        <v>#DIV/0!</v>
      </c>
      <c r="R25" s="589">
        <f t="shared" si="5"/>
        <v>0</v>
      </c>
      <c r="S25" s="577"/>
      <c r="T25" s="577"/>
      <c r="U25" s="559"/>
      <c r="V25" s="534"/>
    </row>
    <row r="26" spans="1:22" ht="24.95" customHeight="1">
      <c r="A26" s="581">
        <v>11</v>
      </c>
      <c r="B26" s="581">
        <v>12</v>
      </c>
      <c r="C26" s="581" t="s">
        <v>671</v>
      </c>
      <c r="D26" s="581" t="s">
        <v>0</v>
      </c>
      <c r="E26" s="581" t="s">
        <v>42</v>
      </c>
      <c r="F26" s="582"/>
      <c r="G26" s="583" t="s">
        <v>633</v>
      </c>
      <c r="H26" s="584"/>
      <c r="I26" s="584"/>
      <c r="J26" s="585"/>
      <c r="K26" s="534"/>
      <c r="L26" s="586"/>
      <c r="M26" s="586"/>
      <c r="N26" s="586"/>
      <c r="O26" s="587">
        <v>500</v>
      </c>
      <c r="P26" s="576">
        <f t="shared" si="3"/>
        <v>0</v>
      </c>
      <c r="Q26" s="588" t="e">
        <f t="shared" si="4"/>
        <v>#DIV/0!</v>
      </c>
      <c r="R26" s="589">
        <f t="shared" si="5"/>
        <v>0</v>
      </c>
      <c r="S26" s="577"/>
      <c r="T26" s="577"/>
      <c r="U26" s="559"/>
      <c r="V26" s="534"/>
    </row>
    <row r="27" spans="1:22" ht="24.95" customHeight="1">
      <c r="A27" s="581">
        <v>11</v>
      </c>
      <c r="B27" s="581">
        <v>12</v>
      </c>
      <c r="C27" s="581" t="s">
        <v>671</v>
      </c>
      <c r="D27" s="581" t="s">
        <v>43</v>
      </c>
      <c r="E27" s="581" t="s">
        <v>42</v>
      </c>
      <c r="F27" s="582"/>
      <c r="G27" s="583" t="s">
        <v>633</v>
      </c>
      <c r="H27" s="584"/>
      <c r="I27" s="584"/>
      <c r="J27" s="585"/>
      <c r="K27" s="585"/>
      <c r="L27" s="586"/>
      <c r="M27" s="586"/>
      <c r="N27" s="586"/>
      <c r="O27" s="587">
        <v>500</v>
      </c>
      <c r="P27" s="576">
        <f t="shared" ref="P27:P34" si="6">K27/(O27*12)</f>
        <v>0</v>
      </c>
      <c r="Q27" s="588" t="e">
        <f t="shared" ref="Q27:Q34" si="7">L27/(K27+L27)</f>
        <v>#DIV/0!</v>
      </c>
      <c r="R27" s="589">
        <f t="shared" ref="R27:R34" si="8">S27+T27/60</f>
        <v>0</v>
      </c>
      <c r="S27" s="577"/>
      <c r="T27" s="577"/>
      <c r="U27" s="559"/>
      <c r="V27" s="534"/>
    </row>
    <row r="28" spans="1:22" ht="24.95" customHeight="1">
      <c r="A28" s="581">
        <v>11</v>
      </c>
      <c r="B28" s="581">
        <v>13</v>
      </c>
      <c r="C28" s="581" t="s">
        <v>672</v>
      </c>
      <c r="D28" s="581" t="s">
        <v>0</v>
      </c>
      <c r="E28" s="581" t="s">
        <v>42</v>
      </c>
      <c r="F28" s="582"/>
      <c r="G28" s="583" t="s">
        <v>633</v>
      </c>
      <c r="H28" s="584"/>
      <c r="I28" s="584"/>
      <c r="J28" s="585"/>
      <c r="K28" s="585"/>
      <c r="L28" s="586"/>
      <c r="M28" s="586"/>
      <c r="N28" s="586"/>
      <c r="O28" s="587">
        <v>500</v>
      </c>
      <c r="P28" s="576">
        <f t="shared" si="6"/>
        <v>0</v>
      </c>
      <c r="Q28" s="588" t="e">
        <f t="shared" si="7"/>
        <v>#DIV/0!</v>
      </c>
      <c r="R28" s="589">
        <f t="shared" si="8"/>
        <v>0</v>
      </c>
      <c r="S28" s="577"/>
      <c r="T28" s="577"/>
      <c r="U28" s="559"/>
      <c r="V28" s="534"/>
    </row>
    <row r="29" spans="1:22" ht="24.95" customHeight="1">
      <c r="A29" s="581">
        <v>11</v>
      </c>
      <c r="B29" s="581">
        <v>13</v>
      </c>
      <c r="C29" s="581" t="s">
        <v>672</v>
      </c>
      <c r="D29" s="581" t="s">
        <v>43</v>
      </c>
      <c r="E29" s="581" t="s">
        <v>42</v>
      </c>
      <c r="F29" s="582"/>
      <c r="G29" s="583" t="s">
        <v>633</v>
      </c>
      <c r="H29" s="584"/>
      <c r="I29" s="584"/>
      <c r="J29" s="585"/>
      <c r="K29" s="585"/>
      <c r="L29" s="586"/>
      <c r="M29" s="586"/>
      <c r="N29" s="586"/>
      <c r="O29" s="587">
        <v>500</v>
      </c>
      <c r="P29" s="576">
        <f t="shared" si="6"/>
        <v>0</v>
      </c>
      <c r="Q29" s="588" t="e">
        <f t="shared" si="7"/>
        <v>#DIV/0!</v>
      </c>
      <c r="R29" s="589">
        <f t="shared" si="8"/>
        <v>0</v>
      </c>
      <c r="S29" s="577"/>
      <c r="T29" s="577"/>
      <c r="U29" s="559"/>
      <c r="V29" s="534"/>
    </row>
    <row r="30" spans="1:22" ht="24.95" customHeight="1">
      <c r="A30" s="581">
        <v>11</v>
      </c>
      <c r="B30" s="581">
        <v>14</v>
      </c>
      <c r="C30" s="581" t="s">
        <v>673</v>
      </c>
      <c r="D30" s="581" t="s">
        <v>0</v>
      </c>
      <c r="E30" s="581" t="s">
        <v>42</v>
      </c>
      <c r="F30" s="582"/>
      <c r="G30" s="583" t="s">
        <v>633</v>
      </c>
      <c r="H30" s="584"/>
      <c r="I30" s="584"/>
      <c r="J30" s="585"/>
      <c r="K30" s="534"/>
      <c r="L30" s="586"/>
      <c r="M30" s="586"/>
      <c r="N30" s="586"/>
      <c r="O30" s="587">
        <v>500</v>
      </c>
      <c r="P30" s="576">
        <f t="shared" si="6"/>
        <v>0</v>
      </c>
      <c r="Q30" s="588" t="e">
        <f t="shared" si="7"/>
        <v>#DIV/0!</v>
      </c>
      <c r="R30" s="589">
        <f t="shared" si="8"/>
        <v>0</v>
      </c>
      <c r="S30" s="577"/>
      <c r="T30" s="577"/>
      <c r="U30" s="559"/>
      <c r="V30" s="534"/>
    </row>
    <row r="31" spans="1:22" ht="24.95" customHeight="1">
      <c r="A31" s="581">
        <v>11</v>
      </c>
      <c r="B31" s="581">
        <v>14</v>
      </c>
      <c r="C31" s="581" t="s">
        <v>673</v>
      </c>
      <c r="D31" s="581" t="s">
        <v>43</v>
      </c>
      <c r="E31" s="581" t="s">
        <v>42</v>
      </c>
      <c r="F31" s="582"/>
      <c r="G31" s="583" t="s">
        <v>633</v>
      </c>
      <c r="H31" s="584"/>
      <c r="I31" s="584"/>
      <c r="J31" s="585"/>
      <c r="K31" s="585"/>
      <c r="L31" s="586"/>
      <c r="M31" s="586"/>
      <c r="N31" s="586"/>
      <c r="O31" s="587">
        <v>500</v>
      </c>
      <c r="P31" s="576">
        <f t="shared" si="6"/>
        <v>0</v>
      </c>
      <c r="Q31" s="588" t="e">
        <f t="shared" si="7"/>
        <v>#DIV/0!</v>
      </c>
      <c r="R31" s="589">
        <f t="shared" si="8"/>
        <v>0</v>
      </c>
      <c r="S31" s="577"/>
      <c r="T31" s="577"/>
      <c r="U31" s="559"/>
      <c r="V31" s="534"/>
    </row>
    <row r="32" spans="1:22" ht="24.95" customHeight="1">
      <c r="A32" s="581">
        <v>11</v>
      </c>
      <c r="B32" s="581">
        <v>15</v>
      </c>
      <c r="C32" s="581" t="s">
        <v>632</v>
      </c>
      <c r="D32" s="581" t="s">
        <v>0</v>
      </c>
      <c r="E32" s="581" t="s">
        <v>42</v>
      </c>
      <c r="F32" s="582"/>
      <c r="G32" s="583" t="s">
        <v>633</v>
      </c>
      <c r="H32" s="584"/>
      <c r="I32" s="584"/>
      <c r="J32" s="585"/>
      <c r="K32" s="585"/>
      <c r="L32" s="586"/>
      <c r="M32" s="586"/>
      <c r="N32" s="586"/>
      <c r="O32" s="587">
        <v>500</v>
      </c>
      <c r="P32" s="576">
        <f t="shared" si="6"/>
        <v>0</v>
      </c>
      <c r="Q32" s="588" t="e">
        <f t="shared" si="7"/>
        <v>#DIV/0!</v>
      </c>
      <c r="R32" s="589">
        <f t="shared" si="8"/>
        <v>0</v>
      </c>
      <c r="S32" s="577"/>
      <c r="T32" s="577"/>
      <c r="U32" s="559"/>
      <c r="V32" s="534"/>
    </row>
    <row r="33" spans="1:22" ht="24.95" customHeight="1">
      <c r="A33" s="581">
        <v>11</v>
      </c>
      <c r="B33" s="581">
        <v>15</v>
      </c>
      <c r="C33" s="581" t="s">
        <v>632</v>
      </c>
      <c r="D33" s="581" t="s">
        <v>43</v>
      </c>
      <c r="E33" s="581" t="s">
        <v>42</v>
      </c>
      <c r="F33" s="582"/>
      <c r="G33" s="583" t="s">
        <v>633</v>
      </c>
      <c r="H33" s="584"/>
      <c r="I33" s="584"/>
      <c r="J33" s="585"/>
      <c r="K33" s="585"/>
      <c r="L33" s="586"/>
      <c r="M33" s="586"/>
      <c r="N33" s="586"/>
      <c r="O33" s="587">
        <v>500</v>
      </c>
      <c r="P33" s="576">
        <f t="shared" si="6"/>
        <v>0</v>
      </c>
      <c r="Q33" s="588" t="e">
        <f t="shared" si="7"/>
        <v>#DIV/0!</v>
      </c>
      <c r="R33" s="589">
        <f t="shared" si="8"/>
        <v>0</v>
      </c>
      <c r="S33" s="577"/>
      <c r="T33" s="577"/>
      <c r="U33" s="559"/>
      <c r="V33" s="534"/>
    </row>
    <row r="34" spans="1:22" ht="24.95" customHeight="1">
      <c r="A34" s="581">
        <v>11</v>
      </c>
      <c r="B34" s="581">
        <v>16</v>
      </c>
      <c r="C34" s="581" t="s">
        <v>1049</v>
      </c>
      <c r="D34" s="581" t="s">
        <v>0</v>
      </c>
      <c r="E34" s="581" t="s">
        <v>42</v>
      </c>
      <c r="F34" s="582"/>
      <c r="G34" s="583" t="s">
        <v>633</v>
      </c>
      <c r="H34" s="584"/>
      <c r="I34" s="584"/>
      <c r="J34" s="585"/>
      <c r="K34" s="534"/>
      <c r="L34" s="586"/>
      <c r="M34" s="586"/>
      <c r="N34" s="586"/>
      <c r="O34" s="587">
        <v>500</v>
      </c>
      <c r="P34" s="576">
        <f t="shared" si="6"/>
        <v>0</v>
      </c>
      <c r="Q34" s="588" t="e">
        <f t="shared" si="7"/>
        <v>#DIV/0!</v>
      </c>
      <c r="R34" s="589">
        <f t="shared" si="8"/>
        <v>0</v>
      </c>
      <c r="S34" s="577"/>
      <c r="T34" s="577"/>
      <c r="U34" s="559"/>
      <c r="V34" s="534"/>
    </row>
    <row r="35" spans="1:22" ht="24.95" customHeight="1">
      <c r="A35" s="581">
        <v>11</v>
      </c>
      <c r="B35" s="581">
        <v>16</v>
      </c>
      <c r="C35" s="581" t="s">
        <v>1049</v>
      </c>
      <c r="D35" s="581" t="s">
        <v>43</v>
      </c>
      <c r="E35" s="581" t="s">
        <v>42</v>
      </c>
      <c r="F35" s="582"/>
      <c r="G35" s="583" t="s">
        <v>633</v>
      </c>
      <c r="H35" s="584"/>
      <c r="I35" s="584"/>
      <c r="J35" s="585"/>
      <c r="K35" s="584"/>
      <c r="L35" s="586"/>
      <c r="M35" s="586"/>
      <c r="N35" s="586"/>
      <c r="O35" s="587">
        <v>500</v>
      </c>
      <c r="P35" s="576">
        <f t="shared" ref="P35:P42" si="9">K35/(O35*12)</f>
        <v>0</v>
      </c>
      <c r="Q35" s="588" t="e">
        <f t="shared" ref="Q35:Q42" si="10">L35/(K35+L35)</f>
        <v>#DIV/0!</v>
      </c>
      <c r="R35" s="589">
        <f t="shared" ref="R35:R42" si="11">S35+T35/60</f>
        <v>0</v>
      </c>
      <c r="S35" s="577"/>
      <c r="T35" s="577"/>
      <c r="U35" s="559"/>
      <c r="V35" s="534"/>
    </row>
    <row r="36" spans="1:22" ht="24.95" customHeight="1">
      <c r="A36" s="581">
        <v>11</v>
      </c>
      <c r="B36" s="581">
        <v>17</v>
      </c>
      <c r="C36" s="581" t="s">
        <v>1073</v>
      </c>
      <c r="D36" s="581" t="s">
        <v>0</v>
      </c>
      <c r="E36" s="581" t="s">
        <v>42</v>
      </c>
      <c r="F36" s="582"/>
      <c r="G36" s="583" t="s">
        <v>633</v>
      </c>
      <c r="H36" s="584"/>
      <c r="I36" s="584"/>
      <c r="J36" s="585"/>
      <c r="K36" s="585"/>
      <c r="L36" s="586"/>
      <c r="M36" s="586"/>
      <c r="N36" s="586"/>
      <c r="O36" s="587">
        <v>500</v>
      </c>
      <c r="P36" s="576">
        <f t="shared" si="9"/>
        <v>0</v>
      </c>
      <c r="Q36" s="588" t="e">
        <f t="shared" si="10"/>
        <v>#DIV/0!</v>
      </c>
      <c r="R36" s="589">
        <f t="shared" si="11"/>
        <v>0</v>
      </c>
      <c r="S36" s="577"/>
      <c r="T36" s="577"/>
      <c r="U36" s="559"/>
      <c r="V36" s="534"/>
    </row>
    <row r="37" spans="1:22" ht="24.95" customHeight="1">
      <c r="A37" s="581">
        <v>11</v>
      </c>
      <c r="B37" s="581">
        <v>17</v>
      </c>
      <c r="C37" s="581" t="s">
        <v>1073</v>
      </c>
      <c r="D37" s="581" t="s">
        <v>43</v>
      </c>
      <c r="E37" s="581" t="s">
        <v>42</v>
      </c>
      <c r="F37" s="582"/>
      <c r="G37" s="583" t="s">
        <v>633</v>
      </c>
      <c r="H37" s="584"/>
      <c r="I37" s="584"/>
      <c r="J37" s="585"/>
      <c r="K37" s="585"/>
      <c r="L37" s="586"/>
      <c r="M37" s="586"/>
      <c r="N37" s="586"/>
      <c r="O37" s="587">
        <v>500</v>
      </c>
      <c r="P37" s="576">
        <f t="shared" si="9"/>
        <v>0</v>
      </c>
      <c r="Q37" s="588" t="e">
        <f t="shared" si="10"/>
        <v>#DIV/0!</v>
      </c>
      <c r="R37" s="589">
        <f t="shared" si="11"/>
        <v>0</v>
      </c>
      <c r="S37" s="577"/>
      <c r="T37" s="577"/>
      <c r="U37" s="559"/>
      <c r="V37" s="534"/>
    </row>
    <row r="38" spans="1:22" ht="24.95" customHeight="1">
      <c r="A38" s="581">
        <v>11</v>
      </c>
      <c r="B38" s="581">
        <v>18</v>
      </c>
      <c r="C38" s="581" t="s">
        <v>670</v>
      </c>
      <c r="D38" s="581" t="s">
        <v>0</v>
      </c>
      <c r="E38" s="581" t="s">
        <v>42</v>
      </c>
      <c r="F38" s="582"/>
      <c r="G38" s="583" t="s">
        <v>633</v>
      </c>
      <c r="H38" s="584"/>
      <c r="I38" s="584"/>
      <c r="J38" s="585"/>
      <c r="K38" s="534"/>
      <c r="L38" s="586"/>
      <c r="M38" s="586"/>
      <c r="N38" s="586"/>
      <c r="O38" s="587">
        <v>500</v>
      </c>
      <c r="P38" s="576">
        <f t="shared" si="9"/>
        <v>0</v>
      </c>
      <c r="Q38" s="588" t="e">
        <f t="shared" si="10"/>
        <v>#DIV/0!</v>
      </c>
      <c r="R38" s="589">
        <f t="shared" si="11"/>
        <v>0</v>
      </c>
      <c r="S38" s="577"/>
      <c r="T38" s="577"/>
      <c r="U38" s="559"/>
      <c r="V38" s="534"/>
    </row>
    <row r="39" spans="1:22" ht="24.95" customHeight="1">
      <c r="A39" s="581">
        <v>11</v>
      </c>
      <c r="B39" s="581">
        <v>18</v>
      </c>
      <c r="C39" s="581" t="s">
        <v>670</v>
      </c>
      <c r="D39" s="581" t="s">
        <v>43</v>
      </c>
      <c r="E39" s="581" t="s">
        <v>42</v>
      </c>
      <c r="F39" s="582"/>
      <c r="G39" s="583" t="s">
        <v>633</v>
      </c>
      <c r="H39" s="584"/>
      <c r="I39" s="584"/>
      <c r="J39" s="585"/>
      <c r="K39" s="585"/>
      <c r="L39" s="586"/>
      <c r="M39" s="586"/>
      <c r="N39" s="586"/>
      <c r="O39" s="587">
        <v>500</v>
      </c>
      <c r="P39" s="576">
        <f t="shared" si="9"/>
        <v>0</v>
      </c>
      <c r="Q39" s="588" t="e">
        <f t="shared" si="10"/>
        <v>#DIV/0!</v>
      </c>
      <c r="R39" s="589">
        <f t="shared" si="11"/>
        <v>0</v>
      </c>
      <c r="S39" s="577"/>
      <c r="T39" s="577"/>
      <c r="U39" s="559"/>
      <c r="V39" s="534"/>
    </row>
    <row r="40" spans="1:22" ht="24.95" customHeight="1">
      <c r="A40" s="581">
        <v>11</v>
      </c>
      <c r="B40" s="581">
        <v>19</v>
      </c>
      <c r="C40" s="581" t="s">
        <v>671</v>
      </c>
      <c r="D40" s="581" t="s">
        <v>0</v>
      </c>
      <c r="E40" s="581" t="s">
        <v>42</v>
      </c>
      <c r="F40" s="582"/>
      <c r="G40" s="583" t="s">
        <v>633</v>
      </c>
      <c r="H40" s="584"/>
      <c r="I40" s="584"/>
      <c r="J40" s="585"/>
      <c r="K40" s="585"/>
      <c r="L40" s="586"/>
      <c r="M40" s="586"/>
      <c r="N40" s="586"/>
      <c r="O40" s="587">
        <v>500</v>
      </c>
      <c r="P40" s="576">
        <f t="shared" si="9"/>
        <v>0</v>
      </c>
      <c r="Q40" s="588" t="e">
        <f t="shared" si="10"/>
        <v>#DIV/0!</v>
      </c>
      <c r="R40" s="589">
        <f t="shared" si="11"/>
        <v>0</v>
      </c>
      <c r="S40" s="577"/>
      <c r="T40" s="577"/>
      <c r="U40" s="559"/>
      <c r="V40" s="534"/>
    </row>
    <row r="41" spans="1:22" ht="24.95" customHeight="1">
      <c r="A41" s="581">
        <v>11</v>
      </c>
      <c r="B41" s="581">
        <v>19</v>
      </c>
      <c r="C41" s="581" t="s">
        <v>671</v>
      </c>
      <c r="D41" s="581" t="s">
        <v>43</v>
      </c>
      <c r="E41" s="581" t="s">
        <v>42</v>
      </c>
      <c r="F41" s="582"/>
      <c r="G41" s="583" t="s">
        <v>633</v>
      </c>
      <c r="H41" s="584"/>
      <c r="I41" s="584"/>
      <c r="J41" s="585"/>
      <c r="K41" s="585"/>
      <c r="L41" s="586"/>
      <c r="M41" s="586"/>
      <c r="N41" s="586"/>
      <c r="O41" s="587">
        <v>500</v>
      </c>
      <c r="P41" s="576">
        <f t="shared" si="9"/>
        <v>0</v>
      </c>
      <c r="Q41" s="588" t="e">
        <f t="shared" si="10"/>
        <v>#DIV/0!</v>
      </c>
      <c r="R41" s="589">
        <f t="shared" si="11"/>
        <v>0</v>
      </c>
      <c r="S41" s="577"/>
      <c r="T41" s="577"/>
      <c r="U41" s="559"/>
      <c r="V41" s="534"/>
    </row>
    <row r="42" spans="1:22" ht="24.95" customHeight="1">
      <c r="A42" s="581">
        <v>11</v>
      </c>
      <c r="B42" s="581">
        <v>20</v>
      </c>
      <c r="C42" s="581" t="s">
        <v>1115</v>
      </c>
      <c r="D42" s="581" t="s">
        <v>0</v>
      </c>
      <c r="E42" s="581" t="s">
        <v>42</v>
      </c>
      <c r="F42" s="582"/>
      <c r="G42" s="583" t="s">
        <v>633</v>
      </c>
      <c r="H42" s="584"/>
      <c r="I42" s="584"/>
      <c r="J42" s="585"/>
      <c r="K42" s="534"/>
      <c r="L42" s="586"/>
      <c r="M42" s="586"/>
      <c r="N42" s="586"/>
      <c r="O42" s="587">
        <v>500</v>
      </c>
      <c r="P42" s="576">
        <f t="shared" si="9"/>
        <v>0</v>
      </c>
      <c r="Q42" s="588" t="e">
        <f t="shared" si="10"/>
        <v>#DIV/0!</v>
      </c>
      <c r="R42" s="589">
        <f t="shared" si="11"/>
        <v>0</v>
      </c>
      <c r="S42" s="577"/>
      <c r="T42" s="577"/>
      <c r="U42" s="559"/>
      <c r="V42" s="534"/>
    </row>
    <row r="43" spans="1:22" ht="24.95" customHeight="1">
      <c r="A43" s="581">
        <v>11</v>
      </c>
      <c r="B43" s="581">
        <v>20</v>
      </c>
      <c r="C43" s="581" t="s">
        <v>1115</v>
      </c>
      <c r="D43" s="581" t="s">
        <v>43</v>
      </c>
      <c r="E43" s="581" t="s">
        <v>42</v>
      </c>
      <c r="F43" s="582"/>
      <c r="G43" s="583" t="s">
        <v>633</v>
      </c>
      <c r="H43" s="584"/>
      <c r="I43" s="584"/>
      <c r="J43" s="585"/>
      <c r="K43" s="585"/>
      <c r="L43" s="586"/>
      <c r="M43" s="586"/>
      <c r="N43" s="586"/>
      <c r="O43" s="587">
        <v>500</v>
      </c>
      <c r="P43" s="576">
        <f t="shared" ref="P43:P54" si="12">K43/(O43*12)</f>
        <v>0</v>
      </c>
      <c r="Q43" s="588" t="e">
        <f t="shared" ref="Q43:Q54" si="13">L43/(K43+L43)</f>
        <v>#DIV/0!</v>
      </c>
      <c r="R43" s="589">
        <f t="shared" ref="R43:R54" si="14">S43+T43/60</f>
        <v>0</v>
      </c>
      <c r="S43" s="577"/>
      <c r="T43" s="577"/>
      <c r="U43" s="559"/>
      <c r="V43" s="534"/>
    </row>
    <row r="44" spans="1:22" ht="24.95" customHeight="1">
      <c r="A44" s="581">
        <v>11</v>
      </c>
      <c r="B44" s="581">
        <v>21</v>
      </c>
      <c r="C44" s="581" t="s">
        <v>1143</v>
      </c>
      <c r="D44" s="581" t="s">
        <v>0</v>
      </c>
      <c r="E44" s="581" t="s">
        <v>42</v>
      </c>
      <c r="F44" s="582"/>
      <c r="G44" s="583" t="s">
        <v>633</v>
      </c>
      <c r="H44" s="584"/>
      <c r="I44" s="584"/>
      <c r="J44" s="585"/>
      <c r="K44" s="585"/>
      <c r="L44" s="586"/>
      <c r="M44" s="586"/>
      <c r="N44" s="586"/>
      <c r="O44" s="587">
        <v>500</v>
      </c>
      <c r="P44" s="576">
        <f t="shared" si="12"/>
        <v>0</v>
      </c>
      <c r="Q44" s="588" t="e">
        <f t="shared" si="13"/>
        <v>#DIV/0!</v>
      </c>
      <c r="R44" s="589">
        <f t="shared" si="14"/>
        <v>0</v>
      </c>
      <c r="S44" s="577"/>
      <c r="T44" s="577"/>
      <c r="U44" s="559"/>
      <c r="V44" s="534"/>
    </row>
    <row r="45" spans="1:22" ht="24.95" customHeight="1">
      <c r="A45" s="581">
        <v>11</v>
      </c>
      <c r="B45" s="581">
        <v>21</v>
      </c>
      <c r="C45" s="581" t="s">
        <v>1143</v>
      </c>
      <c r="D45" s="581" t="s">
        <v>43</v>
      </c>
      <c r="E45" s="581" t="s">
        <v>42</v>
      </c>
      <c r="F45" s="582"/>
      <c r="G45" s="583" t="s">
        <v>633</v>
      </c>
      <c r="H45" s="584"/>
      <c r="I45" s="584"/>
      <c r="J45" s="585"/>
      <c r="K45" s="585"/>
      <c r="L45" s="586"/>
      <c r="M45" s="586"/>
      <c r="N45" s="586"/>
      <c r="O45" s="587">
        <v>500</v>
      </c>
      <c r="P45" s="576">
        <f t="shared" si="12"/>
        <v>0</v>
      </c>
      <c r="Q45" s="588" t="e">
        <f t="shared" si="13"/>
        <v>#DIV/0!</v>
      </c>
      <c r="R45" s="589">
        <f t="shared" si="14"/>
        <v>0</v>
      </c>
      <c r="S45" s="577"/>
      <c r="T45" s="577"/>
      <c r="U45" s="559"/>
      <c r="V45" s="534"/>
    </row>
    <row r="46" spans="1:22" ht="24.95" customHeight="1">
      <c r="A46" s="581">
        <v>11</v>
      </c>
      <c r="B46" s="581">
        <v>22</v>
      </c>
      <c r="C46" s="581" t="s">
        <v>632</v>
      </c>
      <c r="D46" s="581" t="s">
        <v>0</v>
      </c>
      <c r="E46" s="581" t="s">
        <v>42</v>
      </c>
      <c r="F46" s="582"/>
      <c r="G46" s="583" t="s">
        <v>633</v>
      </c>
      <c r="H46" s="584"/>
      <c r="I46" s="584"/>
      <c r="J46" s="585"/>
      <c r="K46" s="534"/>
      <c r="L46" s="586"/>
      <c r="M46" s="586"/>
      <c r="N46" s="586"/>
      <c r="O46" s="587">
        <v>500</v>
      </c>
      <c r="P46" s="576">
        <f t="shared" si="12"/>
        <v>0</v>
      </c>
      <c r="Q46" s="588" t="e">
        <f t="shared" si="13"/>
        <v>#DIV/0!</v>
      </c>
      <c r="R46" s="589">
        <f t="shared" si="14"/>
        <v>0</v>
      </c>
      <c r="S46" s="577"/>
      <c r="T46" s="577"/>
      <c r="U46" s="559"/>
      <c r="V46" s="534"/>
    </row>
    <row r="47" spans="1:22" ht="24.95" customHeight="1">
      <c r="A47" s="581">
        <v>11</v>
      </c>
      <c r="B47" s="581">
        <v>22</v>
      </c>
      <c r="C47" s="581" t="s">
        <v>632</v>
      </c>
      <c r="D47" s="581" t="s">
        <v>43</v>
      </c>
      <c r="E47" s="581" t="s">
        <v>42</v>
      </c>
      <c r="F47" s="582"/>
      <c r="G47" s="583" t="s">
        <v>633</v>
      </c>
      <c r="H47" s="584"/>
      <c r="I47" s="584"/>
      <c r="J47" s="585"/>
      <c r="K47" s="585"/>
      <c r="L47" s="586"/>
      <c r="M47" s="586"/>
      <c r="N47" s="586"/>
      <c r="O47" s="587">
        <v>500</v>
      </c>
      <c r="P47" s="576">
        <f t="shared" si="12"/>
        <v>0</v>
      </c>
      <c r="Q47" s="588" t="e">
        <f t="shared" si="13"/>
        <v>#DIV/0!</v>
      </c>
      <c r="R47" s="589">
        <f t="shared" si="14"/>
        <v>0</v>
      </c>
      <c r="S47" s="577"/>
      <c r="T47" s="577"/>
      <c r="U47" s="559"/>
      <c r="V47" s="534"/>
    </row>
    <row r="48" spans="1:22" ht="24.95" customHeight="1">
      <c r="A48" s="581">
        <v>11</v>
      </c>
      <c r="B48" s="581">
        <v>23</v>
      </c>
      <c r="C48" s="581" t="s">
        <v>667</v>
      </c>
      <c r="D48" s="581" t="s">
        <v>0</v>
      </c>
      <c r="E48" s="581" t="s">
        <v>42</v>
      </c>
      <c r="F48" s="582"/>
      <c r="G48" s="583" t="s">
        <v>633</v>
      </c>
      <c r="H48" s="584"/>
      <c r="I48" s="584"/>
      <c r="J48" s="585"/>
      <c r="K48" s="585"/>
      <c r="L48" s="586"/>
      <c r="M48" s="586"/>
      <c r="N48" s="586"/>
      <c r="O48" s="587">
        <v>500</v>
      </c>
      <c r="P48" s="576">
        <f t="shared" si="12"/>
        <v>0</v>
      </c>
      <c r="Q48" s="588" t="e">
        <f t="shared" si="13"/>
        <v>#DIV/0!</v>
      </c>
      <c r="R48" s="589">
        <f t="shared" si="14"/>
        <v>0</v>
      </c>
      <c r="S48" s="577"/>
      <c r="T48" s="577"/>
      <c r="U48" s="559"/>
      <c r="V48" s="534"/>
    </row>
    <row r="49" spans="1:22" ht="24.95" customHeight="1">
      <c r="A49" s="581">
        <v>11</v>
      </c>
      <c r="B49" s="581">
        <v>23</v>
      </c>
      <c r="C49" s="581" t="s">
        <v>667</v>
      </c>
      <c r="D49" s="581" t="s">
        <v>43</v>
      </c>
      <c r="E49" s="581" t="s">
        <v>42</v>
      </c>
      <c r="F49" s="582"/>
      <c r="G49" s="583" t="s">
        <v>633</v>
      </c>
      <c r="H49" s="584"/>
      <c r="I49" s="584"/>
      <c r="J49" s="585"/>
      <c r="K49" s="585"/>
      <c r="L49" s="586"/>
      <c r="M49" s="586"/>
      <c r="N49" s="586"/>
      <c r="O49" s="587">
        <v>500</v>
      </c>
      <c r="P49" s="576">
        <f t="shared" si="12"/>
        <v>0</v>
      </c>
      <c r="Q49" s="588" t="e">
        <f t="shared" si="13"/>
        <v>#DIV/0!</v>
      </c>
      <c r="R49" s="589">
        <f t="shared" si="14"/>
        <v>0</v>
      </c>
      <c r="S49" s="577"/>
      <c r="T49" s="577"/>
      <c r="U49" s="559"/>
      <c r="V49" s="534"/>
    </row>
    <row r="50" spans="1:22" ht="24.95" customHeight="1">
      <c r="A50" s="581">
        <v>11</v>
      </c>
      <c r="B50" s="581">
        <v>24</v>
      </c>
      <c r="C50" s="581" t="s">
        <v>1192</v>
      </c>
      <c r="D50" s="581" t="s">
        <v>0</v>
      </c>
      <c r="E50" s="581" t="s">
        <v>42</v>
      </c>
      <c r="F50" s="582"/>
      <c r="G50" s="583" t="s">
        <v>633</v>
      </c>
      <c r="H50" s="584"/>
      <c r="I50" s="584"/>
      <c r="J50" s="585"/>
      <c r="K50" s="534"/>
      <c r="L50" s="586"/>
      <c r="M50" s="586"/>
      <c r="N50" s="586"/>
      <c r="O50" s="587">
        <v>500</v>
      </c>
      <c r="P50" s="576">
        <f t="shared" si="12"/>
        <v>0</v>
      </c>
      <c r="Q50" s="588" t="e">
        <f t="shared" si="13"/>
        <v>#DIV/0!</v>
      </c>
      <c r="R50" s="589">
        <f t="shared" si="14"/>
        <v>0</v>
      </c>
      <c r="S50" s="577"/>
      <c r="T50" s="577"/>
      <c r="U50" s="559"/>
      <c r="V50" s="534"/>
    </row>
    <row r="51" spans="1:22" ht="24.95" customHeight="1">
      <c r="A51" s="581">
        <v>11</v>
      </c>
      <c r="B51" s="581">
        <v>24</v>
      </c>
      <c r="C51" s="581" t="s">
        <v>1192</v>
      </c>
      <c r="D51" s="581" t="s">
        <v>43</v>
      </c>
      <c r="E51" s="581" t="s">
        <v>42</v>
      </c>
      <c r="F51" s="582"/>
      <c r="G51" s="583" t="s">
        <v>633</v>
      </c>
      <c r="H51" s="584"/>
      <c r="I51" s="584"/>
      <c r="J51" s="585"/>
      <c r="K51" s="584"/>
      <c r="L51" s="586"/>
      <c r="M51" s="586"/>
      <c r="N51" s="586"/>
      <c r="O51" s="587">
        <v>500</v>
      </c>
      <c r="P51" s="576">
        <f t="shared" si="12"/>
        <v>0</v>
      </c>
      <c r="Q51" s="588" t="e">
        <f t="shared" si="13"/>
        <v>#DIV/0!</v>
      </c>
      <c r="R51" s="589">
        <f t="shared" si="14"/>
        <v>0</v>
      </c>
      <c r="S51" s="577"/>
      <c r="T51" s="577"/>
      <c r="U51" s="559"/>
      <c r="V51" s="534"/>
    </row>
    <row r="52" spans="1:22" ht="24.95" customHeight="1">
      <c r="A52" s="581">
        <v>11</v>
      </c>
      <c r="B52" s="581">
        <v>25</v>
      </c>
      <c r="C52" s="581" t="s">
        <v>670</v>
      </c>
      <c r="D52" s="581" t="s">
        <v>0</v>
      </c>
      <c r="E52" s="581" t="s">
        <v>42</v>
      </c>
      <c r="F52" s="582"/>
      <c r="G52" s="583" t="s">
        <v>633</v>
      </c>
      <c r="H52" s="584"/>
      <c r="I52" s="584"/>
      <c r="J52" s="585"/>
      <c r="K52" s="585"/>
      <c r="L52" s="586"/>
      <c r="M52" s="586"/>
      <c r="N52" s="586"/>
      <c r="O52" s="587">
        <v>500</v>
      </c>
      <c r="P52" s="576">
        <f t="shared" si="12"/>
        <v>0</v>
      </c>
      <c r="Q52" s="588" t="e">
        <f t="shared" si="13"/>
        <v>#DIV/0!</v>
      </c>
      <c r="R52" s="589">
        <f t="shared" si="14"/>
        <v>0</v>
      </c>
      <c r="S52" s="577"/>
      <c r="T52" s="577"/>
      <c r="U52" s="559"/>
      <c r="V52" s="534"/>
    </row>
    <row r="53" spans="1:22" ht="24.95" customHeight="1">
      <c r="A53" s="581">
        <v>11</v>
      </c>
      <c r="B53" s="581">
        <v>25</v>
      </c>
      <c r="C53" s="581" t="s">
        <v>670</v>
      </c>
      <c r="D53" s="581" t="s">
        <v>43</v>
      </c>
      <c r="E53" s="581" t="s">
        <v>42</v>
      </c>
      <c r="F53" s="582"/>
      <c r="G53" s="583" t="s">
        <v>633</v>
      </c>
      <c r="H53" s="584"/>
      <c r="I53" s="584"/>
      <c r="J53" s="585"/>
      <c r="K53" s="584"/>
      <c r="L53" s="586"/>
      <c r="M53" s="586"/>
      <c r="N53" s="586"/>
      <c r="O53" s="587">
        <v>500</v>
      </c>
      <c r="P53" s="576">
        <f t="shared" si="12"/>
        <v>0</v>
      </c>
      <c r="Q53" s="588" t="e">
        <f t="shared" si="13"/>
        <v>#DIV/0!</v>
      </c>
      <c r="R53" s="589">
        <f t="shared" si="14"/>
        <v>0</v>
      </c>
      <c r="S53" s="577"/>
      <c r="T53" s="577"/>
      <c r="U53" s="559"/>
      <c r="V53" s="534"/>
    </row>
    <row r="54" spans="1:22" ht="24.95" customHeight="1">
      <c r="A54" s="581">
        <v>11</v>
      </c>
      <c r="B54" s="581">
        <v>26</v>
      </c>
      <c r="C54" s="581" t="s">
        <v>671</v>
      </c>
      <c r="D54" s="581" t="s">
        <v>0</v>
      </c>
      <c r="E54" s="581" t="s">
        <v>42</v>
      </c>
      <c r="F54" s="582"/>
      <c r="G54" s="583" t="s">
        <v>633</v>
      </c>
      <c r="H54" s="584"/>
      <c r="I54" s="584"/>
      <c r="J54" s="585"/>
      <c r="K54" s="534"/>
      <c r="L54" s="586"/>
      <c r="M54" s="586"/>
      <c r="N54" s="586"/>
      <c r="O54" s="587">
        <v>500</v>
      </c>
      <c r="P54" s="576">
        <f t="shared" si="12"/>
        <v>0</v>
      </c>
      <c r="Q54" s="588" t="e">
        <f t="shared" si="13"/>
        <v>#DIV/0!</v>
      </c>
      <c r="R54" s="589">
        <f t="shared" si="14"/>
        <v>0</v>
      </c>
      <c r="S54" s="577"/>
      <c r="T54" s="577"/>
      <c r="U54" s="559"/>
      <c r="V54" s="534"/>
    </row>
    <row r="55" spans="1:22" ht="24.95" customHeight="1">
      <c r="A55" s="581">
        <v>11</v>
      </c>
      <c r="B55" s="581">
        <v>26</v>
      </c>
      <c r="C55" s="581" t="s">
        <v>671</v>
      </c>
      <c r="D55" s="581" t="s">
        <v>43</v>
      </c>
      <c r="E55" s="581" t="s">
        <v>42</v>
      </c>
      <c r="F55" s="582"/>
      <c r="G55" s="583" t="s">
        <v>633</v>
      </c>
      <c r="H55" s="584"/>
      <c r="I55" s="584"/>
      <c r="J55" s="585"/>
      <c r="K55" s="585"/>
      <c r="L55" s="586"/>
      <c r="M55" s="586"/>
      <c r="N55" s="586"/>
      <c r="O55" s="587">
        <v>500</v>
      </c>
      <c r="P55" s="576">
        <f>K55/(O55*12)</f>
        <v>0</v>
      </c>
      <c r="Q55" s="588" t="e">
        <f>L55/(K55+L55)</f>
        <v>#DIV/0!</v>
      </c>
      <c r="R55" s="589">
        <f>S55+T55/60</f>
        <v>0</v>
      </c>
      <c r="S55" s="577"/>
      <c r="T55" s="577"/>
      <c r="U55" s="559"/>
      <c r="V55" s="534"/>
    </row>
    <row r="56" spans="1:22" ht="24.95" customHeight="1">
      <c r="A56" s="581">
        <v>11</v>
      </c>
      <c r="B56" s="581">
        <v>27</v>
      </c>
      <c r="C56" s="581" t="s">
        <v>672</v>
      </c>
      <c r="D56" s="581" t="s">
        <v>0</v>
      </c>
      <c r="E56" s="581" t="s">
        <v>42</v>
      </c>
      <c r="F56" s="582"/>
      <c r="G56" s="583" t="s">
        <v>633</v>
      </c>
      <c r="H56" s="584"/>
      <c r="I56" s="584"/>
      <c r="J56" s="585"/>
      <c r="K56" s="585"/>
      <c r="L56" s="586"/>
      <c r="M56" s="586"/>
      <c r="N56" s="586"/>
      <c r="O56" s="587">
        <v>500</v>
      </c>
      <c r="P56" s="576">
        <f>K56/(O56*12)</f>
        <v>0</v>
      </c>
      <c r="Q56" s="588" t="e">
        <f>L56/(K56+L56)</f>
        <v>#DIV/0!</v>
      </c>
      <c r="R56" s="589">
        <f>S56+T56/60</f>
        <v>0</v>
      </c>
      <c r="S56" s="577"/>
      <c r="T56" s="577"/>
      <c r="U56" s="559"/>
      <c r="V56" s="534"/>
    </row>
    <row r="57" spans="1:22" ht="24.95" customHeight="1">
      <c r="A57" s="581">
        <v>11</v>
      </c>
      <c r="B57" s="581">
        <v>27</v>
      </c>
      <c r="C57" s="581" t="s">
        <v>672</v>
      </c>
      <c r="D57" s="581" t="s">
        <v>43</v>
      </c>
      <c r="E57" s="581" t="s">
        <v>42</v>
      </c>
      <c r="F57" s="582"/>
      <c r="G57" s="583" t="s">
        <v>633</v>
      </c>
      <c r="H57" s="584"/>
      <c r="I57" s="584"/>
      <c r="J57" s="585"/>
      <c r="K57" s="584"/>
      <c r="L57" s="586"/>
      <c r="M57" s="586"/>
      <c r="N57" s="586"/>
      <c r="O57" s="587">
        <v>500</v>
      </c>
      <c r="P57" s="576">
        <f>K57/(O57*12)</f>
        <v>0</v>
      </c>
      <c r="Q57" s="588" t="e">
        <f>L57/(K57+L57)</f>
        <v>#DIV/0!</v>
      </c>
      <c r="R57" s="589">
        <f>S57+T57/60</f>
        <v>0</v>
      </c>
      <c r="S57" s="577"/>
      <c r="T57" s="577"/>
      <c r="U57" s="559"/>
      <c r="V57" s="534"/>
    </row>
    <row r="58" spans="1:22" ht="24.95" customHeight="1">
      <c r="A58" s="581">
        <v>11</v>
      </c>
      <c r="B58" s="581">
        <v>28</v>
      </c>
      <c r="C58" s="581" t="s">
        <v>673</v>
      </c>
      <c r="D58" s="581" t="s">
        <v>0</v>
      </c>
      <c r="E58" s="581" t="s">
        <v>42</v>
      </c>
      <c r="F58" s="582"/>
      <c r="G58" s="583" t="s">
        <v>633</v>
      </c>
      <c r="H58" s="584"/>
      <c r="I58" s="584"/>
      <c r="J58" s="585"/>
      <c r="K58" s="585"/>
      <c r="L58" s="586"/>
      <c r="M58" s="586"/>
      <c r="N58" s="586"/>
      <c r="O58" s="587">
        <v>500</v>
      </c>
      <c r="P58" s="576">
        <f>K58/(O58*12)</f>
        <v>0</v>
      </c>
      <c r="Q58" s="588" t="e">
        <f>L58/(K58+L58)</f>
        <v>#DIV/0!</v>
      </c>
      <c r="R58" s="589">
        <f>S58+T58/60</f>
        <v>0</v>
      </c>
      <c r="S58" s="577"/>
      <c r="T58" s="577"/>
      <c r="U58" s="559"/>
      <c r="V58" s="534"/>
    </row>
    <row r="59" spans="1:22" ht="24.95" customHeight="1">
      <c r="A59" s="581">
        <v>11</v>
      </c>
      <c r="B59" s="581">
        <v>28</v>
      </c>
      <c r="C59" s="581" t="s">
        <v>673</v>
      </c>
      <c r="D59" s="581" t="s">
        <v>43</v>
      </c>
      <c r="E59" s="581" t="s">
        <v>42</v>
      </c>
      <c r="F59" s="582"/>
      <c r="G59" s="583" t="s">
        <v>633</v>
      </c>
      <c r="H59" s="584"/>
      <c r="I59" s="584"/>
      <c r="J59" s="585"/>
      <c r="K59" s="585"/>
      <c r="L59" s="586"/>
      <c r="M59" s="586"/>
      <c r="N59" s="586"/>
      <c r="O59" s="587">
        <v>500</v>
      </c>
      <c r="P59" s="576">
        <f>K59/(O59*12)</f>
        <v>0</v>
      </c>
      <c r="Q59" s="588" t="e">
        <f>L59/(K59+L59)</f>
        <v>#DIV/0!</v>
      </c>
      <c r="R59" s="589">
        <f>S59+T59/60</f>
        <v>0</v>
      </c>
      <c r="S59" s="577"/>
      <c r="T59" s="577"/>
      <c r="U59" s="559"/>
      <c r="V59" s="534"/>
    </row>
    <row r="60" spans="1:22" ht="24.95" customHeight="1">
      <c r="A60" s="581">
        <v>11</v>
      </c>
      <c r="B60" s="581">
        <v>29</v>
      </c>
      <c r="C60" s="581" t="s">
        <v>632</v>
      </c>
      <c r="D60" s="581" t="s">
        <v>0</v>
      </c>
      <c r="E60" s="581" t="s">
        <v>42</v>
      </c>
      <c r="F60" s="582"/>
      <c r="G60" s="583" t="s">
        <v>633</v>
      </c>
      <c r="H60" s="584"/>
      <c r="I60" s="584"/>
      <c r="J60" s="585"/>
      <c r="K60" s="585"/>
      <c r="L60" s="586"/>
      <c r="M60" s="586"/>
      <c r="N60" s="586"/>
      <c r="O60" s="587">
        <v>500</v>
      </c>
      <c r="P60" s="576">
        <f t="shared" ref="P60:P70" si="15">K60/(O60*12)</f>
        <v>0</v>
      </c>
      <c r="Q60" s="588" t="e">
        <f t="shared" ref="Q60:Q70" si="16">L60/(K60+L60)</f>
        <v>#DIV/0!</v>
      </c>
      <c r="R60" s="589">
        <f t="shared" ref="R60:R70" si="17">S60+T60/60</f>
        <v>0</v>
      </c>
      <c r="S60" s="577"/>
      <c r="T60" s="577"/>
      <c r="U60" s="559"/>
      <c r="V60" s="534"/>
    </row>
    <row r="61" spans="1:22" ht="24.95" customHeight="1">
      <c r="A61" s="581">
        <v>11</v>
      </c>
      <c r="B61" s="581">
        <v>29</v>
      </c>
      <c r="C61" s="581" t="s">
        <v>632</v>
      </c>
      <c r="D61" s="581" t="s">
        <v>43</v>
      </c>
      <c r="E61" s="581" t="s">
        <v>42</v>
      </c>
      <c r="F61" s="582"/>
      <c r="G61" s="583" t="s">
        <v>633</v>
      </c>
      <c r="H61" s="584"/>
      <c r="I61" s="584"/>
      <c r="J61" s="585"/>
      <c r="K61" s="585"/>
      <c r="L61" s="586"/>
      <c r="M61" s="586"/>
      <c r="N61" s="586"/>
      <c r="O61" s="587">
        <v>500</v>
      </c>
      <c r="P61" s="576">
        <f t="shared" si="15"/>
        <v>0</v>
      </c>
      <c r="Q61" s="588" t="e">
        <f t="shared" si="16"/>
        <v>#DIV/0!</v>
      </c>
      <c r="R61" s="589">
        <f t="shared" si="17"/>
        <v>0</v>
      </c>
      <c r="S61" s="577"/>
      <c r="T61" s="577"/>
      <c r="U61" s="559"/>
      <c r="V61" s="534"/>
    </row>
    <row r="62" spans="1:22" ht="24.95" customHeight="1">
      <c r="A62" s="581">
        <v>11</v>
      </c>
      <c r="B62" s="581">
        <v>30</v>
      </c>
      <c r="C62" s="581" t="s">
        <v>667</v>
      </c>
      <c r="D62" s="581" t="s">
        <v>0</v>
      </c>
      <c r="E62" s="581" t="s">
        <v>42</v>
      </c>
      <c r="F62" s="582"/>
      <c r="G62" s="583" t="s">
        <v>633</v>
      </c>
      <c r="H62" s="584"/>
      <c r="I62" s="584"/>
      <c r="J62" s="585"/>
      <c r="K62" s="585"/>
      <c r="L62" s="586"/>
      <c r="M62" s="586"/>
      <c r="N62" s="586"/>
      <c r="O62" s="587">
        <v>500</v>
      </c>
      <c r="P62" s="576">
        <f t="shared" si="15"/>
        <v>0</v>
      </c>
      <c r="Q62" s="588" t="e">
        <f t="shared" si="16"/>
        <v>#DIV/0!</v>
      </c>
      <c r="R62" s="589">
        <f t="shared" si="17"/>
        <v>0</v>
      </c>
      <c r="S62" s="577"/>
      <c r="T62" s="577"/>
      <c r="U62" s="559"/>
      <c r="V62" s="534"/>
    </row>
    <row r="63" spans="1:22" ht="24.95" customHeight="1">
      <c r="A63" s="581">
        <v>11</v>
      </c>
      <c r="B63" s="581">
        <v>30</v>
      </c>
      <c r="C63" s="581" t="s">
        <v>667</v>
      </c>
      <c r="D63" s="581" t="s">
        <v>43</v>
      </c>
      <c r="E63" s="581" t="s">
        <v>42</v>
      </c>
      <c r="F63" s="582"/>
      <c r="G63" s="583" t="s">
        <v>633</v>
      </c>
      <c r="H63" s="584"/>
      <c r="I63" s="584"/>
      <c r="J63" s="585"/>
      <c r="K63" s="585"/>
      <c r="L63" s="586"/>
      <c r="M63" s="586"/>
      <c r="N63" s="586"/>
      <c r="O63" s="587">
        <v>500</v>
      </c>
      <c r="P63" s="576">
        <f t="shared" si="15"/>
        <v>0</v>
      </c>
      <c r="Q63" s="588" t="e">
        <f t="shared" si="16"/>
        <v>#DIV/0!</v>
      </c>
      <c r="R63" s="589">
        <f t="shared" si="17"/>
        <v>0</v>
      </c>
      <c r="S63" s="577"/>
      <c r="T63" s="577"/>
      <c r="U63" s="559"/>
      <c r="V63" s="534"/>
    </row>
    <row r="64" spans="1:22" ht="24.95" customHeight="1">
      <c r="A64" s="434"/>
      <c r="B64" s="434"/>
      <c r="C64" s="434"/>
      <c r="D64" s="581"/>
      <c r="E64" s="581"/>
      <c r="F64" s="582"/>
      <c r="G64" s="583"/>
      <c r="H64" s="584"/>
      <c r="I64" s="584"/>
      <c r="J64" s="585"/>
      <c r="K64" s="585"/>
      <c r="L64" s="586"/>
      <c r="M64" s="586"/>
      <c r="N64" s="586"/>
      <c r="O64" s="587">
        <v>500</v>
      </c>
      <c r="P64" s="576">
        <f t="shared" si="15"/>
        <v>0</v>
      </c>
      <c r="Q64" s="588" t="e">
        <f t="shared" si="16"/>
        <v>#DIV/0!</v>
      </c>
      <c r="R64" s="589">
        <f t="shared" si="17"/>
        <v>0</v>
      </c>
      <c r="S64" s="577"/>
      <c r="T64" s="577"/>
      <c r="U64" s="559"/>
      <c r="V64" s="534"/>
    </row>
    <row r="65" spans="1:22" ht="24.95" customHeight="1">
      <c r="A65" s="434"/>
      <c r="B65" s="434"/>
      <c r="C65" s="434"/>
      <c r="D65" s="581"/>
      <c r="E65" s="581"/>
      <c r="F65" s="582"/>
      <c r="G65" s="583"/>
      <c r="H65" s="584"/>
      <c r="I65" s="584"/>
      <c r="J65" s="585"/>
      <c r="K65" s="586"/>
      <c r="L65" s="586"/>
      <c r="M65" s="586"/>
      <c r="N65" s="586"/>
      <c r="O65" s="587">
        <v>500</v>
      </c>
      <c r="P65" s="576">
        <f t="shared" si="15"/>
        <v>0</v>
      </c>
      <c r="Q65" s="588" t="e">
        <f t="shared" si="16"/>
        <v>#DIV/0!</v>
      </c>
      <c r="R65" s="589">
        <f t="shared" si="17"/>
        <v>0</v>
      </c>
      <c r="S65" s="577"/>
      <c r="T65" s="577"/>
      <c r="U65" s="559"/>
      <c r="V65" s="534"/>
    </row>
    <row r="66" spans="1:22" ht="24.95" customHeight="1">
      <c r="A66" s="434"/>
      <c r="B66" s="434"/>
      <c r="C66" s="581"/>
      <c r="D66" s="581"/>
      <c r="E66" s="581"/>
      <c r="F66" s="582"/>
      <c r="G66" s="583"/>
      <c r="H66" s="584"/>
      <c r="I66" s="584"/>
      <c r="J66" s="585"/>
      <c r="K66" s="585"/>
      <c r="L66" s="586"/>
      <c r="M66" s="586"/>
      <c r="N66" s="586"/>
      <c r="O66" s="587">
        <v>500</v>
      </c>
      <c r="P66" s="576">
        <f>K66/(O66*12)</f>
        <v>0</v>
      </c>
      <c r="Q66" s="588" t="e">
        <f>L66/(K66+L66)</f>
        <v>#DIV/0!</v>
      </c>
      <c r="R66" s="589">
        <f>S66+T66/60</f>
        <v>0</v>
      </c>
      <c r="S66" s="577"/>
      <c r="T66" s="577"/>
      <c r="U66" s="559"/>
      <c r="V66" s="534"/>
    </row>
    <row r="67" spans="1:22" ht="24.95" customHeight="1">
      <c r="A67" s="434"/>
      <c r="B67" s="434"/>
      <c r="C67" s="581"/>
      <c r="D67" s="581"/>
      <c r="E67" s="581"/>
      <c r="F67" s="582"/>
      <c r="G67" s="583"/>
      <c r="H67" s="584"/>
      <c r="I67" s="584"/>
      <c r="J67" s="585"/>
      <c r="K67" s="585"/>
      <c r="L67" s="586"/>
      <c r="M67" s="586"/>
      <c r="N67" s="586"/>
      <c r="O67" s="587">
        <v>500</v>
      </c>
      <c r="P67" s="576">
        <f>K67/(O67*12)</f>
        <v>0</v>
      </c>
      <c r="Q67" s="588" t="e">
        <f>L67/(K67+L67)</f>
        <v>#DIV/0!</v>
      </c>
      <c r="R67" s="589">
        <f>S67+T67/60</f>
        <v>0</v>
      </c>
      <c r="S67" s="577"/>
      <c r="T67" s="577"/>
      <c r="U67" s="559"/>
      <c r="V67" s="534"/>
    </row>
    <row r="68" spans="1:22" ht="24.95" customHeight="1">
      <c r="A68" s="434"/>
      <c r="B68" s="434"/>
      <c r="C68" s="434"/>
      <c r="D68" s="581"/>
      <c r="E68" s="581"/>
      <c r="F68" s="582"/>
      <c r="G68" s="583"/>
      <c r="H68" s="584"/>
      <c r="I68" s="584"/>
      <c r="J68" s="585"/>
      <c r="K68" s="585"/>
      <c r="L68" s="586"/>
      <c r="M68" s="586"/>
      <c r="N68" s="586"/>
      <c r="O68" s="587">
        <v>500</v>
      </c>
      <c r="P68" s="576">
        <f>K68/(O68*12)</f>
        <v>0</v>
      </c>
      <c r="Q68" s="588" t="e">
        <f>L68/(K68+L68)</f>
        <v>#DIV/0!</v>
      </c>
      <c r="R68" s="589">
        <f>S68+T68/60</f>
        <v>0</v>
      </c>
      <c r="S68" s="577"/>
      <c r="T68" s="577"/>
      <c r="U68" s="559"/>
      <c r="V68" s="534"/>
    </row>
    <row r="69" spans="1:22" ht="24.95" customHeight="1">
      <c r="A69" s="434"/>
      <c r="B69" s="434"/>
      <c r="C69" s="434"/>
      <c r="D69" s="581"/>
      <c r="E69" s="581"/>
      <c r="F69" s="582"/>
      <c r="G69" s="583"/>
      <c r="H69" s="584"/>
      <c r="I69" s="584"/>
      <c r="J69" s="585"/>
      <c r="K69" s="585"/>
      <c r="L69" s="586"/>
      <c r="M69" s="586"/>
      <c r="N69" s="586"/>
      <c r="O69" s="587">
        <v>500</v>
      </c>
      <c r="P69" s="576">
        <f>K69/(O69*12)</f>
        <v>0</v>
      </c>
      <c r="Q69" s="588" t="e">
        <f>L69/(K69+L69)</f>
        <v>#DIV/0!</v>
      </c>
      <c r="R69" s="589">
        <f>S69+T69/60</f>
        <v>0</v>
      </c>
      <c r="S69" s="577"/>
      <c r="T69" s="577"/>
      <c r="U69" s="559"/>
      <c r="V69" s="534"/>
    </row>
    <row r="70" spans="1:22" ht="24.95" customHeight="1">
      <c r="A70" s="434"/>
      <c r="B70" s="434"/>
      <c r="C70" s="434"/>
      <c r="D70" s="581"/>
      <c r="E70" s="581"/>
      <c r="F70" s="582"/>
      <c r="G70" s="583"/>
      <c r="H70" s="584"/>
      <c r="I70" s="584"/>
      <c r="J70" s="585"/>
      <c r="K70" s="585"/>
      <c r="L70" s="586"/>
      <c r="M70" s="586"/>
      <c r="N70" s="586"/>
      <c r="O70" s="587">
        <v>500</v>
      </c>
      <c r="P70" s="576">
        <f t="shared" si="15"/>
        <v>0</v>
      </c>
      <c r="Q70" s="588" t="e">
        <f t="shared" si="16"/>
        <v>#DIV/0!</v>
      </c>
      <c r="R70" s="589">
        <f t="shared" si="17"/>
        <v>0</v>
      </c>
      <c r="S70" s="577"/>
      <c r="T70" s="577"/>
      <c r="U70" s="559"/>
      <c r="V70" s="534"/>
    </row>
    <row r="71" spans="1:22" ht="24.95" customHeight="1">
      <c r="A71" s="434"/>
      <c r="B71" s="434"/>
      <c r="C71" s="434"/>
      <c r="D71" s="581"/>
      <c r="E71" s="581"/>
      <c r="F71" s="582"/>
      <c r="G71" s="583"/>
      <c r="H71" s="584"/>
      <c r="I71" s="584"/>
      <c r="J71" s="585"/>
      <c r="K71" s="585"/>
      <c r="L71" s="586"/>
      <c r="M71" s="586"/>
      <c r="N71" s="586"/>
      <c r="O71" s="587">
        <v>500</v>
      </c>
      <c r="P71" s="576">
        <f>K71/(O71*12)</f>
        <v>0</v>
      </c>
      <c r="Q71" s="588" t="e">
        <f>L71/(K71+L71)</f>
        <v>#DIV/0!</v>
      </c>
      <c r="R71" s="589">
        <f>S71+T71/60</f>
        <v>0</v>
      </c>
      <c r="S71" s="577"/>
      <c r="T71" s="577"/>
      <c r="U71" s="559"/>
      <c r="V71" s="534"/>
    </row>
    <row r="72" spans="1:22" ht="30" customHeight="1">
      <c r="A72" s="446"/>
      <c r="B72" s="446"/>
      <c r="C72" s="446"/>
      <c r="E72" s="456"/>
      <c r="F72" s="560"/>
      <c r="G72" s="573"/>
      <c r="H72" s="575"/>
      <c r="I72" s="575"/>
      <c r="J72" s="561"/>
      <c r="K72" s="533"/>
      <c r="L72" s="562"/>
      <c r="M72" s="562"/>
      <c r="N72" s="562"/>
      <c r="O72" s="563"/>
      <c r="P72" s="566"/>
      <c r="Q72" s="566"/>
      <c r="R72" s="564"/>
      <c r="S72" s="567"/>
      <c r="T72" s="567"/>
      <c r="U72" s="565"/>
      <c r="V72" s="533"/>
    </row>
    <row r="73" spans="1:22" ht="30" customHeight="1" thickBot="1">
      <c r="A73" s="446"/>
      <c r="B73" s="446"/>
      <c r="C73" s="446"/>
      <c r="E73" s="456"/>
      <c r="F73" s="560"/>
      <c r="G73" s="573"/>
      <c r="H73" s="575"/>
      <c r="I73" s="575"/>
      <c r="J73" s="561"/>
      <c r="K73" s="533"/>
      <c r="L73" s="562"/>
      <c r="M73" s="562"/>
      <c r="N73" s="562"/>
      <c r="O73" s="563"/>
      <c r="P73" s="566"/>
      <c r="Q73" s="566"/>
      <c r="R73" s="564"/>
      <c r="S73" s="567"/>
      <c r="T73" s="567"/>
      <c r="U73" s="565"/>
      <c r="V73" s="533"/>
    </row>
    <row r="74" spans="1:22" ht="30" customHeight="1" thickBot="1">
      <c r="E74" s="456"/>
      <c r="F74" s="560"/>
      <c r="G74" s="592" t="s">
        <v>585</v>
      </c>
      <c r="H74" s="591">
        <f>SUM(H4:H71)</f>
        <v>18700</v>
      </c>
      <c r="I74" s="594">
        <f>SUM(I4:I71)</f>
        <v>33009</v>
      </c>
      <c r="J74" s="596" t="s">
        <v>586</v>
      </c>
      <c r="K74" s="595">
        <f>SUM(K4:K71)</f>
        <v>57107</v>
      </c>
      <c r="L74" s="593">
        <f>SUM(L4:L71)</f>
        <v>59</v>
      </c>
      <c r="M74" s="597" t="s">
        <v>588</v>
      </c>
      <c r="N74" s="562"/>
      <c r="O74" s="564"/>
      <c r="P74" s="566"/>
      <c r="Q74" s="566"/>
      <c r="R74" s="564"/>
      <c r="S74" s="567"/>
      <c r="T74" s="567"/>
      <c r="U74" s="568"/>
    </row>
    <row r="75" spans="1:22" ht="30" customHeight="1">
      <c r="E75" s="456"/>
      <c r="F75" s="560"/>
      <c r="G75" s="573"/>
      <c r="H75" s="575"/>
      <c r="I75" s="575"/>
      <c r="J75" s="561"/>
      <c r="K75" s="562"/>
      <c r="L75" s="562"/>
      <c r="M75" s="562"/>
      <c r="N75" s="562"/>
      <c r="O75" s="564"/>
      <c r="P75" s="566"/>
      <c r="Q75" s="566"/>
      <c r="R75" s="564"/>
      <c r="S75" s="567"/>
      <c r="T75" s="567"/>
    </row>
    <row r="76" spans="1:22" ht="30" customHeight="1">
      <c r="E76" s="456"/>
      <c r="F76" s="560"/>
      <c r="G76" s="573"/>
      <c r="H76" s="575"/>
      <c r="I76" s="575"/>
      <c r="J76" s="561"/>
      <c r="K76" s="562"/>
      <c r="L76" s="562"/>
      <c r="M76" s="562"/>
      <c r="N76" s="562"/>
      <c r="O76" s="579"/>
      <c r="P76" s="579"/>
      <c r="Q76" s="579"/>
      <c r="R76" s="579"/>
      <c r="S76" s="579"/>
      <c r="T76" s="579"/>
      <c r="U76" s="579"/>
      <c r="V76" s="579"/>
    </row>
    <row r="77" spans="1:22" ht="30" customHeight="1">
      <c r="O77" s="533"/>
      <c r="P77" s="570"/>
      <c r="Q77" s="564"/>
      <c r="R77" s="571"/>
      <c r="T77" s="456"/>
    </row>
    <row r="78" spans="1:22" ht="30" customHeight="1">
      <c r="O78" s="533"/>
      <c r="P78" s="570"/>
      <c r="Q78" s="564"/>
      <c r="R78" s="571"/>
      <c r="T78" s="456"/>
    </row>
    <row r="79" spans="1:22" ht="30" customHeight="1">
      <c r="O79" s="533"/>
      <c r="Q79" s="533"/>
      <c r="R79" s="571"/>
      <c r="T79" s="456"/>
    </row>
    <row r="80" spans="1:22" ht="30" customHeight="1">
      <c r="O80" s="533"/>
      <c r="Q80" s="533"/>
      <c r="R80" s="571"/>
      <c r="T80" s="456"/>
    </row>
    <row r="81" spans="15:20" ht="30" customHeight="1">
      <c r="O81" s="533"/>
      <c r="Q81" s="533"/>
      <c r="R81" s="571"/>
      <c r="T81" s="456"/>
    </row>
    <row r="82" spans="15:20" ht="30" customHeight="1">
      <c r="Q82" s="456"/>
      <c r="R82" s="571"/>
      <c r="T82" s="456"/>
    </row>
    <row r="83" spans="15:20" ht="30" customHeight="1">
      <c r="Q83" s="456"/>
      <c r="R83" s="571"/>
      <c r="T83" s="456"/>
    </row>
    <row r="84" spans="15:20" ht="30" customHeight="1">
      <c r="Q84" s="456"/>
      <c r="R84" s="571"/>
      <c r="T84" s="456"/>
    </row>
    <row r="85" spans="15:20" ht="30" customHeight="1">
      <c r="Q85" s="456"/>
      <c r="R85" s="571"/>
      <c r="T85" s="456"/>
    </row>
    <row r="86" spans="15:20" ht="30" customHeight="1">
      <c r="Q86" s="456"/>
      <c r="R86" s="571"/>
      <c r="T86" s="456"/>
    </row>
    <row r="87" spans="15:20" ht="30" customHeight="1"/>
    <row r="88" spans="15:20" ht="30" customHeight="1"/>
    <row r="89" spans="15:20" ht="30" customHeight="1"/>
    <row r="90" spans="15:20" ht="30" customHeight="1"/>
    <row r="91" spans="15:20" ht="30" customHeight="1"/>
    <row r="92" spans="15:20" ht="30" customHeight="1"/>
    <row r="93" spans="15:20" ht="30" customHeight="1"/>
    <row r="94" spans="15:20" ht="30" customHeight="1"/>
    <row r="95" spans="15:20" ht="30" customHeight="1"/>
    <row r="96" spans="15:20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24.95" customHeight="1"/>
    <row r="220" ht="24.95" customHeight="1"/>
    <row r="221" ht="24.95" customHeight="1"/>
    <row r="222" ht="24.95" customHeight="1"/>
    <row r="223" ht="24.95" customHeight="1"/>
    <row r="224" ht="24.95" customHeight="1"/>
    <row r="225" ht="24.95" customHeight="1"/>
    <row r="226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工作表27">
    <tabColor rgb="FFFFC000"/>
  </sheetPr>
  <dimension ref="A1:AB232"/>
  <sheetViews>
    <sheetView zoomScale="75" workbookViewId="0">
      <pane xSplit="4" ySplit="3" topLeftCell="E68" activePane="bottomRight" state="frozen"/>
      <selection activeCell="W23" sqref="W23"/>
      <selection pane="topRight" activeCell="W23" sqref="W23"/>
      <selection pane="bottomLeft" activeCell="W23" sqref="W23"/>
      <selection pane="bottomRight" activeCell="U72" sqref="U72"/>
    </sheetView>
  </sheetViews>
  <sheetFormatPr defaultRowHeight="15.75"/>
  <cols>
    <col min="1" max="4" width="4.375" style="456" customWidth="1"/>
    <col min="5" max="5" width="5.625" style="569" customWidth="1"/>
    <col min="6" max="6" width="7" style="569" customWidth="1"/>
    <col min="7" max="7" width="9.625" style="574" customWidth="1"/>
    <col min="8" max="8" width="11" style="574" customWidth="1"/>
    <col min="9" max="9" width="12.75" style="574" customWidth="1"/>
    <col min="10" max="10" width="9.625" style="569" customWidth="1"/>
    <col min="11" max="11" width="12" style="569" customWidth="1"/>
    <col min="12" max="12" width="9.625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612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0" customHeigh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>
      <c r="A4" s="581">
        <v>11</v>
      </c>
      <c r="B4" s="581">
        <v>1</v>
      </c>
      <c r="C4" s="581" t="s">
        <v>632</v>
      </c>
      <c r="D4" s="581" t="s">
        <v>0</v>
      </c>
      <c r="E4" s="581" t="s">
        <v>42</v>
      </c>
      <c r="F4" s="582">
        <v>1.88</v>
      </c>
      <c r="G4" s="583">
        <v>0.3</v>
      </c>
      <c r="H4" s="584">
        <f>1100*6</f>
        <v>6600</v>
      </c>
      <c r="I4" s="584">
        <f>1045+1031+1047</f>
        <v>3123</v>
      </c>
      <c r="J4" s="585">
        <v>715</v>
      </c>
      <c r="K4" s="534">
        <f>1003+1005+1003+1007+1004+1005+1002+1001</f>
        <v>8030</v>
      </c>
      <c r="L4" s="586"/>
      <c r="M4" s="586">
        <v>8</v>
      </c>
      <c r="N4" s="586">
        <v>6</v>
      </c>
      <c r="O4" s="587">
        <v>750</v>
      </c>
      <c r="P4" s="576">
        <f t="shared" ref="P4:P15" si="0">K4/(O4*12)</f>
        <v>0.89222222222222225</v>
      </c>
      <c r="Q4" s="588">
        <f t="shared" ref="Q4:Q15" si="1">L4/(K4+L4)</f>
        <v>0</v>
      </c>
      <c r="R4" s="589">
        <f t="shared" ref="R4:R15" si="2">S4+T4/60</f>
        <v>12.1</v>
      </c>
      <c r="S4" s="577">
        <v>12</v>
      </c>
      <c r="T4" s="577">
        <v>6</v>
      </c>
      <c r="U4" s="590" t="s">
        <v>705</v>
      </c>
      <c r="V4" s="534" t="s">
        <v>706</v>
      </c>
    </row>
    <row r="5" spans="1:28" ht="24.95" customHeight="1">
      <c r="A5" s="581">
        <v>11</v>
      </c>
      <c r="B5" s="581">
        <v>1</v>
      </c>
      <c r="C5" s="581" t="s">
        <v>632</v>
      </c>
      <c r="D5" s="581" t="s">
        <v>707</v>
      </c>
      <c r="E5" s="581" t="s">
        <v>42</v>
      </c>
      <c r="F5" s="582">
        <v>1.88</v>
      </c>
      <c r="G5" s="583">
        <v>0.3</v>
      </c>
      <c r="H5" s="584">
        <f>1100*7</f>
        <v>7700</v>
      </c>
      <c r="I5" s="584">
        <f>970+910</f>
        <v>1880</v>
      </c>
      <c r="J5" s="585">
        <v>715</v>
      </c>
      <c r="K5" s="534">
        <f>1004+1007+1005+720+1009+1006+1005+1002</f>
        <v>7758</v>
      </c>
      <c r="L5" s="586"/>
      <c r="M5" s="586">
        <v>8</v>
      </c>
      <c r="N5" s="586">
        <v>6</v>
      </c>
      <c r="O5" s="587">
        <v>750</v>
      </c>
      <c r="P5" s="576">
        <f t="shared" si="0"/>
        <v>0.86199999999999999</v>
      </c>
      <c r="Q5" s="588">
        <f t="shared" si="1"/>
        <v>0</v>
      </c>
      <c r="R5" s="589">
        <f t="shared" si="2"/>
        <v>11.733333333333333</v>
      </c>
      <c r="S5" s="577">
        <v>11</v>
      </c>
      <c r="T5" s="577">
        <v>44</v>
      </c>
      <c r="U5" s="590" t="s">
        <v>708</v>
      </c>
      <c r="V5" s="534" t="s">
        <v>709</v>
      </c>
    </row>
    <row r="6" spans="1:28" ht="24.95" customHeight="1">
      <c r="A6" s="581">
        <v>11</v>
      </c>
      <c r="B6" s="581">
        <v>2</v>
      </c>
      <c r="C6" s="581" t="s">
        <v>755</v>
      </c>
      <c r="D6" s="581" t="s">
        <v>0</v>
      </c>
      <c r="E6" s="581" t="s">
        <v>42</v>
      </c>
      <c r="F6" s="582">
        <v>1.88</v>
      </c>
      <c r="G6" s="583">
        <v>0.3</v>
      </c>
      <c r="H6" s="584">
        <f>1100*6</f>
        <v>6600</v>
      </c>
      <c r="I6" s="584">
        <f>1041+1036+1038</f>
        <v>3115</v>
      </c>
      <c r="J6" s="585">
        <v>715</v>
      </c>
      <c r="K6" s="534">
        <f>1003+1005+1009+1003+1004+1007+1003+1001</f>
        <v>8035</v>
      </c>
      <c r="L6" s="586"/>
      <c r="M6" s="586">
        <v>8</v>
      </c>
      <c r="N6" s="586">
        <v>6</v>
      </c>
      <c r="O6" s="587">
        <v>750</v>
      </c>
      <c r="P6" s="576">
        <f t="shared" si="0"/>
        <v>0.89277777777777778</v>
      </c>
      <c r="Q6" s="588">
        <f t="shared" si="1"/>
        <v>0</v>
      </c>
      <c r="R6" s="589">
        <f t="shared" si="2"/>
        <v>12.366666666666667</v>
      </c>
      <c r="S6" s="577">
        <v>12</v>
      </c>
      <c r="T6" s="577">
        <v>22</v>
      </c>
      <c r="U6" s="590" t="s">
        <v>756</v>
      </c>
      <c r="V6" s="534" t="s">
        <v>706</v>
      </c>
    </row>
    <row r="7" spans="1:28" ht="24.95" customHeight="1">
      <c r="A7" s="581">
        <v>11</v>
      </c>
      <c r="B7" s="581">
        <v>2</v>
      </c>
      <c r="C7" s="581" t="s">
        <v>755</v>
      </c>
      <c r="D7" s="581" t="s">
        <v>43</v>
      </c>
      <c r="E7" s="581" t="s">
        <v>42</v>
      </c>
      <c r="F7" s="582">
        <v>1.88</v>
      </c>
      <c r="G7" s="583">
        <v>0.3</v>
      </c>
      <c r="H7" s="584">
        <f>1100</f>
        <v>1100</v>
      </c>
      <c r="I7" s="584">
        <f>1012</f>
        <v>1012</v>
      </c>
      <c r="J7" s="585">
        <v>715</v>
      </c>
      <c r="K7" s="585">
        <f>1004+1002</f>
        <v>2006</v>
      </c>
      <c r="L7" s="586"/>
      <c r="M7" s="586">
        <v>8</v>
      </c>
      <c r="N7" s="586">
        <v>6</v>
      </c>
      <c r="O7" s="587">
        <v>750</v>
      </c>
      <c r="P7" s="576">
        <f t="shared" si="0"/>
        <v>0.22288888888888889</v>
      </c>
      <c r="Q7" s="588">
        <f t="shared" si="1"/>
        <v>0</v>
      </c>
      <c r="R7" s="589">
        <f t="shared" si="2"/>
        <v>3.0833333333333335</v>
      </c>
      <c r="S7" s="577">
        <v>3</v>
      </c>
      <c r="T7" s="577">
        <v>5</v>
      </c>
      <c r="U7" s="590" t="s">
        <v>758</v>
      </c>
      <c r="V7" s="534" t="s">
        <v>757</v>
      </c>
    </row>
    <row r="8" spans="1:28" ht="24.95" customHeight="1">
      <c r="A8" s="581">
        <v>11</v>
      </c>
      <c r="B8" s="581">
        <v>3</v>
      </c>
      <c r="C8" s="581" t="s">
        <v>784</v>
      </c>
      <c r="D8" s="581" t="s">
        <v>0</v>
      </c>
      <c r="E8" s="581" t="s">
        <v>42</v>
      </c>
      <c r="F8" s="582"/>
      <c r="G8" s="583" t="s">
        <v>787</v>
      </c>
      <c r="H8" s="584"/>
      <c r="I8" s="584"/>
      <c r="J8" s="585"/>
      <c r="K8" s="585"/>
      <c r="L8" s="586"/>
      <c r="M8" s="586"/>
      <c r="N8" s="586"/>
      <c r="O8" s="587">
        <v>750</v>
      </c>
      <c r="P8" s="576">
        <f>K8/(O8*12)</f>
        <v>0</v>
      </c>
      <c r="Q8" s="588" t="e">
        <f>L8/(K8+L8)</f>
        <v>#DIV/0!</v>
      </c>
      <c r="R8" s="589">
        <f>S8+T8/60</f>
        <v>0</v>
      </c>
      <c r="S8" s="577"/>
      <c r="T8" s="577"/>
      <c r="U8" s="590"/>
      <c r="V8" s="534"/>
    </row>
    <row r="9" spans="1:28" ht="24.95" customHeight="1">
      <c r="A9" s="581">
        <v>11</v>
      </c>
      <c r="B9" s="581">
        <v>3</v>
      </c>
      <c r="C9" s="581" t="s">
        <v>784</v>
      </c>
      <c r="D9" s="581" t="s">
        <v>43</v>
      </c>
      <c r="E9" s="581" t="s">
        <v>42</v>
      </c>
      <c r="F9" s="582"/>
      <c r="G9" s="583" t="s">
        <v>787</v>
      </c>
      <c r="H9" s="584"/>
      <c r="I9" s="584"/>
      <c r="J9" s="585"/>
      <c r="K9" s="585"/>
      <c r="L9" s="586"/>
      <c r="M9" s="586"/>
      <c r="N9" s="586"/>
      <c r="O9" s="587">
        <v>750</v>
      </c>
      <c r="P9" s="576">
        <f>K9/(O9*12)</f>
        <v>0</v>
      </c>
      <c r="Q9" s="588" t="e">
        <f>L9/(K9+L9)</f>
        <v>#DIV/0!</v>
      </c>
      <c r="R9" s="589">
        <f>S9+T9/60</f>
        <v>0</v>
      </c>
      <c r="S9" s="577"/>
      <c r="T9" s="577"/>
      <c r="U9" s="590"/>
      <c r="V9" s="534"/>
    </row>
    <row r="10" spans="1:28" ht="24.95" customHeight="1">
      <c r="A10" s="581">
        <v>11</v>
      </c>
      <c r="B10" s="581">
        <v>4</v>
      </c>
      <c r="C10" s="581" t="s">
        <v>805</v>
      </c>
      <c r="D10" s="581" t="s">
        <v>0</v>
      </c>
      <c r="E10" s="581" t="s">
        <v>42</v>
      </c>
      <c r="F10" s="582"/>
      <c r="G10" s="583" t="s">
        <v>633</v>
      </c>
      <c r="H10" s="584"/>
      <c r="I10" s="584"/>
      <c r="J10" s="585"/>
      <c r="K10" s="585"/>
      <c r="L10" s="586"/>
      <c r="M10" s="586"/>
      <c r="N10" s="586"/>
      <c r="O10" s="587">
        <v>750</v>
      </c>
      <c r="P10" s="576">
        <f t="shared" si="0"/>
        <v>0</v>
      </c>
      <c r="Q10" s="588" t="e">
        <f t="shared" si="1"/>
        <v>#DIV/0!</v>
      </c>
      <c r="R10" s="589">
        <f t="shared" si="2"/>
        <v>0</v>
      </c>
      <c r="S10" s="577"/>
      <c r="T10" s="577"/>
      <c r="U10" s="590"/>
      <c r="V10" s="534"/>
    </row>
    <row r="11" spans="1:28" ht="31.5" customHeight="1">
      <c r="A11" s="581">
        <v>11</v>
      </c>
      <c r="B11" s="581">
        <v>4</v>
      </c>
      <c r="C11" s="581" t="s">
        <v>805</v>
      </c>
      <c r="D11" s="581" t="s">
        <v>43</v>
      </c>
      <c r="E11" s="581" t="s">
        <v>42</v>
      </c>
      <c r="F11" s="582">
        <v>1.88</v>
      </c>
      <c r="G11" s="583">
        <v>0.3</v>
      </c>
      <c r="H11" s="584">
        <f>1100*4</f>
        <v>4400</v>
      </c>
      <c r="I11" s="584">
        <f>1039</f>
        <v>1039</v>
      </c>
      <c r="J11" s="585">
        <v>715</v>
      </c>
      <c r="K11" s="585">
        <f>1000+1007*2+1005</f>
        <v>4019</v>
      </c>
      <c r="L11" s="586">
        <f>78</f>
        <v>78</v>
      </c>
      <c r="M11" s="586">
        <v>8</v>
      </c>
      <c r="N11" s="586">
        <v>6</v>
      </c>
      <c r="O11" s="587">
        <v>750</v>
      </c>
      <c r="P11" s="576">
        <f t="shared" si="0"/>
        <v>0.44655555555555554</v>
      </c>
      <c r="Q11" s="588">
        <f t="shared" si="1"/>
        <v>1.9038320722479862E-2</v>
      </c>
      <c r="R11" s="589">
        <f t="shared" si="2"/>
        <v>6.2166666666666668</v>
      </c>
      <c r="S11" s="577">
        <v>6</v>
      </c>
      <c r="T11" s="577">
        <v>13</v>
      </c>
      <c r="U11" s="590" t="s">
        <v>810</v>
      </c>
      <c r="V11" s="534" t="s">
        <v>709</v>
      </c>
    </row>
    <row r="12" spans="1:28" ht="24.95" customHeight="1">
      <c r="A12" s="581">
        <v>11</v>
      </c>
      <c r="B12" s="581">
        <v>5</v>
      </c>
      <c r="C12" s="581" t="s">
        <v>834</v>
      </c>
      <c r="D12" s="581" t="s">
        <v>0</v>
      </c>
      <c r="E12" s="581" t="s">
        <v>42</v>
      </c>
      <c r="F12" s="582">
        <v>1.88</v>
      </c>
      <c r="G12" s="583">
        <v>0.3</v>
      </c>
      <c r="H12" s="584">
        <f>1100*3</f>
        <v>3300</v>
      </c>
      <c r="I12" s="584">
        <f>1037</f>
        <v>1037</v>
      </c>
      <c r="J12" s="585">
        <v>715</v>
      </c>
      <c r="K12" s="534">
        <f>1000+1006+1003+1007+1009+1005+1003+1007+360</f>
        <v>8400</v>
      </c>
      <c r="L12" s="586"/>
      <c r="M12" s="586">
        <v>8</v>
      </c>
      <c r="N12" s="586">
        <v>6</v>
      </c>
      <c r="O12" s="587">
        <v>750</v>
      </c>
      <c r="P12" s="576">
        <f t="shared" si="0"/>
        <v>0.93333333333333335</v>
      </c>
      <c r="Q12" s="588">
        <f t="shared" si="1"/>
        <v>0</v>
      </c>
      <c r="R12" s="589">
        <f t="shared" si="2"/>
        <v>12.533333333333333</v>
      </c>
      <c r="S12" s="577">
        <v>12</v>
      </c>
      <c r="T12" s="577">
        <v>32</v>
      </c>
      <c r="U12" s="590" t="s">
        <v>838</v>
      </c>
      <c r="V12" s="534" t="s">
        <v>706</v>
      </c>
    </row>
    <row r="13" spans="1:28" ht="24.95" customHeight="1">
      <c r="A13" s="581">
        <v>11</v>
      </c>
      <c r="B13" s="581">
        <v>5</v>
      </c>
      <c r="C13" s="581" t="s">
        <v>834</v>
      </c>
      <c r="D13" s="581" t="s">
        <v>43</v>
      </c>
      <c r="E13" s="581" t="s">
        <v>42</v>
      </c>
      <c r="F13" s="582"/>
      <c r="G13" s="583" t="s">
        <v>633</v>
      </c>
      <c r="H13" s="584"/>
      <c r="I13" s="584"/>
      <c r="J13" s="585"/>
      <c r="K13" s="534"/>
      <c r="L13" s="586"/>
      <c r="M13" s="586"/>
      <c r="N13" s="586"/>
      <c r="O13" s="587">
        <v>750</v>
      </c>
      <c r="P13" s="576">
        <f t="shared" si="0"/>
        <v>0</v>
      </c>
      <c r="Q13" s="588" t="e">
        <f t="shared" si="1"/>
        <v>#DIV/0!</v>
      </c>
      <c r="R13" s="589">
        <f t="shared" si="2"/>
        <v>0</v>
      </c>
      <c r="S13" s="577"/>
      <c r="T13" s="577"/>
      <c r="U13" s="590"/>
      <c r="V13" s="534"/>
    </row>
    <row r="14" spans="1:28" ht="24.95" customHeight="1">
      <c r="A14" s="581">
        <v>11</v>
      </c>
      <c r="B14" s="581">
        <v>6</v>
      </c>
      <c r="C14" s="581" t="s">
        <v>859</v>
      </c>
      <c r="D14" s="581" t="s">
        <v>0</v>
      </c>
      <c r="E14" s="581" t="s">
        <v>42</v>
      </c>
      <c r="F14" s="582"/>
      <c r="G14" s="583" t="s">
        <v>633</v>
      </c>
      <c r="H14" s="584"/>
      <c r="I14" s="584"/>
      <c r="J14" s="585"/>
      <c r="K14" s="534"/>
      <c r="L14" s="586"/>
      <c r="M14" s="586"/>
      <c r="N14" s="586"/>
      <c r="O14" s="587">
        <v>750</v>
      </c>
      <c r="P14" s="576">
        <f t="shared" si="0"/>
        <v>0</v>
      </c>
      <c r="Q14" s="588" t="e">
        <f t="shared" si="1"/>
        <v>#DIV/0!</v>
      </c>
      <c r="R14" s="589">
        <f t="shared" si="2"/>
        <v>0</v>
      </c>
      <c r="S14" s="577"/>
      <c r="T14" s="577"/>
      <c r="U14" s="590"/>
      <c r="V14" s="534"/>
    </row>
    <row r="15" spans="1:28" ht="24.95" customHeight="1">
      <c r="A15" s="581">
        <v>11</v>
      </c>
      <c r="B15" s="581">
        <v>6</v>
      </c>
      <c r="C15" s="581" t="s">
        <v>859</v>
      </c>
      <c r="D15" s="581" t="s">
        <v>43</v>
      </c>
      <c r="E15" s="581" t="s">
        <v>42</v>
      </c>
      <c r="F15" s="582"/>
      <c r="G15" s="583" t="s">
        <v>633</v>
      </c>
      <c r="H15" s="584"/>
      <c r="I15" s="584"/>
      <c r="J15" s="585"/>
      <c r="K15" s="534"/>
      <c r="L15" s="586"/>
      <c r="M15" s="586"/>
      <c r="N15" s="586"/>
      <c r="O15" s="587">
        <v>750</v>
      </c>
      <c r="P15" s="576">
        <f t="shared" si="0"/>
        <v>0</v>
      </c>
      <c r="Q15" s="588" t="e">
        <f t="shared" si="1"/>
        <v>#DIV/0!</v>
      </c>
      <c r="R15" s="589">
        <f t="shared" si="2"/>
        <v>0</v>
      </c>
      <c r="S15" s="577"/>
      <c r="T15" s="577"/>
      <c r="U15" s="590"/>
      <c r="V15" s="534"/>
    </row>
    <row r="16" spans="1:28" ht="24.95" customHeight="1">
      <c r="A16" s="581">
        <v>11</v>
      </c>
      <c r="B16" s="581">
        <v>7</v>
      </c>
      <c r="C16" s="581" t="s">
        <v>888</v>
      </c>
      <c r="D16" s="581" t="s">
        <v>0</v>
      </c>
      <c r="E16" s="581" t="s">
        <v>42</v>
      </c>
      <c r="F16" s="582"/>
      <c r="G16" s="583" t="s">
        <v>633</v>
      </c>
      <c r="H16" s="584"/>
      <c r="I16" s="584"/>
      <c r="J16" s="585"/>
      <c r="K16" s="585"/>
      <c r="L16" s="586"/>
      <c r="M16" s="586"/>
      <c r="N16" s="586"/>
      <c r="O16" s="587">
        <v>750</v>
      </c>
      <c r="P16" s="576">
        <f t="shared" ref="P16:P29" si="3">K16/(O16*12)</f>
        <v>0</v>
      </c>
      <c r="Q16" s="588" t="e">
        <f t="shared" ref="Q16:Q29" si="4">L16/(K16+L16)</f>
        <v>#DIV/0!</v>
      </c>
      <c r="R16" s="589">
        <f t="shared" ref="R16:R29" si="5">S16+T16/60</f>
        <v>0</v>
      </c>
      <c r="S16" s="577"/>
      <c r="T16" s="577"/>
      <c r="U16" s="590"/>
      <c r="V16" s="534"/>
    </row>
    <row r="17" spans="1:22" ht="24.95" customHeight="1">
      <c r="A17" s="581">
        <v>11</v>
      </c>
      <c r="B17" s="581">
        <v>7</v>
      </c>
      <c r="C17" s="581" t="s">
        <v>888</v>
      </c>
      <c r="D17" s="581" t="s">
        <v>43</v>
      </c>
      <c r="E17" s="581" t="s">
        <v>42</v>
      </c>
      <c r="F17" s="582"/>
      <c r="G17" s="583" t="s">
        <v>633</v>
      </c>
      <c r="H17" s="584"/>
      <c r="I17" s="584"/>
      <c r="J17" s="585"/>
      <c r="K17" s="585"/>
      <c r="L17" s="586"/>
      <c r="M17" s="586"/>
      <c r="N17" s="586"/>
      <c r="O17" s="587">
        <v>750</v>
      </c>
      <c r="P17" s="576">
        <f>K17/(O17*12)</f>
        <v>0</v>
      </c>
      <c r="Q17" s="588" t="e">
        <f>L17/(K17+L17)</f>
        <v>#DIV/0!</v>
      </c>
      <c r="R17" s="589">
        <f>S17+T17/60</f>
        <v>0</v>
      </c>
      <c r="S17" s="577"/>
      <c r="T17" s="577"/>
      <c r="U17" s="559"/>
      <c r="V17" s="534"/>
    </row>
    <row r="18" spans="1:22" ht="24.95" customHeight="1">
      <c r="A18" s="581">
        <v>11</v>
      </c>
      <c r="B18" s="581">
        <v>8</v>
      </c>
      <c r="C18" s="581" t="s">
        <v>908</v>
      </c>
      <c r="D18" s="581" t="s">
        <v>0</v>
      </c>
      <c r="E18" s="581" t="s">
        <v>42</v>
      </c>
      <c r="F18" s="582"/>
      <c r="G18" s="583" t="s">
        <v>633</v>
      </c>
      <c r="H18" s="584"/>
      <c r="I18" s="584"/>
      <c r="J18" s="585"/>
      <c r="K18" s="585"/>
      <c r="L18" s="586"/>
      <c r="M18" s="586"/>
      <c r="N18" s="586"/>
      <c r="O18" s="587">
        <v>750</v>
      </c>
      <c r="P18" s="576">
        <f>K18/(O18*12)</f>
        <v>0</v>
      </c>
      <c r="Q18" s="588" t="e">
        <f>L18/(K18+L18)</f>
        <v>#DIV/0!</v>
      </c>
      <c r="R18" s="589">
        <f>S18+T18/60</f>
        <v>0</v>
      </c>
      <c r="S18" s="577"/>
      <c r="T18" s="577"/>
      <c r="U18" s="559"/>
      <c r="V18" s="534"/>
    </row>
    <row r="19" spans="1:22" ht="34.5" customHeight="1">
      <c r="A19" s="581">
        <v>11</v>
      </c>
      <c r="B19" s="581">
        <v>8</v>
      </c>
      <c r="C19" s="581" t="s">
        <v>908</v>
      </c>
      <c r="D19" s="581" t="s">
        <v>43</v>
      </c>
      <c r="E19" s="581" t="s">
        <v>42</v>
      </c>
      <c r="F19" s="582">
        <v>1.88</v>
      </c>
      <c r="G19" s="583">
        <v>0.3</v>
      </c>
      <c r="H19" s="584">
        <f>1100*8</f>
        <v>8800</v>
      </c>
      <c r="I19" s="584">
        <f>1042+1040+1008+900+890</f>
        <v>4880</v>
      </c>
      <c r="J19" s="585">
        <v>715</v>
      </c>
      <c r="K19" s="585">
        <f>1004+1003+1007+1000+1003+1004+1000+1004</f>
        <v>8025</v>
      </c>
      <c r="L19" s="586">
        <f>86</f>
        <v>86</v>
      </c>
      <c r="M19" s="586">
        <v>8</v>
      </c>
      <c r="N19" s="586">
        <v>6</v>
      </c>
      <c r="O19" s="587">
        <v>750</v>
      </c>
      <c r="P19" s="576">
        <f t="shared" si="3"/>
        <v>0.89166666666666672</v>
      </c>
      <c r="Q19" s="588">
        <f t="shared" si="4"/>
        <v>1.0602884971027E-2</v>
      </c>
      <c r="R19" s="589">
        <f t="shared" si="5"/>
        <v>11.666666666666666</v>
      </c>
      <c r="S19" s="577">
        <v>11</v>
      </c>
      <c r="T19" s="577">
        <v>40</v>
      </c>
      <c r="U19" s="590" t="s">
        <v>909</v>
      </c>
      <c r="V19" s="534" t="s">
        <v>709</v>
      </c>
    </row>
    <row r="20" spans="1:22" ht="24.95" customHeight="1">
      <c r="A20" s="581">
        <v>11</v>
      </c>
      <c r="B20" s="581">
        <v>9</v>
      </c>
      <c r="C20" s="581" t="s">
        <v>929</v>
      </c>
      <c r="D20" s="581" t="s">
        <v>0</v>
      </c>
      <c r="E20" s="581" t="s">
        <v>42</v>
      </c>
      <c r="F20" s="582">
        <v>1.88</v>
      </c>
      <c r="G20" s="583">
        <v>0.3</v>
      </c>
      <c r="H20" s="584">
        <f>1100*6</f>
        <v>6600</v>
      </c>
      <c r="I20" s="584">
        <f>1042+927+902</f>
        <v>2871</v>
      </c>
      <c r="J20" s="585">
        <v>715</v>
      </c>
      <c r="K20" s="585">
        <f>1000*2+1007+1006+504+1003+1007+1001</f>
        <v>7528</v>
      </c>
      <c r="L20" s="586"/>
      <c r="M20" s="586">
        <v>8</v>
      </c>
      <c r="N20" s="586">
        <v>6</v>
      </c>
      <c r="O20" s="587">
        <v>750</v>
      </c>
      <c r="P20" s="576">
        <f t="shared" si="3"/>
        <v>0.83644444444444443</v>
      </c>
      <c r="Q20" s="588">
        <f t="shared" si="4"/>
        <v>0</v>
      </c>
      <c r="R20" s="589">
        <f t="shared" si="5"/>
        <v>12.083333333333334</v>
      </c>
      <c r="S20" s="577">
        <v>12</v>
      </c>
      <c r="T20" s="577">
        <v>5</v>
      </c>
      <c r="U20" s="590" t="s">
        <v>977</v>
      </c>
      <c r="V20" s="534" t="s">
        <v>706</v>
      </c>
    </row>
    <row r="21" spans="1:22" ht="24.95" customHeight="1">
      <c r="A21" s="581">
        <v>11</v>
      </c>
      <c r="B21" s="581">
        <v>9</v>
      </c>
      <c r="C21" s="581" t="s">
        <v>929</v>
      </c>
      <c r="D21" s="581" t="s">
        <v>43</v>
      </c>
      <c r="E21" s="581" t="s">
        <v>42</v>
      </c>
      <c r="F21" s="582">
        <v>1.88</v>
      </c>
      <c r="G21" s="583">
        <v>0.3</v>
      </c>
      <c r="H21" s="584">
        <f>1100*6</f>
        <v>6600</v>
      </c>
      <c r="I21" s="584">
        <f>900+850+1020</f>
        <v>2770</v>
      </c>
      <c r="J21" s="585">
        <v>715</v>
      </c>
      <c r="K21" s="534">
        <f>1004+1005+1003+1001+1006+1002+1001+1006</f>
        <v>8028</v>
      </c>
      <c r="L21" s="586"/>
      <c r="M21" s="586">
        <v>8</v>
      </c>
      <c r="N21" s="586">
        <v>6</v>
      </c>
      <c r="O21" s="587">
        <v>750</v>
      </c>
      <c r="P21" s="576">
        <f>K21/(O21*12)</f>
        <v>0.89200000000000002</v>
      </c>
      <c r="Q21" s="588">
        <f>L21/(K21+L21)</f>
        <v>0</v>
      </c>
      <c r="R21" s="589">
        <f>S21+T21/60</f>
        <v>12.083333333333334</v>
      </c>
      <c r="S21" s="577">
        <v>12</v>
      </c>
      <c r="T21" s="577">
        <v>5</v>
      </c>
      <c r="U21" s="590" t="s">
        <v>930</v>
      </c>
      <c r="V21" s="534" t="s">
        <v>709</v>
      </c>
    </row>
    <row r="22" spans="1:22" ht="24.95" customHeight="1">
      <c r="A22" s="581">
        <v>11</v>
      </c>
      <c r="B22" s="581">
        <v>10</v>
      </c>
      <c r="C22" s="581" t="s">
        <v>954</v>
      </c>
      <c r="D22" s="581" t="s">
        <v>0</v>
      </c>
      <c r="E22" s="581" t="s">
        <v>42</v>
      </c>
      <c r="F22" s="582">
        <v>1.88</v>
      </c>
      <c r="G22" s="583">
        <v>0.3</v>
      </c>
      <c r="H22" s="584">
        <f>1100*6</f>
        <v>6600</v>
      </c>
      <c r="I22" s="584">
        <f>902+1039+1036</f>
        <v>2977</v>
      </c>
      <c r="J22" s="585">
        <v>715</v>
      </c>
      <c r="K22" s="534">
        <f>1000+1009+1004+1007+1003+1005+1007+1003</f>
        <v>8038</v>
      </c>
      <c r="L22" s="586"/>
      <c r="M22" s="586">
        <v>8</v>
      </c>
      <c r="N22" s="586">
        <v>6</v>
      </c>
      <c r="O22" s="587">
        <v>750</v>
      </c>
      <c r="P22" s="576">
        <f t="shared" si="3"/>
        <v>0.89311111111111108</v>
      </c>
      <c r="Q22" s="588">
        <f t="shared" si="4"/>
        <v>0</v>
      </c>
      <c r="R22" s="589">
        <f t="shared" si="5"/>
        <v>12.066666666666666</v>
      </c>
      <c r="S22" s="577">
        <v>12</v>
      </c>
      <c r="T22" s="577">
        <v>4</v>
      </c>
      <c r="U22" s="590" t="s">
        <v>955</v>
      </c>
      <c r="V22" s="534" t="s">
        <v>706</v>
      </c>
    </row>
    <row r="23" spans="1:22" ht="24.95" customHeight="1">
      <c r="A23" s="581">
        <v>11</v>
      </c>
      <c r="B23" s="581">
        <v>10</v>
      </c>
      <c r="C23" s="581" t="s">
        <v>954</v>
      </c>
      <c r="D23" s="581" t="s">
        <v>43</v>
      </c>
      <c r="E23" s="581" t="s">
        <v>42</v>
      </c>
      <c r="F23" s="582">
        <v>1.88</v>
      </c>
      <c r="G23" s="583">
        <v>0.3</v>
      </c>
      <c r="H23" s="584">
        <f>1100*3</f>
        <v>3300</v>
      </c>
      <c r="I23" s="584">
        <f>900</f>
        <v>900</v>
      </c>
      <c r="J23" s="585">
        <v>715</v>
      </c>
      <c r="K23" s="585">
        <f>1004+1001+1005+1000+1007+1005+1006</f>
        <v>7028</v>
      </c>
      <c r="L23" s="586"/>
      <c r="M23" s="586">
        <v>8</v>
      </c>
      <c r="N23" s="586">
        <v>6</v>
      </c>
      <c r="O23" s="587">
        <v>750</v>
      </c>
      <c r="P23" s="576">
        <f>K23/(O23*12)</f>
        <v>0.78088888888888885</v>
      </c>
      <c r="Q23" s="588">
        <f>L23/(K23+L23)</f>
        <v>0</v>
      </c>
      <c r="R23" s="589">
        <f>S23+T23/60</f>
        <v>11.516666666666667</v>
      </c>
      <c r="S23" s="577">
        <v>11</v>
      </c>
      <c r="T23" s="577">
        <v>31</v>
      </c>
      <c r="U23" s="590" t="s">
        <v>956</v>
      </c>
      <c r="V23" s="534" t="s">
        <v>709</v>
      </c>
    </row>
    <row r="24" spans="1:22" ht="24.95" customHeight="1">
      <c r="A24" s="581">
        <v>11</v>
      </c>
      <c r="B24" s="581">
        <v>11</v>
      </c>
      <c r="C24" s="581" t="s">
        <v>973</v>
      </c>
      <c r="D24" s="581" t="s">
        <v>0</v>
      </c>
      <c r="E24" s="581" t="s">
        <v>42</v>
      </c>
      <c r="F24" s="582"/>
      <c r="G24" s="583" t="s">
        <v>633</v>
      </c>
      <c r="H24" s="584"/>
      <c r="I24" s="584"/>
      <c r="J24" s="585"/>
      <c r="K24" s="585"/>
      <c r="L24" s="586"/>
      <c r="M24" s="586"/>
      <c r="N24" s="586"/>
      <c r="O24" s="587">
        <v>750</v>
      </c>
      <c r="P24" s="576">
        <f>K24/(O24*12)</f>
        <v>0</v>
      </c>
      <c r="Q24" s="588" t="e">
        <f>L24/(K24+L24)</f>
        <v>#DIV/0!</v>
      </c>
      <c r="R24" s="589">
        <f>S24+T24/60</f>
        <v>0</v>
      </c>
      <c r="S24" s="577"/>
      <c r="T24" s="577"/>
      <c r="U24" s="559"/>
      <c r="V24" s="534"/>
    </row>
    <row r="25" spans="1:22" ht="24.95" customHeight="1">
      <c r="A25" s="581">
        <v>11</v>
      </c>
      <c r="B25" s="581">
        <v>11</v>
      </c>
      <c r="C25" s="581" t="s">
        <v>973</v>
      </c>
      <c r="D25" s="581" t="s">
        <v>43</v>
      </c>
      <c r="E25" s="581" t="s">
        <v>42</v>
      </c>
      <c r="F25" s="582"/>
      <c r="G25" s="583" t="s">
        <v>633</v>
      </c>
      <c r="H25" s="584"/>
      <c r="I25" s="584"/>
      <c r="J25" s="585"/>
      <c r="K25" s="585"/>
      <c r="L25" s="586"/>
      <c r="M25" s="586"/>
      <c r="N25" s="586"/>
      <c r="O25" s="587">
        <v>750</v>
      </c>
      <c r="P25" s="576">
        <f t="shared" si="3"/>
        <v>0</v>
      </c>
      <c r="Q25" s="588" t="e">
        <f t="shared" si="4"/>
        <v>#DIV/0!</v>
      </c>
      <c r="R25" s="589">
        <f t="shared" si="5"/>
        <v>0</v>
      </c>
      <c r="S25" s="577"/>
      <c r="T25" s="577"/>
      <c r="U25" s="590"/>
      <c r="V25" s="534"/>
    </row>
    <row r="26" spans="1:22" ht="24.95" customHeight="1">
      <c r="A26" s="581">
        <v>11</v>
      </c>
      <c r="B26" s="581">
        <v>12</v>
      </c>
      <c r="C26" s="581" t="s">
        <v>671</v>
      </c>
      <c r="D26" s="581" t="s">
        <v>0</v>
      </c>
      <c r="E26" s="581" t="s">
        <v>42</v>
      </c>
      <c r="F26" s="582"/>
      <c r="G26" s="583" t="s">
        <v>633</v>
      </c>
      <c r="H26" s="584"/>
      <c r="I26" s="584"/>
      <c r="J26" s="585"/>
      <c r="K26" s="585"/>
      <c r="L26" s="586"/>
      <c r="M26" s="586"/>
      <c r="N26" s="586"/>
      <c r="O26" s="587">
        <v>750</v>
      </c>
      <c r="P26" s="576">
        <f t="shared" si="3"/>
        <v>0</v>
      </c>
      <c r="Q26" s="588" t="e">
        <f t="shared" si="4"/>
        <v>#DIV/0!</v>
      </c>
      <c r="R26" s="589">
        <f t="shared" si="5"/>
        <v>0</v>
      </c>
      <c r="S26" s="577"/>
      <c r="T26" s="577"/>
      <c r="U26" s="559"/>
      <c r="V26" s="534"/>
    </row>
    <row r="27" spans="1:22" ht="24.95" customHeight="1">
      <c r="A27" s="581">
        <v>11</v>
      </c>
      <c r="B27" s="581">
        <v>12</v>
      </c>
      <c r="C27" s="581" t="s">
        <v>671</v>
      </c>
      <c r="D27" s="581" t="s">
        <v>43</v>
      </c>
      <c r="E27" s="581" t="s">
        <v>42</v>
      </c>
      <c r="F27" s="582"/>
      <c r="G27" s="583" t="s">
        <v>633</v>
      </c>
      <c r="H27" s="584"/>
      <c r="I27" s="584"/>
      <c r="J27" s="585"/>
      <c r="K27" s="585"/>
      <c r="L27" s="586"/>
      <c r="M27" s="586"/>
      <c r="N27" s="586"/>
      <c r="O27" s="587">
        <v>750</v>
      </c>
      <c r="P27" s="576">
        <f>K27/(O27*12)</f>
        <v>0</v>
      </c>
      <c r="Q27" s="588" t="e">
        <f>L27/(K27+L27)</f>
        <v>#DIV/0!</v>
      </c>
      <c r="R27" s="589">
        <f>S27+T27/60</f>
        <v>0</v>
      </c>
      <c r="S27" s="577"/>
      <c r="T27" s="577"/>
      <c r="U27" s="559"/>
      <c r="V27" s="534"/>
    </row>
    <row r="28" spans="1:22" ht="24.95" customHeight="1">
      <c r="A28" s="581">
        <v>11</v>
      </c>
      <c r="B28" s="581">
        <v>13</v>
      </c>
      <c r="C28" s="581" t="s">
        <v>974</v>
      </c>
      <c r="D28" s="581" t="s">
        <v>0</v>
      </c>
      <c r="E28" s="581" t="s">
        <v>42</v>
      </c>
      <c r="F28" s="582">
        <v>1.88</v>
      </c>
      <c r="G28" s="583">
        <v>0.3</v>
      </c>
      <c r="H28" s="584">
        <f>1100*5</f>
        <v>5500</v>
      </c>
      <c r="I28" s="584">
        <f>1021+1037+905</f>
        <v>2963</v>
      </c>
      <c r="J28" s="585">
        <v>715</v>
      </c>
      <c r="K28" s="534">
        <f>760+1004</f>
        <v>1764</v>
      </c>
      <c r="L28" s="586">
        <f>64</f>
        <v>64</v>
      </c>
      <c r="M28" s="586">
        <v>8</v>
      </c>
      <c r="N28" s="586">
        <v>6</v>
      </c>
      <c r="O28" s="587">
        <v>750</v>
      </c>
      <c r="P28" s="576">
        <f t="shared" si="3"/>
        <v>0.19600000000000001</v>
      </c>
      <c r="Q28" s="588">
        <f t="shared" si="4"/>
        <v>3.5010940919037198E-2</v>
      </c>
      <c r="R28" s="589">
        <f t="shared" si="5"/>
        <v>2.6333333333333333</v>
      </c>
      <c r="S28" s="577">
        <v>2</v>
      </c>
      <c r="T28" s="577">
        <v>38</v>
      </c>
      <c r="U28" s="590" t="s">
        <v>976</v>
      </c>
      <c r="V28" s="534" t="s">
        <v>706</v>
      </c>
    </row>
    <row r="29" spans="1:22" ht="24.95" customHeight="1">
      <c r="A29" s="581">
        <v>11</v>
      </c>
      <c r="B29" s="581">
        <v>13</v>
      </c>
      <c r="C29" s="581" t="s">
        <v>974</v>
      </c>
      <c r="D29" s="581" t="s">
        <v>0</v>
      </c>
      <c r="E29" s="581" t="s">
        <v>42</v>
      </c>
      <c r="F29" s="582">
        <v>1.6</v>
      </c>
      <c r="G29" s="583">
        <v>0.3</v>
      </c>
      <c r="H29" s="584"/>
      <c r="I29" s="584"/>
      <c r="J29" s="585">
        <v>715</v>
      </c>
      <c r="K29" s="585">
        <f>1000</f>
        <v>1000</v>
      </c>
      <c r="L29" s="586"/>
      <c r="M29" s="586">
        <v>8</v>
      </c>
      <c r="N29" s="586">
        <v>6</v>
      </c>
      <c r="O29" s="587">
        <v>750</v>
      </c>
      <c r="P29" s="576">
        <f t="shared" si="3"/>
        <v>0.1111111111111111</v>
      </c>
      <c r="Q29" s="588">
        <f t="shared" si="4"/>
        <v>0</v>
      </c>
      <c r="R29" s="589">
        <f t="shared" si="5"/>
        <v>1.3666666666666667</v>
      </c>
      <c r="S29" s="577">
        <v>1</v>
      </c>
      <c r="T29" s="577">
        <v>22</v>
      </c>
      <c r="U29" s="559" t="s">
        <v>975</v>
      </c>
      <c r="V29" s="534" t="s">
        <v>706</v>
      </c>
    </row>
    <row r="30" spans="1:22" ht="32.25" customHeight="1">
      <c r="A30" s="581">
        <v>11</v>
      </c>
      <c r="B30" s="581">
        <v>13</v>
      </c>
      <c r="C30" s="581" t="s">
        <v>974</v>
      </c>
      <c r="D30" s="581" t="s">
        <v>0</v>
      </c>
      <c r="E30" s="581" t="s">
        <v>42</v>
      </c>
      <c r="F30" s="582">
        <v>1.34</v>
      </c>
      <c r="G30" s="583">
        <v>0.3</v>
      </c>
      <c r="H30" s="584"/>
      <c r="I30" s="584"/>
      <c r="J30" s="585">
        <v>715</v>
      </c>
      <c r="K30" s="585">
        <f>1000+1004</f>
        <v>2004</v>
      </c>
      <c r="L30" s="586"/>
      <c r="M30" s="586">
        <v>8</v>
      </c>
      <c r="N30" s="586">
        <v>6</v>
      </c>
      <c r="O30" s="587">
        <v>750</v>
      </c>
      <c r="P30" s="576">
        <f t="shared" ref="P30:P41" si="6">K30/(O30*12)</f>
        <v>0.22266666666666668</v>
      </c>
      <c r="Q30" s="588">
        <f t="shared" ref="Q30:Q41" si="7">L30/(K30+L30)</f>
        <v>0</v>
      </c>
      <c r="R30" s="589">
        <f t="shared" ref="R30:R41" si="8">S30+T30/60</f>
        <v>2.7</v>
      </c>
      <c r="S30" s="577">
        <v>2</v>
      </c>
      <c r="T30" s="577">
        <v>42</v>
      </c>
      <c r="U30" s="590" t="s">
        <v>978</v>
      </c>
      <c r="V30" s="534" t="s">
        <v>706</v>
      </c>
    </row>
    <row r="31" spans="1:22" ht="24.95" customHeight="1">
      <c r="A31" s="581">
        <v>11</v>
      </c>
      <c r="B31" s="581">
        <v>13</v>
      </c>
      <c r="C31" s="581" t="s">
        <v>974</v>
      </c>
      <c r="D31" s="581" t="s">
        <v>43</v>
      </c>
      <c r="E31" s="581" t="s">
        <v>42</v>
      </c>
      <c r="F31" s="582">
        <v>1.34</v>
      </c>
      <c r="G31" s="583">
        <v>0.4</v>
      </c>
      <c r="H31" s="584"/>
      <c r="I31" s="584"/>
      <c r="J31" s="585">
        <v>715</v>
      </c>
      <c r="K31" s="585">
        <f>1004+1006</f>
        <v>2010</v>
      </c>
      <c r="L31" s="586"/>
      <c r="M31" s="586">
        <v>8</v>
      </c>
      <c r="N31" s="586">
        <v>6</v>
      </c>
      <c r="O31" s="587">
        <v>750</v>
      </c>
      <c r="P31" s="576">
        <f>K31/(O31*12)</f>
        <v>0.22333333333333333</v>
      </c>
      <c r="Q31" s="588">
        <f>L31/(K31+L31)</f>
        <v>0</v>
      </c>
      <c r="R31" s="589">
        <f>S31+T31/60</f>
        <v>3.05</v>
      </c>
      <c r="S31" s="577">
        <v>3</v>
      </c>
      <c r="T31" s="577">
        <v>3</v>
      </c>
      <c r="U31" s="559" t="s">
        <v>979</v>
      </c>
      <c r="V31" s="534" t="s">
        <v>709</v>
      </c>
    </row>
    <row r="32" spans="1:22" ht="24.95" customHeight="1">
      <c r="A32" s="581">
        <v>11</v>
      </c>
      <c r="B32" s="581">
        <v>13</v>
      </c>
      <c r="C32" s="581" t="s">
        <v>974</v>
      </c>
      <c r="D32" s="581" t="s">
        <v>43</v>
      </c>
      <c r="E32" s="581" t="s">
        <v>42</v>
      </c>
      <c r="F32" s="582">
        <v>1.6</v>
      </c>
      <c r="G32" s="583">
        <v>0.4</v>
      </c>
      <c r="H32" s="584">
        <f>1100*6</f>
        <v>6600</v>
      </c>
      <c r="I32" s="584">
        <f>1041+900+850+1025</f>
        <v>3816</v>
      </c>
      <c r="J32" s="585">
        <v>715</v>
      </c>
      <c r="K32" s="585">
        <f>1003+1000+1005+1007+1003+1000</f>
        <v>6018</v>
      </c>
      <c r="L32" s="586"/>
      <c r="M32" s="586">
        <v>8</v>
      </c>
      <c r="N32" s="586">
        <v>6</v>
      </c>
      <c r="O32" s="587">
        <v>750</v>
      </c>
      <c r="P32" s="576">
        <f>K32/(O32*12)</f>
        <v>0.66866666666666663</v>
      </c>
      <c r="Q32" s="588">
        <f>L32/(K32+L32)</f>
        <v>0</v>
      </c>
      <c r="R32" s="589">
        <f>S32+T32/60</f>
        <v>9.85</v>
      </c>
      <c r="S32" s="577">
        <v>9</v>
      </c>
      <c r="T32" s="577">
        <v>51</v>
      </c>
      <c r="U32" s="590" t="s">
        <v>808</v>
      </c>
      <c r="V32" s="534" t="s">
        <v>709</v>
      </c>
    </row>
    <row r="33" spans="1:22" ht="24.95" customHeight="1">
      <c r="A33" s="581">
        <v>11</v>
      </c>
      <c r="B33" s="434">
        <v>14</v>
      </c>
      <c r="C33" s="581" t="s">
        <v>1001</v>
      </c>
      <c r="D33" s="581" t="s">
        <v>0</v>
      </c>
      <c r="E33" s="581" t="s">
        <v>42</v>
      </c>
      <c r="F33" s="582">
        <v>1.6</v>
      </c>
      <c r="G33" s="583">
        <v>0.4</v>
      </c>
      <c r="H33" s="584"/>
      <c r="I33" s="584"/>
      <c r="J33" s="585">
        <v>715</v>
      </c>
      <c r="K33" s="585">
        <f>1003+1007+1009</f>
        <v>3019</v>
      </c>
      <c r="L33" s="586">
        <f>56</f>
        <v>56</v>
      </c>
      <c r="M33" s="586">
        <v>8</v>
      </c>
      <c r="N33" s="586">
        <v>6</v>
      </c>
      <c r="O33" s="587">
        <v>750</v>
      </c>
      <c r="P33" s="576">
        <f t="shared" si="6"/>
        <v>0.33544444444444443</v>
      </c>
      <c r="Q33" s="588">
        <f t="shared" si="7"/>
        <v>1.8211382113821138E-2</v>
      </c>
      <c r="R33" s="589">
        <f t="shared" si="8"/>
        <v>4</v>
      </c>
      <c r="S33" s="577">
        <v>4</v>
      </c>
      <c r="T33" s="577">
        <v>0</v>
      </c>
      <c r="U33" s="559" t="s">
        <v>1002</v>
      </c>
      <c r="V33" s="534" t="s">
        <v>706</v>
      </c>
    </row>
    <row r="34" spans="1:22" ht="24.95" customHeight="1">
      <c r="A34" s="581">
        <v>11</v>
      </c>
      <c r="B34" s="434">
        <v>14</v>
      </c>
      <c r="C34" s="581" t="s">
        <v>1001</v>
      </c>
      <c r="D34" s="581" t="s">
        <v>0</v>
      </c>
      <c r="E34" s="581" t="s">
        <v>42</v>
      </c>
      <c r="F34" s="582">
        <v>1.85</v>
      </c>
      <c r="G34" s="583">
        <v>0.4</v>
      </c>
      <c r="H34" s="584">
        <f>1100*4</f>
        <v>4400</v>
      </c>
      <c r="I34" s="584">
        <f>1043+902+905</f>
        <v>2850</v>
      </c>
      <c r="J34" s="585">
        <v>715</v>
      </c>
      <c r="K34" s="534">
        <f>1004+1009+1006+1005+1003</f>
        <v>5027</v>
      </c>
      <c r="L34" s="586"/>
      <c r="M34" s="586">
        <v>8</v>
      </c>
      <c r="N34" s="586">
        <v>6</v>
      </c>
      <c r="O34" s="587">
        <v>750</v>
      </c>
      <c r="P34" s="576">
        <f t="shared" si="6"/>
        <v>0.55855555555555558</v>
      </c>
      <c r="Q34" s="588">
        <f t="shared" si="7"/>
        <v>0</v>
      </c>
      <c r="R34" s="589">
        <f t="shared" si="8"/>
        <v>6.916666666666667</v>
      </c>
      <c r="S34" s="577">
        <v>6</v>
      </c>
      <c r="T34" s="577">
        <v>55</v>
      </c>
      <c r="U34" s="590" t="s">
        <v>1003</v>
      </c>
      <c r="V34" s="534" t="s">
        <v>706</v>
      </c>
    </row>
    <row r="35" spans="1:22" ht="24.95" customHeight="1">
      <c r="A35" s="581">
        <v>11</v>
      </c>
      <c r="B35" s="434">
        <v>14</v>
      </c>
      <c r="C35" s="581" t="s">
        <v>1001</v>
      </c>
      <c r="D35" s="581" t="s">
        <v>43</v>
      </c>
      <c r="E35" s="581" t="s">
        <v>42</v>
      </c>
      <c r="F35" s="582">
        <v>1.85</v>
      </c>
      <c r="G35" s="583">
        <v>0.4</v>
      </c>
      <c r="H35" s="584">
        <f>1100*6</f>
        <v>6600</v>
      </c>
      <c r="I35" s="584">
        <f>1042+900+880+890</f>
        <v>3712</v>
      </c>
      <c r="J35" s="585">
        <v>715</v>
      </c>
      <c r="K35" s="585">
        <f>1004+1000+1006+1002*2+1005+1003*2</f>
        <v>8025</v>
      </c>
      <c r="L35" s="586"/>
      <c r="M35" s="586">
        <v>8</v>
      </c>
      <c r="N35" s="586">
        <v>6</v>
      </c>
      <c r="O35" s="587">
        <v>750</v>
      </c>
      <c r="P35" s="576">
        <f t="shared" si="6"/>
        <v>0.89166666666666672</v>
      </c>
      <c r="Q35" s="588">
        <f t="shared" si="7"/>
        <v>0</v>
      </c>
      <c r="R35" s="589">
        <f t="shared" si="8"/>
        <v>12.016666666666667</v>
      </c>
      <c r="S35" s="577">
        <v>12</v>
      </c>
      <c r="T35" s="577">
        <v>1</v>
      </c>
      <c r="U35" s="590" t="s">
        <v>1004</v>
      </c>
      <c r="V35" s="534" t="s">
        <v>709</v>
      </c>
    </row>
    <row r="36" spans="1:22" ht="24.95" customHeight="1">
      <c r="A36" s="581">
        <v>11</v>
      </c>
      <c r="B36" s="434">
        <v>15</v>
      </c>
      <c r="C36" s="581" t="s">
        <v>1022</v>
      </c>
      <c r="D36" s="581" t="s">
        <v>0</v>
      </c>
      <c r="E36" s="581" t="s">
        <v>42</v>
      </c>
      <c r="F36" s="582">
        <v>1.85</v>
      </c>
      <c r="G36" s="583">
        <v>0.4</v>
      </c>
      <c r="H36" s="584">
        <f>1100*5</f>
        <v>5500</v>
      </c>
      <c r="I36" s="584">
        <f>1053+1061+902</f>
        <v>3016</v>
      </c>
      <c r="J36" s="585">
        <v>715</v>
      </c>
      <c r="K36" s="585">
        <f>1000+1003+1002+1005+1007+1004+1009+1005</f>
        <v>8035</v>
      </c>
      <c r="L36" s="586"/>
      <c r="M36" s="586">
        <v>8</v>
      </c>
      <c r="N36" s="586">
        <v>6</v>
      </c>
      <c r="O36" s="587">
        <v>750</v>
      </c>
      <c r="P36" s="576">
        <f t="shared" si="6"/>
        <v>0.89277777777777778</v>
      </c>
      <c r="Q36" s="588">
        <f t="shared" si="7"/>
        <v>0</v>
      </c>
      <c r="R36" s="589">
        <f t="shared" si="8"/>
        <v>11.916666666666666</v>
      </c>
      <c r="S36" s="577">
        <v>11</v>
      </c>
      <c r="T36" s="577">
        <v>55</v>
      </c>
      <c r="U36" s="590" t="s">
        <v>1023</v>
      </c>
      <c r="V36" s="534" t="s">
        <v>706</v>
      </c>
    </row>
    <row r="37" spans="1:22" ht="24.95" customHeight="1">
      <c r="A37" s="581">
        <v>11</v>
      </c>
      <c r="B37" s="434">
        <v>15</v>
      </c>
      <c r="C37" s="581" t="s">
        <v>1022</v>
      </c>
      <c r="D37" s="581" t="s">
        <v>43</v>
      </c>
      <c r="E37" s="581" t="s">
        <v>42</v>
      </c>
      <c r="F37" s="582">
        <v>1.85</v>
      </c>
      <c r="G37" s="583">
        <v>0.4</v>
      </c>
      <c r="H37" s="584">
        <f>1100*6</f>
        <v>6600</v>
      </c>
      <c r="I37" s="584">
        <f>900+850+1039</f>
        <v>2789</v>
      </c>
      <c r="J37" s="585">
        <v>715</v>
      </c>
      <c r="K37" s="585">
        <f>1004+1005+1000+1007+1003+1001+1000+1005</f>
        <v>8025</v>
      </c>
      <c r="L37" s="586"/>
      <c r="M37" s="586">
        <v>8</v>
      </c>
      <c r="N37" s="586">
        <v>6</v>
      </c>
      <c r="O37" s="587">
        <v>750</v>
      </c>
      <c r="P37" s="576">
        <f>K37/(O37*12)</f>
        <v>0.89166666666666672</v>
      </c>
      <c r="Q37" s="588">
        <f>L37/(K37+L37)</f>
        <v>0</v>
      </c>
      <c r="R37" s="589">
        <f>S37+T37/60</f>
        <v>11.783333333333333</v>
      </c>
      <c r="S37" s="577">
        <v>11</v>
      </c>
      <c r="T37" s="577">
        <v>47</v>
      </c>
      <c r="U37" s="590" t="s">
        <v>1024</v>
      </c>
      <c r="V37" s="534" t="s">
        <v>709</v>
      </c>
    </row>
    <row r="38" spans="1:22" ht="24.95" customHeight="1">
      <c r="A38" s="434">
        <v>11</v>
      </c>
      <c r="B38" s="434">
        <v>16</v>
      </c>
      <c r="C38" s="581" t="s">
        <v>1049</v>
      </c>
      <c r="D38" s="581" t="s">
        <v>0</v>
      </c>
      <c r="E38" s="581" t="s">
        <v>42</v>
      </c>
      <c r="F38" s="582">
        <v>1.85</v>
      </c>
      <c r="G38" s="583">
        <v>0.4</v>
      </c>
      <c r="H38" s="584"/>
      <c r="I38" s="584"/>
      <c r="J38" s="585">
        <v>715</v>
      </c>
      <c r="K38" s="585">
        <f>501</f>
        <v>501</v>
      </c>
      <c r="L38" s="586"/>
      <c r="M38" s="586">
        <v>8</v>
      </c>
      <c r="N38" s="586">
        <v>6</v>
      </c>
      <c r="O38" s="587">
        <v>750</v>
      </c>
      <c r="P38" s="576">
        <f t="shared" si="6"/>
        <v>5.566666666666667E-2</v>
      </c>
      <c r="Q38" s="588">
        <f t="shared" si="7"/>
        <v>0</v>
      </c>
      <c r="R38" s="589">
        <f t="shared" si="8"/>
        <v>0.7</v>
      </c>
      <c r="S38" s="577">
        <v>0</v>
      </c>
      <c r="T38" s="577">
        <v>42</v>
      </c>
      <c r="U38" s="590" t="s">
        <v>1050</v>
      </c>
      <c r="V38" s="534" t="s">
        <v>706</v>
      </c>
    </row>
    <row r="39" spans="1:22" ht="24.95" customHeight="1">
      <c r="A39" s="434">
        <v>11</v>
      </c>
      <c r="B39" s="434">
        <v>16</v>
      </c>
      <c r="C39" s="581" t="s">
        <v>1049</v>
      </c>
      <c r="D39" s="581" t="s">
        <v>0</v>
      </c>
      <c r="E39" s="581" t="s">
        <v>42</v>
      </c>
      <c r="F39" s="582">
        <v>1.38</v>
      </c>
      <c r="G39" s="583">
        <v>0.6</v>
      </c>
      <c r="H39" s="584">
        <f>1100*5</f>
        <v>5500</v>
      </c>
      <c r="I39" s="584">
        <f>1035+954+1049+902+1015</f>
        <v>4955</v>
      </c>
      <c r="J39" s="585">
        <v>805</v>
      </c>
      <c r="K39" s="534">
        <f>1090+1092+1094+1099+1093+1091+1096+1092</f>
        <v>8747</v>
      </c>
      <c r="L39" s="586"/>
      <c r="M39" s="586">
        <v>8</v>
      </c>
      <c r="N39" s="586">
        <v>6</v>
      </c>
      <c r="O39" s="587">
        <v>850</v>
      </c>
      <c r="P39" s="576">
        <f t="shared" si="6"/>
        <v>0.85754901960784313</v>
      </c>
      <c r="Q39" s="588">
        <f t="shared" si="7"/>
        <v>0</v>
      </c>
      <c r="R39" s="589">
        <f t="shared" si="8"/>
        <v>10.883333333333333</v>
      </c>
      <c r="S39" s="577">
        <v>10</v>
      </c>
      <c r="T39" s="577">
        <v>53</v>
      </c>
      <c r="U39" s="590" t="s">
        <v>1051</v>
      </c>
      <c r="V39" s="534" t="s">
        <v>706</v>
      </c>
    </row>
    <row r="40" spans="1:22" ht="24.95" customHeight="1">
      <c r="A40" s="434">
        <v>11</v>
      </c>
      <c r="B40" s="434">
        <v>16</v>
      </c>
      <c r="C40" s="581" t="s">
        <v>1049</v>
      </c>
      <c r="D40" s="581" t="s">
        <v>43</v>
      </c>
      <c r="E40" s="581" t="s">
        <v>42</v>
      </c>
      <c r="F40" s="582">
        <v>1.38</v>
      </c>
      <c r="G40" s="583">
        <v>0.6</v>
      </c>
      <c r="H40" s="584">
        <f>1100*4</f>
        <v>4400</v>
      </c>
      <c r="I40" s="584">
        <f>903+900+605+1063+1040</f>
        <v>4511</v>
      </c>
      <c r="J40" s="585">
        <v>805</v>
      </c>
      <c r="K40" s="585">
        <f>1090+630+1095*3+1092+1090+1093+1097</f>
        <v>9377</v>
      </c>
      <c r="L40" s="586"/>
      <c r="M40" s="586">
        <v>8</v>
      </c>
      <c r="N40" s="586">
        <v>6</v>
      </c>
      <c r="O40" s="587">
        <v>850</v>
      </c>
      <c r="P40" s="576">
        <f>K40/(O40*12)</f>
        <v>0.91931372549019608</v>
      </c>
      <c r="Q40" s="588">
        <f>L40/(K40+L40)</f>
        <v>0</v>
      </c>
      <c r="R40" s="589">
        <f>S40+T40/60</f>
        <v>12</v>
      </c>
      <c r="S40" s="577">
        <v>12</v>
      </c>
      <c r="T40" s="577">
        <v>0</v>
      </c>
      <c r="U40" s="590" t="s">
        <v>1052</v>
      </c>
      <c r="V40" s="534" t="s">
        <v>709</v>
      </c>
    </row>
    <row r="41" spans="1:22" ht="24.95" customHeight="1">
      <c r="A41" s="434">
        <v>11</v>
      </c>
      <c r="B41" s="434">
        <v>17</v>
      </c>
      <c r="C41" s="581" t="s">
        <v>1073</v>
      </c>
      <c r="D41" s="581" t="s">
        <v>0</v>
      </c>
      <c r="E41" s="581" t="s">
        <v>42</v>
      </c>
      <c r="F41" s="582">
        <v>1.38</v>
      </c>
      <c r="G41" s="583">
        <v>0.6</v>
      </c>
      <c r="H41" s="584">
        <f>1100*5</f>
        <v>5500</v>
      </c>
      <c r="I41" s="584">
        <f>1045+1040+902+800+1056+610</f>
        <v>5453</v>
      </c>
      <c r="J41" s="585">
        <v>805</v>
      </c>
      <c r="K41" s="585">
        <f>1090+1095+1096+1091+1094+1092+1093+1094+1095+545</f>
        <v>10385</v>
      </c>
      <c r="L41" s="586"/>
      <c r="M41" s="586">
        <v>8</v>
      </c>
      <c r="N41" s="586">
        <v>6</v>
      </c>
      <c r="O41" s="587">
        <v>850</v>
      </c>
      <c r="P41" s="576">
        <f t="shared" si="6"/>
        <v>1.0181372549019607</v>
      </c>
      <c r="Q41" s="588">
        <f t="shared" si="7"/>
        <v>0</v>
      </c>
      <c r="R41" s="589">
        <f t="shared" si="8"/>
        <v>12.166666666666666</v>
      </c>
      <c r="S41" s="577">
        <v>12</v>
      </c>
      <c r="T41" s="577">
        <v>10</v>
      </c>
      <c r="U41" s="590" t="s">
        <v>1074</v>
      </c>
      <c r="V41" s="534" t="s">
        <v>706</v>
      </c>
    </row>
    <row r="42" spans="1:22" ht="24.95" customHeight="1">
      <c r="A42" s="434">
        <v>11</v>
      </c>
      <c r="B42" s="434">
        <v>17</v>
      </c>
      <c r="C42" s="581" t="s">
        <v>1073</v>
      </c>
      <c r="D42" s="581" t="s">
        <v>43</v>
      </c>
      <c r="E42" s="581" t="s">
        <v>42</v>
      </c>
      <c r="F42" s="582">
        <v>1.38</v>
      </c>
      <c r="G42" s="583">
        <v>0.6</v>
      </c>
      <c r="H42" s="584">
        <f>1100*5</f>
        <v>5500</v>
      </c>
      <c r="I42" s="584">
        <f>890+1045+1008+1035+670+1047</f>
        <v>5695</v>
      </c>
      <c r="J42" s="585">
        <v>805</v>
      </c>
      <c r="K42" s="585">
        <f>1091+1092+1096+1090+1091+1092+1095+1091+1092</f>
        <v>9830</v>
      </c>
      <c r="L42" s="586"/>
      <c r="M42" s="586">
        <v>8</v>
      </c>
      <c r="N42" s="586">
        <v>6</v>
      </c>
      <c r="O42" s="587">
        <v>850</v>
      </c>
      <c r="P42" s="576">
        <f t="shared" ref="P42:P51" si="9">K42/(O42*12)</f>
        <v>0.96372549019607845</v>
      </c>
      <c r="Q42" s="588">
        <f t="shared" ref="Q42:Q51" si="10">L42/(K42+L42)</f>
        <v>0</v>
      </c>
      <c r="R42" s="589">
        <f t="shared" ref="R42:R51" si="11">S42+T42/60</f>
        <v>11.633333333333333</v>
      </c>
      <c r="S42" s="577">
        <v>11</v>
      </c>
      <c r="T42" s="577">
        <v>38</v>
      </c>
      <c r="U42" s="590" t="s">
        <v>1075</v>
      </c>
      <c r="V42" s="534" t="s">
        <v>709</v>
      </c>
    </row>
    <row r="43" spans="1:22" ht="31.5" customHeight="1">
      <c r="A43" s="434">
        <v>11</v>
      </c>
      <c r="B43" s="434">
        <v>18</v>
      </c>
      <c r="C43" s="581" t="s">
        <v>1088</v>
      </c>
      <c r="D43" s="581" t="s">
        <v>0</v>
      </c>
      <c r="E43" s="581" t="s">
        <v>42</v>
      </c>
      <c r="F43" s="582">
        <v>1.38</v>
      </c>
      <c r="G43" s="583">
        <v>0.6</v>
      </c>
      <c r="H43" s="584">
        <f>1100*4</f>
        <v>4400</v>
      </c>
      <c r="I43" s="584">
        <f>1028+1006+889+620+902</f>
        <v>4445</v>
      </c>
      <c r="J43" s="585">
        <v>805</v>
      </c>
      <c r="K43" s="585">
        <f>1090+1093+1095+1096*2+1097+1094+1095</f>
        <v>8756</v>
      </c>
      <c r="L43" s="586">
        <f>51</f>
        <v>51</v>
      </c>
      <c r="M43" s="586">
        <v>8</v>
      </c>
      <c r="N43" s="586">
        <v>6</v>
      </c>
      <c r="O43" s="587">
        <v>850</v>
      </c>
      <c r="P43" s="576">
        <f>K43/(O43*12)</f>
        <v>0.85843137254901958</v>
      </c>
      <c r="Q43" s="588">
        <f>L43/(K43+L43)</f>
        <v>5.7908481889406152E-3</v>
      </c>
      <c r="R43" s="589">
        <f>S43+T43/60</f>
        <v>10.816666666666666</v>
      </c>
      <c r="S43" s="577">
        <v>10</v>
      </c>
      <c r="T43" s="577">
        <v>49</v>
      </c>
      <c r="U43" s="590" t="s">
        <v>1089</v>
      </c>
      <c r="V43" s="534" t="s">
        <v>706</v>
      </c>
    </row>
    <row r="44" spans="1:22" ht="24.95" customHeight="1">
      <c r="A44" s="434">
        <v>11</v>
      </c>
      <c r="B44" s="434">
        <v>18</v>
      </c>
      <c r="C44" s="581" t="s">
        <v>1088</v>
      </c>
      <c r="D44" s="581" t="s">
        <v>43</v>
      </c>
      <c r="E44" s="581" t="s">
        <v>42</v>
      </c>
      <c r="F44" s="582">
        <v>1.38</v>
      </c>
      <c r="G44" s="583">
        <v>0.6</v>
      </c>
      <c r="H44" s="584">
        <f>1100*5</f>
        <v>5500</v>
      </c>
      <c r="I44" s="584">
        <f>900+1038+878+973+1061</f>
        <v>4850</v>
      </c>
      <c r="J44" s="585">
        <v>805</v>
      </c>
      <c r="K44" s="585">
        <f>1091+1090+1095+1093+895+1094+1090+1094</f>
        <v>8542</v>
      </c>
      <c r="L44" s="586">
        <f>68</f>
        <v>68</v>
      </c>
      <c r="M44" s="586">
        <v>8</v>
      </c>
      <c r="N44" s="586">
        <v>6</v>
      </c>
      <c r="O44" s="587">
        <v>850</v>
      </c>
      <c r="P44" s="576">
        <f t="shared" si="9"/>
        <v>0.83745098039215682</v>
      </c>
      <c r="Q44" s="588">
        <f t="shared" si="10"/>
        <v>7.8977932636469222E-3</v>
      </c>
      <c r="R44" s="589">
        <f t="shared" si="11"/>
        <v>9.9166666666666661</v>
      </c>
      <c r="S44" s="577">
        <v>9</v>
      </c>
      <c r="T44" s="577">
        <v>55</v>
      </c>
      <c r="U44" s="559" t="s">
        <v>1090</v>
      </c>
      <c r="V44" s="534" t="s">
        <v>709</v>
      </c>
    </row>
    <row r="45" spans="1:22" ht="31.5" customHeight="1">
      <c r="A45" s="434">
        <v>11</v>
      </c>
      <c r="B45" s="434">
        <v>18</v>
      </c>
      <c r="C45" s="581" t="s">
        <v>1088</v>
      </c>
      <c r="D45" s="581" t="s">
        <v>43</v>
      </c>
      <c r="E45" s="581" t="s">
        <v>42</v>
      </c>
      <c r="F45" s="582">
        <v>1.1499999999999999</v>
      </c>
      <c r="G45" s="583">
        <v>0.6</v>
      </c>
      <c r="H45" s="584"/>
      <c r="I45" s="584"/>
      <c r="J45" s="585">
        <v>805</v>
      </c>
      <c r="K45" s="585">
        <f>1090+1092</f>
        <v>2182</v>
      </c>
      <c r="L45" s="586"/>
      <c r="M45" s="586">
        <v>8</v>
      </c>
      <c r="N45" s="586">
        <v>6</v>
      </c>
      <c r="O45" s="587">
        <v>850</v>
      </c>
      <c r="P45" s="576">
        <f>K45/(O45*12)</f>
        <v>0.21392156862745099</v>
      </c>
      <c r="Q45" s="588">
        <f>L45/(K45+L45)</f>
        <v>0</v>
      </c>
      <c r="R45" s="589">
        <f>S45+T45/60</f>
        <v>2.6666666666666665</v>
      </c>
      <c r="S45" s="577">
        <v>2</v>
      </c>
      <c r="T45" s="577">
        <v>40</v>
      </c>
      <c r="U45" s="559" t="s">
        <v>1091</v>
      </c>
      <c r="V45" s="534" t="s">
        <v>709</v>
      </c>
    </row>
    <row r="46" spans="1:22" ht="24.95" customHeight="1">
      <c r="A46" s="434">
        <v>11</v>
      </c>
      <c r="B46" s="434">
        <v>19</v>
      </c>
      <c r="C46" s="581" t="s">
        <v>1102</v>
      </c>
      <c r="D46" s="581" t="s">
        <v>0</v>
      </c>
      <c r="E46" s="581" t="s">
        <v>42</v>
      </c>
      <c r="F46" s="582">
        <v>1.1499999999999999</v>
      </c>
      <c r="G46" s="583">
        <v>0.6</v>
      </c>
      <c r="H46" s="584">
        <f>1100*5</f>
        <v>5500</v>
      </c>
      <c r="I46" s="584">
        <f>1026+1057+595+1091+1025</f>
        <v>4794</v>
      </c>
      <c r="J46" s="585">
        <v>805</v>
      </c>
      <c r="K46" s="585">
        <f>1090+1095+1093+1092+1099+1094+1096+1095+1093</f>
        <v>9847</v>
      </c>
      <c r="L46" s="586"/>
      <c r="M46" s="586">
        <v>8</v>
      </c>
      <c r="N46" s="586">
        <v>6</v>
      </c>
      <c r="O46" s="587">
        <v>850</v>
      </c>
      <c r="P46" s="576">
        <f t="shared" si="9"/>
        <v>0.96539215686274504</v>
      </c>
      <c r="Q46" s="588">
        <f t="shared" si="10"/>
        <v>0</v>
      </c>
      <c r="R46" s="589">
        <f t="shared" si="11"/>
        <v>11.816666666666666</v>
      </c>
      <c r="S46" s="577">
        <v>11</v>
      </c>
      <c r="T46" s="577">
        <v>49</v>
      </c>
      <c r="U46" s="590" t="s">
        <v>1103</v>
      </c>
      <c r="V46" s="534" t="s">
        <v>706</v>
      </c>
    </row>
    <row r="47" spans="1:22" ht="24.95" customHeight="1">
      <c r="A47" s="434">
        <v>11</v>
      </c>
      <c r="B47" s="434">
        <v>19</v>
      </c>
      <c r="C47" s="581" t="s">
        <v>1102</v>
      </c>
      <c r="D47" s="581" t="s">
        <v>43</v>
      </c>
      <c r="E47" s="581" t="s">
        <v>42</v>
      </c>
      <c r="F47" s="582">
        <v>1.1499999999999999</v>
      </c>
      <c r="G47" s="583">
        <v>0.6</v>
      </c>
      <c r="H47" s="584">
        <f>1100*5</f>
        <v>5500</v>
      </c>
      <c r="I47" s="584">
        <f>900+1027+1039+1045+1048+1031</f>
        <v>6090</v>
      </c>
      <c r="J47" s="585">
        <v>805</v>
      </c>
      <c r="K47" s="534">
        <f>1091+1095*2+1092+1093+1092+1095+1090+1093</f>
        <v>9836</v>
      </c>
      <c r="L47" s="586"/>
      <c r="M47" s="586">
        <v>8</v>
      </c>
      <c r="N47" s="586">
        <v>6</v>
      </c>
      <c r="O47" s="587">
        <v>850</v>
      </c>
      <c r="P47" s="576">
        <f t="shared" si="9"/>
        <v>0.96431372549019612</v>
      </c>
      <c r="Q47" s="588">
        <f t="shared" si="10"/>
        <v>0</v>
      </c>
      <c r="R47" s="589">
        <f t="shared" si="11"/>
        <v>11.8</v>
      </c>
      <c r="S47" s="577">
        <v>11</v>
      </c>
      <c r="T47" s="577">
        <v>48</v>
      </c>
      <c r="U47" s="590" t="s">
        <v>1104</v>
      </c>
      <c r="V47" s="534" t="s">
        <v>709</v>
      </c>
    </row>
    <row r="48" spans="1:22" ht="24.95" customHeight="1">
      <c r="A48" s="434">
        <v>11</v>
      </c>
      <c r="B48" s="434">
        <v>20</v>
      </c>
      <c r="C48" s="581" t="s">
        <v>1115</v>
      </c>
      <c r="D48" s="581" t="s">
        <v>0</v>
      </c>
      <c r="E48" s="581" t="s">
        <v>42</v>
      </c>
      <c r="F48" s="582">
        <v>1.1499999999999999</v>
      </c>
      <c r="G48" s="583">
        <v>0.6</v>
      </c>
      <c r="H48" s="584">
        <f>1100*4</f>
        <v>4400</v>
      </c>
      <c r="I48" s="584">
        <f>1045+1042+1041+1043+902</f>
        <v>5073</v>
      </c>
      <c r="J48" s="585">
        <v>805</v>
      </c>
      <c r="K48" s="585">
        <f>1090+1093+1094+1091+1097+1091+1090+1095+1099</f>
        <v>9840</v>
      </c>
      <c r="L48" s="586"/>
      <c r="M48" s="586">
        <v>8</v>
      </c>
      <c r="N48" s="586">
        <v>6</v>
      </c>
      <c r="O48" s="587">
        <v>850</v>
      </c>
      <c r="P48" s="576">
        <f t="shared" si="9"/>
        <v>0.96470588235294119</v>
      </c>
      <c r="Q48" s="588">
        <f t="shared" si="10"/>
        <v>0</v>
      </c>
      <c r="R48" s="589">
        <f t="shared" si="11"/>
        <v>11.816666666666666</v>
      </c>
      <c r="S48" s="577">
        <v>11</v>
      </c>
      <c r="T48" s="577">
        <v>49</v>
      </c>
      <c r="U48" s="590" t="s">
        <v>1116</v>
      </c>
      <c r="V48" s="534" t="s">
        <v>706</v>
      </c>
    </row>
    <row r="49" spans="1:22" ht="24.95" customHeight="1">
      <c r="A49" s="434">
        <v>11</v>
      </c>
      <c r="B49" s="434">
        <v>20</v>
      </c>
      <c r="C49" s="581" t="s">
        <v>1115</v>
      </c>
      <c r="D49" s="581" t="s">
        <v>43</v>
      </c>
      <c r="E49" s="581" t="s">
        <v>42</v>
      </c>
      <c r="F49" s="582">
        <v>1.1499999999999999</v>
      </c>
      <c r="G49" s="583">
        <v>0.6</v>
      </c>
      <c r="H49" s="584">
        <f>1100*5</f>
        <v>5500</v>
      </c>
      <c r="I49" s="584">
        <f>1036+1090+1068+933+1035</f>
        <v>5162</v>
      </c>
      <c r="J49" s="585">
        <v>805</v>
      </c>
      <c r="K49" s="585">
        <f>1090+1092+1091+1095+1094+1093+1090+1096+1091</f>
        <v>9832</v>
      </c>
      <c r="L49" s="586"/>
      <c r="M49" s="586">
        <v>8</v>
      </c>
      <c r="N49" s="586">
        <v>6</v>
      </c>
      <c r="O49" s="587">
        <v>850</v>
      </c>
      <c r="P49" s="576">
        <f t="shared" si="9"/>
        <v>0.96392156862745093</v>
      </c>
      <c r="Q49" s="588">
        <f t="shared" si="10"/>
        <v>0</v>
      </c>
      <c r="R49" s="589">
        <f t="shared" si="11"/>
        <v>11.916666666666666</v>
      </c>
      <c r="S49" s="577">
        <v>11</v>
      </c>
      <c r="T49" s="577">
        <v>55</v>
      </c>
      <c r="U49" s="590" t="s">
        <v>1117</v>
      </c>
      <c r="V49" s="534" t="s">
        <v>1118</v>
      </c>
    </row>
    <row r="50" spans="1:22" ht="24.95" customHeight="1">
      <c r="A50" s="434">
        <v>11</v>
      </c>
      <c r="B50" s="434">
        <v>21</v>
      </c>
      <c r="C50" s="581" t="s">
        <v>1143</v>
      </c>
      <c r="D50" s="581" t="s">
        <v>0</v>
      </c>
      <c r="E50" s="581" t="s">
        <v>42</v>
      </c>
      <c r="F50" s="582">
        <v>1.1499999999999999</v>
      </c>
      <c r="G50" s="583">
        <v>0.6</v>
      </c>
      <c r="H50" s="584">
        <f>1100*4</f>
        <v>4400</v>
      </c>
      <c r="I50" s="584">
        <f>1026+1030+912+907+1006</f>
        <v>4881</v>
      </c>
      <c r="J50" s="585">
        <v>805</v>
      </c>
      <c r="K50" s="585">
        <f>1090+1095+1092+1094+1098</f>
        <v>5469</v>
      </c>
      <c r="L50" s="586"/>
      <c r="M50" s="586">
        <v>8</v>
      </c>
      <c r="N50" s="586">
        <v>6</v>
      </c>
      <c r="O50" s="587">
        <v>850</v>
      </c>
      <c r="P50" s="576">
        <f t="shared" si="9"/>
        <v>0.53617647058823525</v>
      </c>
      <c r="Q50" s="588">
        <f t="shared" si="10"/>
        <v>0</v>
      </c>
      <c r="R50" s="589">
        <f t="shared" si="11"/>
        <v>6.6166666666666671</v>
      </c>
      <c r="S50" s="577">
        <v>6</v>
      </c>
      <c r="T50" s="577">
        <v>37</v>
      </c>
      <c r="U50" s="559" t="s">
        <v>1144</v>
      </c>
      <c r="V50" s="534" t="s">
        <v>1145</v>
      </c>
    </row>
    <row r="51" spans="1:22" ht="24.95" customHeight="1">
      <c r="A51" s="434">
        <v>11</v>
      </c>
      <c r="B51" s="434">
        <v>21</v>
      </c>
      <c r="C51" s="581" t="s">
        <v>1143</v>
      </c>
      <c r="D51" s="581" t="s">
        <v>0</v>
      </c>
      <c r="E51" s="581" t="s">
        <v>42</v>
      </c>
      <c r="F51" s="582">
        <v>0.8</v>
      </c>
      <c r="G51" s="583">
        <v>0.6</v>
      </c>
      <c r="H51" s="584"/>
      <c r="I51" s="584"/>
      <c r="J51" s="585">
        <v>715</v>
      </c>
      <c r="K51" s="534">
        <f>1000+1003+1005+1002</f>
        <v>4010</v>
      </c>
      <c r="L51" s="586"/>
      <c r="M51" s="586">
        <v>5</v>
      </c>
      <c r="N51" s="586">
        <v>3</v>
      </c>
      <c r="O51" s="587">
        <v>750</v>
      </c>
      <c r="P51" s="576">
        <f t="shared" si="9"/>
        <v>0.44555555555555554</v>
      </c>
      <c r="Q51" s="588">
        <f t="shared" si="10"/>
        <v>0</v>
      </c>
      <c r="R51" s="589">
        <f t="shared" si="11"/>
        <v>5.8666666666666671</v>
      </c>
      <c r="S51" s="577">
        <v>5</v>
      </c>
      <c r="T51" s="577">
        <v>52</v>
      </c>
      <c r="U51" s="590" t="s">
        <v>1146</v>
      </c>
      <c r="V51" s="534" t="s">
        <v>1145</v>
      </c>
    </row>
    <row r="52" spans="1:22" ht="24.95" customHeight="1">
      <c r="A52" s="434">
        <v>11</v>
      </c>
      <c r="B52" s="434">
        <v>21</v>
      </c>
      <c r="C52" s="581" t="s">
        <v>1143</v>
      </c>
      <c r="D52" s="581" t="s">
        <v>43</v>
      </c>
      <c r="E52" s="581" t="s">
        <v>42</v>
      </c>
      <c r="F52" s="582">
        <v>0.8</v>
      </c>
      <c r="G52" s="583">
        <v>0.6</v>
      </c>
      <c r="H52" s="584">
        <f>1100*4</f>
        <v>4400</v>
      </c>
      <c r="I52" s="584">
        <f>1092+1038+900+890</f>
        <v>3920</v>
      </c>
      <c r="J52" s="585">
        <v>715</v>
      </c>
      <c r="K52" s="585">
        <f>1002+1005+1001+1000+1005+1001+1005+1001</f>
        <v>8020</v>
      </c>
      <c r="L52" s="586"/>
      <c r="M52" s="586">
        <v>5</v>
      </c>
      <c r="N52" s="586">
        <v>3</v>
      </c>
      <c r="O52" s="587">
        <v>750</v>
      </c>
      <c r="P52" s="576">
        <f t="shared" ref="P52:P60" si="12">K52/(O52*12)</f>
        <v>0.89111111111111108</v>
      </c>
      <c r="Q52" s="588">
        <f t="shared" ref="Q52:Q60" si="13">L52/(K52+L52)</f>
        <v>0</v>
      </c>
      <c r="R52" s="589">
        <f t="shared" ref="R52:R60" si="14">S52+T52/60</f>
        <v>11.333333333333334</v>
      </c>
      <c r="S52" s="577">
        <v>11</v>
      </c>
      <c r="T52" s="577">
        <v>20</v>
      </c>
      <c r="U52" s="590" t="s">
        <v>1147</v>
      </c>
      <c r="V52" s="534" t="s">
        <v>709</v>
      </c>
    </row>
    <row r="53" spans="1:22" ht="24.95" customHeight="1">
      <c r="A53" s="434">
        <v>11</v>
      </c>
      <c r="B53" s="434">
        <v>22</v>
      </c>
      <c r="C53" s="581" t="s">
        <v>1161</v>
      </c>
      <c r="D53" s="581" t="s">
        <v>0</v>
      </c>
      <c r="E53" s="581" t="s">
        <v>42</v>
      </c>
      <c r="F53" s="582">
        <v>0.8</v>
      </c>
      <c r="G53" s="583">
        <v>0.6</v>
      </c>
      <c r="H53" s="584">
        <f>1100*5</f>
        <v>5500</v>
      </c>
      <c r="I53" s="584">
        <f>889+949+930+902+1045</f>
        <v>4715</v>
      </c>
      <c r="J53" s="585">
        <v>715</v>
      </c>
      <c r="K53" s="585">
        <f>1000+1006+1005+1006+1007+1005+1004+1006+1009</f>
        <v>9048</v>
      </c>
      <c r="L53" s="586"/>
      <c r="M53" s="586">
        <v>5</v>
      </c>
      <c r="N53" s="586">
        <v>3</v>
      </c>
      <c r="O53" s="587">
        <v>750</v>
      </c>
      <c r="P53" s="576">
        <f t="shared" si="12"/>
        <v>1.0053333333333334</v>
      </c>
      <c r="Q53" s="588">
        <f t="shared" si="13"/>
        <v>0</v>
      </c>
      <c r="R53" s="589">
        <f t="shared" si="14"/>
        <v>12.566666666666666</v>
      </c>
      <c r="S53" s="577">
        <v>12</v>
      </c>
      <c r="T53" s="577">
        <v>34</v>
      </c>
      <c r="U53" s="590" t="s">
        <v>698</v>
      </c>
      <c r="V53" s="534" t="s">
        <v>679</v>
      </c>
    </row>
    <row r="54" spans="1:22" ht="24.95" customHeight="1">
      <c r="A54" s="434">
        <v>11</v>
      </c>
      <c r="B54" s="434">
        <v>22</v>
      </c>
      <c r="C54" s="581" t="s">
        <v>1161</v>
      </c>
      <c r="D54" s="581" t="s">
        <v>43</v>
      </c>
      <c r="E54" s="581" t="s">
        <v>42</v>
      </c>
      <c r="F54" s="582">
        <v>0.8</v>
      </c>
      <c r="G54" s="583">
        <v>0.6</v>
      </c>
      <c r="H54" s="584"/>
      <c r="I54" s="584"/>
      <c r="J54" s="585">
        <v>715</v>
      </c>
      <c r="K54" s="585">
        <f>1005+1000+1004</f>
        <v>3009</v>
      </c>
      <c r="L54" s="586"/>
      <c r="M54" s="586">
        <v>5</v>
      </c>
      <c r="N54" s="586">
        <v>3</v>
      </c>
      <c r="O54" s="587">
        <v>750</v>
      </c>
      <c r="P54" s="576">
        <f t="shared" si="12"/>
        <v>0.33433333333333332</v>
      </c>
      <c r="Q54" s="588">
        <f t="shared" si="13"/>
        <v>0</v>
      </c>
      <c r="R54" s="589">
        <f t="shared" si="14"/>
        <v>4.3499999999999996</v>
      </c>
      <c r="S54" s="577">
        <v>4</v>
      </c>
      <c r="T54" s="577">
        <v>21</v>
      </c>
      <c r="U54" s="559" t="s">
        <v>1162</v>
      </c>
      <c r="V54" s="534" t="s">
        <v>709</v>
      </c>
    </row>
    <row r="55" spans="1:22" ht="24.95" customHeight="1">
      <c r="A55" s="434">
        <v>11</v>
      </c>
      <c r="B55" s="434">
        <v>22</v>
      </c>
      <c r="C55" s="581" t="s">
        <v>1161</v>
      </c>
      <c r="D55" s="581" t="s">
        <v>43</v>
      </c>
      <c r="E55" s="581" t="s">
        <v>42</v>
      </c>
      <c r="F55" s="582">
        <v>1.85</v>
      </c>
      <c r="G55" s="583">
        <v>0.3</v>
      </c>
      <c r="H55" s="584">
        <f>1100*3</f>
        <v>3300</v>
      </c>
      <c r="I55" s="584">
        <f>1041+900</f>
        <v>1941</v>
      </c>
      <c r="J55" s="585">
        <v>715</v>
      </c>
      <c r="K55" s="534">
        <f>1002+1005+1002*2+708</f>
        <v>4719</v>
      </c>
      <c r="L55" s="586"/>
      <c r="M55" s="586">
        <v>5</v>
      </c>
      <c r="N55" s="586">
        <v>3</v>
      </c>
      <c r="O55" s="587">
        <v>750</v>
      </c>
      <c r="P55" s="576">
        <f t="shared" si="12"/>
        <v>0.52433333333333332</v>
      </c>
      <c r="Q55" s="588">
        <f t="shared" si="13"/>
        <v>0</v>
      </c>
      <c r="R55" s="589">
        <f t="shared" si="14"/>
        <v>7.2166666666666668</v>
      </c>
      <c r="S55" s="577">
        <v>7</v>
      </c>
      <c r="T55" s="577">
        <v>13</v>
      </c>
      <c r="U55" s="590" t="s">
        <v>1163</v>
      </c>
      <c r="V55" s="534" t="s">
        <v>709</v>
      </c>
    </row>
    <row r="56" spans="1:22" ht="24.95" customHeight="1">
      <c r="A56" s="581">
        <v>11</v>
      </c>
      <c r="B56" s="581">
        <v>23</v>
      </c>
      <c r="C56" s="581" t="s">
        <v>667</v>
      </c>
      <c r="D56" s="581" t="s">
        <v>0</v>
      </c>
      <c r="E56" s="581" t="s">
        <v>42</v>
      </c>
      <c r="F56" s="582"/>
      <c r="G56" s="583" t="s">
        <v>633</v>
      </c>
      <c r="H56" s="584"/>
      <c r="I56" s="584"/>
      <c r="J56" s="585"/>
      <c r="K56" s="534"/>
      <c r="L56" s="586"/>
      <c r="M56" s="586"/>
      <c r="N56" s="586"/>
      <c r="O56" s="587">
        <v>750</v>
      </c>
      <c r="P56" s="576">
        <f>K56/(O56*12)</f>
        <v>0</v>
      </c>
      <c r="Q56" s="588" t="e">
        <f>L56/(K56+L56)</f>
        <v>#DIV/0!</v>
      </c>
      <c r="R56" s="589">
        <f>S56+T56/60</f>
        <v>0</v>
      </c>
      <c r="S56" s="577"/>
      <c r="T56" s="577"/>
      <c r="U56" s="559"/>
      <c r="V56" s="534"/>
    </row>
    <row r="57" spans="1:22" ht="24.95" customHeight="1">
      <c r="A57" s="581">
        <v>11</v>
      </c>
      <c r="B57" s="581">
        <v>23</v>
      </c>
      <c r="C57" s="581" t="s">
        <v>667</v>
      </c>
      <c r="D57" s="581" t="s">
        <v>43</v>
      </c>
      <c r="E57" s="581" t="s">
        <v>42</v>
      </c>
      <c r="F57" s="582"/>
      <c r="G57" s="583" t="s">
        <v>633</v>
      </c>
      <c r="H57" s="584"/>
      <c r="I57" s="584"/>
      <c r="J57" s="585"/>
      <c r="K57" s="585"/>
      <c r="L57" s="586"/>
      <c r="M57" s="586"/>
      <c r="N57" s="586"/>
      <c r="O57" s="587">
        <v>750</v>
      </c>
      <c r="P57" s="576">
        <f t="shared" si="12"/>
        <v>0</v>
      </c>
      <c r="Q57" s="588" t="e">
        <f t="shared" si="13"/>
        <v>#DIV/0!</v>
      </c>
      <c r="R57" s="589">
        <f t="shared" si="14"/>
        <v>0</v>
      </c>
      <c r="S57" s="577"/>
      <c r="T57" s="577"/>
      <c r="U57" s="559"/>
      <c r="V57" s="534"/>
    </row>
    <row r="58" spans="1:22" ht="24.95" customHeight="1">
      <c r="A58" s="581">
        <v>11</v>
      </c>
      <c r="B58" s="581">
        <v>24</v>
      </c>
      <c r="C58" s="581" t="s">
        <v>1192</v>
      </c>
      <c r="D58" s="581" t="s">
        <v>0</v>
      </c>
      <c r="E58" s="581" t="s">
        <v>42</v>
      </c>
      <c r="F58" s="582"/>
      <c r="G58" s="583" t="s">
        <v>633</v>
      </c>
      <c r="H58" s="584"/>
      <c r="I58" s="584"/>
      <c r="J58" s="585"/>
      <c r="K58" s="585"/>
      <c r="L58" s="586"/>
      <c r="M58" s="586"/>
      <c r="N58" s="586"/>
      <c r="O58" s="587">
        <v>750</v>
      </c>
      <c r="P58" s="576">
        <f t="shared" si="12"/>
        <v>0</v>
      </c>
      <c r="Q58" s="588" t="e">
        <f t="shared" si="13"/>
        <v>#DIV/0!</v>
      </c>
      <c r="R58" s="589">
        <f t="shared" si="14"/>
        <v>0</v>
      </c>
      <c r="S58" s="577"/>
      <c r="T58" s="577"/>
      <c r="U58" s="559"/>
      <c r="V58" s="534"/>
    </row>
    <row r="59" spans="1:22" ht="24.95" customHeight="1">
      <c r="A59" s="581">
        <v>11</v>
      </c>
      <c r="B59" s="581">
        <v>24</v>
      </c>
      <c r="C59" s="581" t="s">
        <v>1192</v>
      </c>
      <c r="D59" s="581" t="s">
        <v>43</v>
      </c>
      <c r="E59" s="581" t="s">
        <v>42</v>
      </c>
      <c r="F59" s="582"/>
      <c r="G59" s="583" t="s">
        <v>633</v>
      </c>
      <c r="H59" s="584"/>
      <c r="I59" s="584"/>
      <c r="J59" s="585"/>
      <c r="K59" s="585"/>
      <c r="L59" s="586"/>
      <c r="M59" s="586"/>
      <c r="N59" s="586"/>
      <c r="O59" s="587">
        <v>750</v>
      </c>
      <c r="P59" s="576">
        <f t="shared" si="12"/>
        <v>0</v>
      </c>
      <c r="Q59" s="588" t="e">
        <f t="shared" si="13"/>
        <v>#DIV/0!</v>
      </c>
      <c r="R59" s="589">
        <f t="shared" si="14"/>
        <v>0</v>
      </c>
      <c r="S59" s="577"/>
      <c r="T59" s="577"/>
      <c r="U59" s="559"/>
      <c r="V59" s="534"/>
    </row>
    <row r="60" spans="1:22" ht="24.95" customHeight="1">
      <c r="A60" s="581">
        <v>11</v>
      </c>
      <c r="B60" s="581">
        <v>25</v>
      </c>
      <c r="C60" s="581" t="s">
        <v>670</v>
      </c>
      <c r="D60" s="581" t="s">
        <v>0</v>
      </c>
      <c r="E60" s="581" t="s">
        <v>42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>
        <v>750</v>
      </c>
      <c r="P60" s="576">
        <f t="shared" si="12"/>
        <v>0</v>
      </c>
      <c r="Q60" s="588" t="e">
        <f t="shared" si="13"/>
        <v>#DIV/0!</v>
      </c>
      <c r="R60" s="589">
        <f t="shared" si="14"/>
        <v>0</v>
      </c>
      <c r="S60" s="577"/>
      <c r="T60" s="577"/>
      <c r="U60" s="559"/>
      <c r="V60" s="534"/>
    </row>
    <row r="61" spans="1:22" ht="24.95" customHeight="1">
      <c r="A61" s="581">
        <v>11</v>
      </c>
      <c r="B61" s="581">
        <v>25</v>
      </c>
      <c r="C61" s="581" t="s">
        <v>670</v>
      </c>
      <c r="D61" s="581" t="s">
        <v>43</v>
      </c>
      <c r="E61" s="581" t="s">
        <v>42</v>
      </c>
      <c r="F61" s="582"/>
      <c r="G61" s="583" t="s">
        <v>633</v>
      </c>
      <c r="H61" s="584"/>
      <c r="I61" s="584"/>
      <c r="J61" s="585"/>
      <c r="K61" s="585"/>
      <c r="L61" s="586"/>
      <c r="M61" s="586"/>
      <c r="N61" s="586"/>
      <c r="O61" s="587">
        <v>750</v>
      </c>
      <c r="P61" s="576">
        <f t="shared" ref="P61:P71" si="15">K61/(O61*12)</f>
        <v>0</v>
      </c>
      <c r="Q61" s="588" t="e">
        <f t="shared" ref="Q61:Q71" si="16">L61/(K61+L61)</f>
        <v>#DIV/0!</v>
      </c>
      <c r="R61" s="589">
        <f t="shared" ref="R61:R71" si="17">S61+T61/60</f>
        <v>0</v>
      </c>
      <c r="S61" s="577"/>
      <c r="T61" s="577"/>
      <c r="U61" s="559"/>
      <c r="V61" s="534"/>
    </row>
    <row r="62" spans="1:22" ht="24.95" customHeight="1">
      <c r="A62" s="581">
        <v>11</v>
      </c>
      <c r="B62" s="581">
        <v>26</v>
      </c>
      <c r="C62" s="581" t="s">
        <v>671</v>
      </c>
      <c r="D62" s="581" t="s">
        <v>0</v>
      </c>
      <c r="E62" s="581" t="s">
        <v>42</v>
      </c>
      <c r="F62" s="582"/>
      <c r="G62" s="583" t="s">
        <v>633</v>
      </c>
      <c r="H62" s="584"/>
      <c r="I62" s="584"/>
      <c r="J62" s="585"/>
      <c r="K62" s="585"/>
      <c r="L62" s="586"/>
      <c r="M62" s="586"/>
      <c r="N62" s="586"/>
      <c r="O62" s="587">
        <v>750</v>
      </c>
      <c r="P62" s="576">
        <f>K62/(O62*12)</f>
        <v>0</v>
      </c>
      <c r="Q62" s="588" t="e">
        <f>L62/(K62+L62)</f>
        <v>#DIV/0!</v>
      </c>
      <c r="R62" s="589">
        <f>S62+T62/60</f>
        <v>0</v>
      </c>
      <c r="S62" s="577"/>
      <c r="T62" s="577"/>
      <c r="U62" s="559"/>
      <c r="V62" s="534"/>
    </row>
    <row r="63" spans="1:22" ht="24.95" customHeight="1">
      <c r="A63" s="581">
        <v>11</v>
      </c>
      <c r="B63" s="581">
        <v>26</v>
      </c>
      <c r="C63" s="581" t="s">
        <v>671</v>
      </c>
      <c r="D63" s="581" t="s">
        <v>43</v>
      </c>
      <c r="E63" s="581" t="s">
        <v>42</v>
      </c>
      <c r="F63" s="582"/>
      <c r="G63" s="583" t="s">
        <v>633</v>
      </c>
      <c r="H63" s="584"/>
      <c r="I63" s="584"/>
      <c r="J63" s="585"/>
      <c r="K63" s="585"/>
      <c r="L63" s="586"/>
      <c r="M63" s="586"/>
      <c r="N63" s="586"/>
      <c r="O63" s="587">
        <v>750</v>
      </c>
      <c r="P63" s="576">
        <f>K63/(O63*12)</f>
        <v>0</v>
      </c>
      <c r="Q63" s="588" t="e">
        <f>L63/(K63+L63)</f>
        <v>#DIV/0!</v>
      </c>
      <c r="R63" s="589">
        <f>S63+T63/60</f>
        <v>0</v>
      </c>
      <c r="S63" s="577"/>
      <c r="T63" s="577"/>
      <c r="U63" s="559"/>
      <c r="V63" s="534"/>
    </row>
    <row r="64" spans="1:22" ht="30.75" customHeight="1">
      <c r="A64" s="434">
        <v>11</v>
      </c>
      <c r="B64" s="434">
        <v>27</v>
      </c>
      <c r="C64" s="581" t="s">
        <v>1202</v>
      </c>
      <c r="D64" s="581" t="s">
        <v>0</v>
      </c>
      <c r="E64" s="581" t="s">
        <v>42</v>
      </c>
      <c r="F64" s="582">
        <v>1.38</v>
      </c>
      <c r="G64" s="583">
        <v>0.5</v>
      </c>
      <c r="H64" s="584">
        <f>1100*5</f>
        <v>5500</v>
      </c>
      <c r="I64" s="584">
        <f>890+1037+1012+902+899</f>
        <v>4740</v>
      </c>
      <c r="J64" s="585">
        <v>805</v>
      </c>
      <c r="K64" s="585">
        <f>1090+1095+1092+1099+1093+1091+1092</f>
        <v>7652</v>
      </c>
      <c r="L64" s="586">
        <v>73</v>
      </c>
      <c r="M64" s="586">
        <v>8</v>
      </c>
      <c r="N64" s="586">
        <v>6</v>
      </c>
      <c r="O64" s="587">
        <v>850</v>
      </c>
      <c r="P64" s="576">
        <f t="shared" si="15"/>
        <v>0.75019607843137259</v>
      </c>
      <c r="Q64" s="588">
        <f t="shared" si="16"/>
        <v>9.4498381877022655E-3</v>
      </c>
      <c r="R64" s="589">
        <f t="shared" si="17"/>
        <v>9.2666666666666675</v>
      </c>
      <c r="S64" s="577">
        <v>9</v>
      </c>
      <c r="T64" s="577">
        <v>16</v>
      </c>
      <c r="U64" s="559" t="s">
        <v>1226</v>
      </c>
      <c r="V64" s="534" t="s">
        <v>1203</v>
      </c>
    </row>
    <row r="65" spans="1:22" ht="24.95" customHeight="1">
      <c r="A65" s="434">
        <v>11</v>
      </c>
      <c r="B65" s="434">
        <v>27</v>
      </c>
      <c r="C65" s="581" t="s">
        <v>1202</v>
      </c>
      <c r="D65" s="581" t="s">
        <v>43</v>
      </c>
      <c r="E65" s="581" t="s">
        <v>42</v>
      </c>
      <c r="F65" s="582">
        <v>1.38</v>
      </c>
      <c r="G65" s="583">
        <v>0.5</v>
      </c>
      <c r="H65" s="584">
        <f>1100*6</f>
        <v>6600</v>
      </c>
      <c r="I65" s="584">
        <f>1008+1003+1045+763</f>
        <v>3819</v>
      </c>
      <c r="J65" s="585">
        <v>805</v>
      </c>
      <c r="K65" s="585">
        <f>1091+1095+1093+1094+1096+1092+1093+863+1090</f>
        <v>9607</v>
      </c>
      <c r="L65" s="586"/>
      <c r="M65" s="586">
        <v>8</v>
      </c>
      <c r="N65" s="586">
        <v>6</v>
      </c>
      <c r="O65" s="587">
        <v>850</v>
      </c>
      <c r="P65" s="576">
        <f>K65/(O65*12)</f>
        <v>0.94186274509803924</v>
      </c>
      <c r="Q65" s="588">
        <f>L65/(K65+L65)</f>
        <v>0</v>
      </c>
      <c r="R65" s="589">
        <f>S65+T65/60</f>
        <v>11.666666666666666</v>
      </c>
      <c r="S65" s="577">
        <v>11</v>
      </c>
      <c r="T65" s="577">
        <v>40</v>
      </c>
      <c r="U65" s="590" t="s">
        <v>1204</v>
      </c>
      <c r="V65" s="534" t="s">
        <v>1205</v>
      </c>
    </row>
    <row r="66" spans="1:22" ht="24.95" customHeight="1">
      <c r="A66" s="434">
        <v>11</v>
      </c>
      <c r="B66" s="434">
        <v>28</v>
      </c>
      <c r="C66" s="581" t="s">
        <v>1225</v>
      </c>
      <c r="D66" s="581" t="s">
        <v>0</v>
      </c>
      <c r="E66" s="581" t="s">
        <v>42</v>
      </c>
      <c r="F66" s="582">
        <v>1.38</v>
      </c>
      <c r="G66" s="583">
        <v>0.5</v>
      </c>
      <c r="H66" s="584">
        <f>1100*6</f>
        <v>6600</v>
      </c>
      <c r="I66" s="584">
        <f>1061+1055+1036+1028+1044</f>
        <v>5224</v>
      </c>
      <c r="J66" s="585">
        <v>805</v>
      </c>
      <c r="K66" s="534">
        <f>1090+1095+1096+1094+1091+1099+1094+1090+1094+1096</f>
        <v>10939</v>
      </c>
      <c r="L66" s="586"/>
      <c r="M66" s="586">
        <v>8</v>
      </c>
      <c r="N66" s="586">
        <v>6</v>
      </c>
      <c r="O66" s="587">
        <v>850</v>
      </c>
      <c r="P66" s="576">
        <f>K66/(O66*12)</f>
        <v>1.0724509803921569</v>
      </c>
      <c r="Q66" s="588">
        <f>L66/(K66+L66)</f>
        <v>0</v>
      </c>
      <c r="R66" s="589">
        <f>S66+T66/60</f>
        <v>12.9</v>
      </c>
      <c r="S66" s="577">
        <v>12</v>
      </c>
      <c r="T66" s="577">
        <v>54</v>
      </c>
      <c r="U66" s="559" t="s">
        <v>1227</v>
      </c>
      <c r="V66" s="534" t="s">
        <v>706</v>
      </c>
    </row>
    <row r="67" spans="1:22" ht="24.95" customHeight="1">
      <c r="A67" s="434">
        <v>11</v>
      </c>
      <c r="B67" s="434">
        <v>28</v>
      </c>
      <c r="C67" s="581" t="s">
        <v>1225</v>
      </c>
      <c r="D67" s="581" t="s">
        <v>43</v>
      </c>
      <c r="E67" s="581" t="s">
        <v>42</v>
      </c>
      <c r="F67" s="582">
        <v>1.38</v>
      </c>
      <c r="G67" s="583">
        <v>0.5</v>
      </c>
      <c r="H67" s="584">
        <f>1100*6</f>
        <v>6600</v>
      </c>
      <c r="I67" s="584">
        <f>902+780+1045</f>
        <v>2727</v>
      </c>
      <c r="J67" s="585">
        <v>805</v>
      </c>
      <c r="K67" s="534">
        <f>1090+1096+745+1092+1094+1095+1092+1093+1095</f>
        <v>9492</v>
      </c>
      <c r="L67" s="586"/>
      <c r="M67" s="586">
        <v>8</v>
      </c>
      <c r="N67" s="586">
        <v>6</v>
      </c>
      <c r="O67" s="587">
        <v>850</v>
      </c>
      <c r="P67" s="576">
        <f>K67/(O67*12)</f>
        <v>0.93058823529411761</v>
      </c>
      <c r="Q67" s="588">
        <f>L67/(K67+L67)</f>
        <v>0</v>
      </c>
      <c r="R67" s="589">
        <f>S67+T67/60</f>
        <v>11.233333333333333</v>
      </c>
      <c r="S67" s="577">
        <v>11</v>
      </c>
      <c r="T67" s="577">
        <v>14</v>
      </c>
      <c r="U67" s="590" t="s">
        <v>1228</v>
      </c>
      <c r="V67" s="534" t="s">
        <v>711</v>
      </c>
    </row>
    <row r="68" spans="1:22" ht="24.95" customHeight="1">
      <c r="A68" s="434">
        <v>11</v>
      </c>
      <c r="B68" s="434">
        <v>29</v>
      </c>
      <c r="C68" s="581" t="s">
        <v>1245</v>
      </c>
      <c r="D68" s="581" t="s">
        <v>0</v>
      </c>
      <c r="E68" s="581" t="s">
        <v>42</v>
      </c>
      <c r="F68" s="582">
        <v>1.38</v>
      </c>
      <c r="G68" s="583">
        <v>0.5</v>
      </c>
      <c r="H68" s="584">
        <f>1100*5</f>
        <v>5500</v>
      </c>
      <c r="I68" s="584">
        <f>1037+1025+1073+1039</f>
        <v>4174</v>
      </c>
      <c r="J68" s="585">
        <v>805</v>
      </c>
      <c r="K68" s="585">
        <f>1095+1099+1095+1097+1094+1096+1093+1092+1090</f>
        <v>9851</v>
      </c>
      <c r="L68" s="586"/>
      <c r="M68" s="586">
        <v>8</v>
      </c>
      <c r="N68" s="586">
        <v>6</v>
      </c>
      <c r="O68" s="587">
        <v>850</v>
      </c>
      <c r="P68" s="576">
        <f t="shared" si="15"/>
        <v>0.96578431372549023</v>
      </c>
      <c r="Q68" s="588">
        <f t="shared" si="16"/>
        <v>0</v>
      </c>
      <c r="R68" s="589">
        <f t="shared" si="17"/>
        <v>11.9</v>
      </c>
      <c r="S68" s="577">
        <v>11</v>
      </c>
      <c r="T68" s="577">
        <v>54</v>
      </c>
      <c r="U68" s="559" t="s">
        <v>1246</v>
      </c>
      <c r="V68" s="534" t="s">
        <v>706</v>
      </c>
    </row>
    <row r="69" spans="1:22" ht="24.95" customHeight="1">
      <c r="A69" s="434">
        <v>11</v>
      </c>
      <c r="B69" s="434">
        <v>29</v>
      </c>
      <c r="C69" s="581" t="s">
        <v>1245</v>
      </c>
      <c r="D69" s="581" t="s">
        <v>43</v>
      </c>
      <c r="E69" s="581" t="s">
        <v>42</v>
      </c>
      <c r="F69" s="582">
        <v>1.38</v>
      </c>
      <c r="G69" s="583">
        <v>0.5</v>
      </c>
      <c r="H69" s="584">
        <f>1100*6</f>
        <v>6600</v>
      </c>
      <c r="I69" s="584">
        <f>902+1045+1036+930</f>
        <v>3913</v>
      </c>
      <c r="J69" s="585">
        <v>805</v>
      </c>
      <c r="K69" s="534">
        <f>1090+1096+1093+1094+1092+1096+1095+1094+1095+1090</f>
        <v>10935</v>
      </c>
      <c r="L69" s="586"/>
      <c r="M69" s="586">
        <v>8</v>
      </c>
      <c r="N69" s="586">
        <v>6</v>
      </c>
      <c r="O69" s="587">
        <v>850</v>
      </c>
      <c r="P69" s="576">
        <f t="shared" si="15"/>
        <v>1.0720588235294117</v>
      </c>
      <c r="Q69" s="588">
        <f t="shared" si="16"/>
        <v>0</v>
      </c>
      <c r="R69" s="589">
        <f t="shared" si="17"/>
        <v>13.1</v>
      </c>
      <c r="S69" s="577">
        <v>13</v>
      </c>
      <c r="T69" s="577">
        <v>6</v>
      </c>
      <c r="U69" s="590" t="s">
        <v>1247</v>
      </c>
      <c r="V69" s="534" t="s">
        <v>711</v>
      </c>
    </row>
    <row r="70" spans="1:22" ht="24.95" customHeight="1">
      <c r="A70" s="434">
        <v>11</v>
      </c>
      <c r="B70" s="434">
        <v>30</v>
      </c>
      <c r="C70" s="581" t="s">
        <v>1266</v>
      </c>
      <c r="D70" s="581" t="s">
        <v>0</v>
      </c>
      <c r="E70" s="581" t="s">
        <v>42</v>
      </c>
      <c r="F70" s="582">
        <v>1.38</v>
      </c>
      <c r="G70" s="583">
        <v>0.5</v>
      </c>
      <c r="H70" s="584">
        <f>1100*6</f>
        <v>6600</v>
      </c>
      <c r="I70" s="584">
        <f>1038+902+1028</f>
        <v>2968</v>
      </c>
      <c r="J70" s="585">
        <v>805</v>
      </c>
      <c r="K70" s="534">
        <f>1092+1095+1097+1096+1093+1090</f>
        <v>6563</v>
      </c>
      <c r="L70" s="586"/>
      <c r="M70" s="586">
        <v>8</v>
      </c>
      <c r="N70" s="586">
        <v>6</v>
      </c>
      <c r="O70" s="587">
        <v>850</v>
      </c>
      <c r="P70" s="576">
        <f>K70/(O70*12)</f>
        <v>0.64343137254901961</v>
      </c>
      <c r="Q70" s="588">
        <f>L70/(K70+L70)</f>
        <v>0</v>
      </c>
      <c r="R70" s="589">
        <f>S70+T70/60</f>
        <v>7.6166666666666671</v>
      </c>
      <c r="S70" s="577">
        <v>7</v>
      </c>
      <c r="T70" s="577">
        <v>37</v>
      </c>
      <c r="U70" s="559" t="s">
        <v>1267</v>
      </c>
      <c r="V70" s="534" t="s">
        <v>706</v>
      </c>
    </row>
    <row r="71" spans="1:22" ht="24.95" customHeight="1">
      <c r="A71" s="434">
        <v>11</v>
      </c>
      <c r="B71" s="434">
        <v>30</v>
      </c>
      <c r="C71" s="581" t="s">
        <v>1266</v>
      </c>
      <c r="D71" s="581" t="s">
        <v>0</v>
      </c>
      <c r="E71" s="581" t="s">
        <v>42</v>
      </c>
      <c r="F71" s="582">
        <v>1.2</v>
      </c>
      <c r="G71" s="583">
        <v>0.5</v>
      </c>
      <c r="H71" s="584"/>
      <c r="I71" s="584"/>
      <c r="J71" s="585">
        <v>805</v>
      </c>
      <c r="K71" s="585">
        <f>1091+1094+1097</f>
        <v>3282</v>
      </c>
      <c r="L71" s="586"/>
      <c r="M71" s="586">
        <v>8</v>
      </c>
      <c r="N71" s="586">
        <v>6</v>
      </c>
      <c r="O71" s="587">
        <v>850</v>
      </c>
      <c r="P71" s="576">
        <f t="shared" si="15"/>
        <v>0.32176470588235295</v>
      </c>
      <c r="Q71" s="588">
        <f t="shared" si="16"/>
        <v>0</v>
      </c>
      <c r="R71" s="589">
        <f t="shared" si="17"/>
        <v>3.8166666666666664</v>
      </c>
      <c r="S71" s="577">
        <v>3</v>
      </c>
      <c r="T71" s="577">
        <v>49</v>
      </c>
      <c r="U71" s="559" t="s">
        <v>1268</v>
      </c>
      <c r="V71" s="534" t="s">
        <v>706</v>
      </c>
    </row>
    <row r="72" spans="1:22" ht="24.95" customHeight="1">
      <c r="A72" s="434">
        <v>11</v>
      </c>
      <c r="B72" s="434">
        <v>30</v>
      </c>
      <c r="C72" s="581" t="s">
        <v>1266</v>
      </c>
      <c r="D72" s="581" t="s">
        <v>43</v>
      </c>
      <c r="E72" s="581" t="s">
        <v>42</v>
      </c>
      <c r="F72" s="582">
        <v>1.2</v>
      </c>
      <c r="G72" s="583">
        <v>0.5</v>
      </c>
      <c r="H72" s="584">
        <f>1100*5</f>
        <v>5500</v>
      </c>
      <c r="I72" s="584">
        <f>1042+1036+900+1038</f>
        <v>4016</v>
      </c>
      <c r="J72" s="585">
        <v>805</v>
      </c>
      <c r="K72" s="585">
        <f>1095+1092*2+1090+1091+1092+1097+1096+1090</f>
        <v>9835</v>
      </c>
      <c r="L72" s="586"/>
      <c r="M72" s="586">
        <v>8</v>
      </c>
      <c r="N72" s="586">
        <v>6</v>
      </c>
      <c r="O72" s="587">
        <v>850</v>
      </c>
      <c r="P72" s="576">
        <f t="shared" ref="P72:P77" si="18">K72/(O72*12)</f>
        <v>0.96421568627450982</v>
      </c>
      <c r="Q72" s="588">
        <f t="shared" ref="Q72:Q77" si="19">L72/(K72+L72)</f>
        <v>0</v>
      </c>
      <c r="R72" s="589">
        <f t="shared" ref="R72:R77" si="20">S72+T72/60</f>
        <v>11.616666666666667</v>
      </c>
      <c r="S72" s="577">
        <v>11</v>
      </c>
      <c r="T72" s="577">
        <v>37</v>
      </c>
      <c r="U72" s="590" t="s">
        <v>1271</v>
      </c>
      <c r="V72" s="534" t="s">
        <v>709</v>
      </c>
    </row>
    <row r="73" spans="1:22" ht="24.95" customHeight="1">
      <c r="A73" s="434"/>
      <c r="B73" s="434"/>
      <c r="C73" s="581"/>
      <c r="D73" s="581"/>
      <c r="E73" s="581"/>
      <c r="F73" s="582"/>
      <c r="G73" s="583"/>
      <c r="H73" s="584"/>
      <c r="I73" s="584"/>
      <c r="J73" s="585"/>
      <c r="K73" s="585"/>
      <c r="L73" s="586"/>
      <c r="M73" s="586"/>
      <c r="N73" s="586"/>
      <c r="O73" s="587">
        <v>850</v>
      </c>
      <c r="P73" s="576">
        <f t="shared" si="18"/>
        <v>0</v>
      </c>
      <c r="Q73" s="588" t="e">
        <f t="shared" si="19"/>
        <v>#DIV/0!</v>
      </c>
      <c r="R73" s="589">
        <f t="shared" si="20"/>
        <v>0</v>
      </c>
      <c r="S73" s="577"/>
      <c r="T73" s="577"/>
      <c r="U73" s="559"/>
      <c r="V73" s="534"/>
    </row>
    <row r="74" spans="1:22" ht="24.95" customHeight="1">
      <c r="A74" s="434"/>
      <c r="B74" s="434"/>
      <c r="C74" s="434"/>
      <c r="D74" s="581"/>
      <c r="E74" s="581"/>
      <c r="F74" s="582"/>
      <c r="G74" s="583"/>
      <c r="H74" s="584"/>
      <c r="I74" s="584"/>
      <c r="J74" s="585"/>
      <c r="K74" s="585"/>
      <c r="L74" s="586"/>
      <c r="M74" s="586"/>
      <c r="N74" s="586"/>
      <c r="O74" s="587">
        <v>750</v>
      </c>
      <c r="P74" s="576">
        <f t="shared" si="18"/>
        <v>0</v>
      </c>
      <c r="Q74" s="588" t="e">
        <f t="shared" si="19"/>
        <v>#DIV/0!</v>
      </c>
      <c r="R74" s="589">
        <f t="shared" si="20"/>
        <v>0</v>
      </c>
      <c r="S74" s="577"/>
      <c r="T74" s="577"/>
      <c r="U74" s="559"/>
      <c r="V74" s="534"/>
    </row>
    <row r="75" spans="1:22" ht="24.95" customHeight="1">
      <c r="A75" s="434"/>
      <c r="B75" s="434"/>
      <c r="C75" s="434"/>
      <c r="D75" s="581"/>
      <c r="E75" s="581"/>
      <c r="F75" s="582"/>
      <c r="G75" s="583"/>
      <c r="H75" s="584"/>
      <c r="I75" s="584"/>
      <c r="J75" s="585"/>
      <c r="K75" s="585"/>
      <c r="L75" s="586"/>
      <c r="M75" s="586"/>
      <c r="N75" s="586"/>
      <c r="O75" s="587">
        <v>750</v>
      </c>
      <c r="P75" s="576">
        <f t="shared" si="18"/>
        <v>0</v>
      </c>
      <c r="Q75" s="588" t="e">
        <f t="shared" si="19"/>
        <v>#DIV/0!</v>
      </c>
      <c r="R75" s="589">
        <f t="shared" si="20"/>
        <v>0</v>
      </c>
      <c r="S75" s="577"/>
      <c r="T75" s="577"/>
      <c r="U75" s="559"/>
      <c r="V75" s="534"/>
    </row>
    <row r="76" spans="1:22" ht="24.95" customHeight="1">
      <c r="A76" s="434"/>
      <c r="B76" s="434"/>
      <c r="C76" s="434"/>
      <c r="D76" s="581"/>
      <c r="E76" s="581"/>
      <c r="F76" s="582"/>
      <c r="G76" s="583"/>
      <c r="H76" s="584"/>
      <c r="I76" s="584"/>
      <c r="J76" s="585"/>
      <c r="K76" s="585"/>
      <c r="L76" s="586"/>
      <c r="M76" s="586"/>
      <c r="N76" s="586"/>
      <c r="O76" s="587">
        <v>750</v>
      </c>
      <c r="P76" s="576">
        <f t="shared" si="18"/>
        <v>0</v>
      </c>
      <c r="Q76" s="588" t="e">
        <f t="shared" si="19"/>
        <v>#DIV/0!</v>
      </c>
      <c r="R76" s="589">
        <f t="shared" si="20"/>
        <v>0</v>
      </c>
      <c r="S76" s="577"/>
      <c r="T76" s="577"/>
      <c r="U76" s="559"/>
      <c r="V76" s="534"/>
    </row>
    <row r="77" spans="1:22" ht="24.95" customHeight="1">
      <c r="A77" s="434"/>
      <c r="B77" s="434"/>
      <c r="C77" s="434"/>
      <c r="D77" s="581"/>
      <c r="E77" s="581"/>
      <c r="F77" s="582"/>
      <c r="G77" s="583"/>
      <c r="H77" s="584"/>
      <c r="I77" s="584"/>
      <c r="J77" s="585"/>
      <c r="K77" s="585"/>
      <c r="L77" s="586"/>
      <c r="M77" s="586"/>
      <c r="N77" s="586"/>
      <c r="O77" s="587">
        <v>750</v>
      </c>
      <c r="P77" s="576">
        <f t="shared" si="18"/>
        <v>0</v>
      </c>
      <c r="Q77" s="588" t="e">
        <f t="shared" si="19"/>
        <v>#DIV/0!</v>
      </c>
      <c r="R77" s="589">
        <f t="shared" si="20"/>
        <v>0</v>
      </c>
      <c r="S77" s="577"/>
      <c r="T77" s="577"/>
      <c r="U77" s="559"/>
      <c r="V77" s="534"/>
    </row>
    <row r="78" spans="1:22" ht="30" customHeight="1">
      <c r="E78" s="456"/>
      <c r="F78" s="560"/>
      <c r="G78" s="573"/>
      <c r="H78" s="575"/>
      <c r="I78" s="575"/>
      <c r="J78" s="561"/>
      <c r="K78" s="533"/>
      <c r="L78" s="562"/>
      <c r="M78" s="562"/>
      <c r="N78" s="562"/>
      <c r="O78" s="563"/>
      <c r="P78" s="566"/>
      <c r="Q78" s="566"/>
      <c r="R78" s="564"/>
      <c r="S78" s="567"/>
      <c r="T78" s="567"/>
      <c r="U78" s="565"/>
      <c r="V78" s="533"/>
    </row>
    <row r="79" spans="1:22" ht="30" customHeight="1" thickBot="1">
      <c r="E79" s="456"/>
      <c r="F79" s="560"/>
      <c r="G79" s="573"/>
      <c r="H79" s="575"/>
      <c r="I79" s="575"/>
      <c r="J79" s="561"/>
      <c r="K79" s="533"/>
      <c r="L79" s="562"/>
      <c r="M79" s="562"/>
      <c r="N79" s="562"/>
      <c r="O79" s="563"/>
      <c r="P79" s="566"/>
      <c r="Q79" s="566"/>
      <c r="R79" s="564"/>
      <c r="S79" s="567"/>
      <c r="T79" s="567"/>
      <c r="U79" s="565"/>
      <c r="V79" s="533"/>
    </row>
    <row r="80" spans="1:22" ht="30" customHeight="1" thickBot="1">
      <c r="E80" s="456"/>
      <c r="F80" s="560"/>
      <c r="G80" s="592" t="s">
        <v>585</v>
      </c>
      <c r="H80" s="591">
        <f>SUM(H4:H77)</f>
        <v>215600</v>
      </c>
      <c r="I80" s="594">
        <f>SUM(I4:I77)</f>
        <v>142816</v>
      </c>
      <c r="J80" s="596" t="s">
        <v>586</v>
      </c>
      <c r="K80" s="595">
        <f>SUM(K4:K79)</f>
        <v>331928</v>
      </c>
      <c r="L80" s="593">
        <f>SUM(L4:L79)</f>
        <v>476</v>
      </c>
      <c r="M80" s="597" t="s">
        <v>588</v>
      </c>
      <c r="N80" s="562"/>
      <c r="O80" s="564"/>
      <c r="P80" s="566"/>
      <c r="Q80" s="566"/>
      <c r="R80" s="564"/>
      <c r="S80" s="567"/>
      <c r="T80" s="567"/>
      <c r="U80" s="568"/>
    </row>
    <row r="81" spans="5:22" ht="30" customHeight="1">
      <c r="E81" s="456"/>
      <c r="F81" s="560"/>
      <c r="G81" s="573"/>
      <c r="H81" s="575"/>
      <c r="I81" s="575"/>
      <c r="J81" s="561"/>
      <c r="K81" s="562"/>
      <c r="L81" s="562"/>
      <c r="M81" s="562"/>
      <c r="N81" s="562"/>
      <c r="O81" s="564"/>
      <c r="P81" s="566"/>
      <c r="Q81" s="566"/>
      <c r="R81" s="564"/>
      <c r="S81" s="567"/>
      <c r="T81" s="567"/>
    </row>
    <row r="82" spans="5:22" ht="30" customHeight="1">
      <c r="E82" s="456"/>
      <c r="F82" s="560"/>
      <c r="G82" s="573"/>
      <c r="H82" s="575"/>
      <c r="I82" s="575"/>
      <c r="J82" s="561"/>
      <c r="K82" s="562"/>
      <c r="L82" s="562"/>
      <c r="M82" s="562"/>
      <c r="N82" s="562"/>
      <c r="O82" s="579"/>
      <c r="P82" s="579"/>
      <c r="Q82" s="579"/>
      <c r="R82" s="579"/>
      <c r="S82" s="579"/>
      <c r="T82" s="579"/>
      <c r="U82" s="579"/>
      <c r="V82" s="579"/>
    </row>
    <row r="83" spans="5:22" ht="30" customHeight="1">
      <c r="O83" s="533"/>
      <c r="P83" s="570"/>
      <c r="Q83" s="564"/>
      <c r="R83" s="571"/>
      <c r="T83" s="456"/>
    </row>
    <row r="84" spans="5:22" ht="30" customHeight="1">
      <c r="O84" s="533"/>
      <c r="P84" s="570"/>
      <c r="Q84" s="564"/>
      <c r="R84" s="571"/>
      <c r="T84" s="456"/>
    </row>
    <row r="85" spans="5:22" ht="30" customHeight="1">
      <c r="O85" s="533"/>
      <c r="Q85" s="533"/>
      <c r="R85" s="571"/>
      <c r="T85" s="456"/>
    </row>
    <row r="86" spans="5:22" ht="30" customHeight="1">
      <c r="O86" s="533"/>
      <c r="Q86" s="533"/>
      <c r="R86" s="571"/>
      <c r="T86" s="456"/>
    </row>
    <row r="87" spans="5:22" ht="30" customHeight="1">
      <c r="O87" s="533"/>
      <c r="Q87" s="533"/>
      <c r="R87" s="571"/>
      <c r="T87" s="456"/>
    </row>
    <row r="88" spans="5:22" ht="30" customHeight="1">
      <c r="Q88" s="456"/>
      <c r="R88" s="571"/>
      <c r="T88" s="456"/>
    </row>
    <row r="89" spans="5:22" ht="30" customHeight="1">
      <c r="Q89" s="456"/>
      <c r="R89" s="571"/>
      <c r="T89" s="456"/>
    </row>
    <row r="90" spans="5:22" ht="30" customHeight="1">
      <c r="Q90" s="456"/>
      <c r="R90" s="571"/>
      <c r="T90" s="456"/>
    </row>
    <row r="91" spans="5:22" ht="30" customHeight="1">
      <c r="Q91" s="456"/>
      <c r="R91" s="571"/>
      <c r="T91" s="456"/>
    </row>
    <row r="92" spans="5:22" ht="30" customHeight="1">
      <c r="Q92" s="456"/>
      <c r="R92" s="571"/>
      <c r="T92" s="456"/>
    </row>
    <row r="93" spans="5:22" ht="30" customHeight="1"/>
    <row r="94" spans="5:22" ht="30" customHeight="1"/>
    <row r="95" spans="5:22" ht="30" customHeight="1"/>
    <row r="96" spans="5:22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24.95" customHeight="1"/>
    <row r="226" ht="24.95" customHeight="1"/>
    <row r="227" ht="24.95" customHeight="1"/>
    <row r="228" ht="24.95" customHeight="1"/>
    <row r="229" ht="24.95" customHeight="1"/>
    <row r="230" ht="24.95" customHeight="1"/>
    <row r="231" ht="24.95" customHeight="1"/>
    <row r="232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工作表17">
    <tabColor rgb="FFFFC000"/>
  </sheetPr>
  <dimension ref="A1:AB230"/>
  <sheetViews>
    <sheetView zoomScale="75" workbookViewId="0">
      <pane xSplit="4" ySplit="3" topLeftCell="E63" activePane="bottomRight" state="frozen"/>
      <selection activeCell="W23" sqref="W23"/>
      <selection pane="topRight" activeCell="W23" sqref="W23"/>
      <selection pane="bottomLeft" activeCell="W23" sqref="W23"/>
      <selection pane="bottomRight" activeCell="U70" sqref="U70"/>
    </sheetView>
  </sheetViews>
  <sheetFormatPr defaultRowHeight="15.75"/>
  <cols>
    <col min="1" max="4" width="4.375" style="456" customWidth="1"/>
    <col min="5" max="5" width="5.625" style="569" customWidth="1"/>
    <col min="6" max="6" width="7.125" style="569" customWidth="1"/>
    <col min="7" max="9" width="9.625" style="574" customWidth="1"/>
    <col min="10" max="12" width="9.625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606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0" customHeight="1" thickBo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 thickBot="1">
      <c r="A4" s="581">
        <v>11</v>
      </c>
      <c r="B4" s="581">
        <v>1</v>
      </c>
      <c r="C4" s="581" t="s">
        <v>632</v>
      </c>
      <c r="D4" s="581" t="s">
        <v>0</v>
      </c>
      <c r="E4" s="581" t="s">
        <v>42</v>
      </c>
      <c r="F4" s="581">
        <v>0.36</v>
      </c>
      <c r="G4" s="583">
        <v>1</v>
      </c>
      <c r="H4" s="584"/>
      <c r="I4" s="584">
        <f>768+1037+892</f>
        <v>2697</v>
      </c>
      <c r="J4" s="585">
        <v>870</v>
      </c>
      <c r="K4" s="585">
        <f>500+504+507+503*2+502+501+502</f>
        <v>4022</v>
      </c>
      <c r="L4" s="586"/>
      <c r="M4" s="586">
        <v>10</v>
      </c>
      <c r="N4" s="586"/>
      <c r="O4" s="587">
        <v>350</v>
      </c>
      <c r="P4" s="576">
        <f t="shared" ref="P4:P69" si="0">K4/(O4*12)</f>
        <v>0.95761904761904759</v>
      </c>
      <c r="Q4" s="588">
        <f t="shared" ref="Q4:Q69" si="1">L4/(K4+L4)</f>
        <v>0</v>
      </c>
      <c r="R4" s="589">
        <f t="shared" ref="R4:R69" si="2">S4+T4/60</f>
        <v>11.833333333333334</v>
      </c>
      <c r="S4" s="577">
        <v>11</v>
      </c>
      <c r="T4" s="577">
        <v>50</v>
      </c>
      <c r="U4" s="590" t="s">
        <v>702</v>
      </c>
      <c r="V4" s="534" t="s">
        <v>697</v>
      </c>
      <c r="X4" s="602" t="s">
        <v>583</v>
      </c>
      <c r="Z4" s="598" t="s">
        <v>597</v>
      </c>
      <c r="AA4" s="599" t="s">
        <v>598</v>
      </c>
      <c r="AB4" s="600" t="s">
        <v>595</v>
      </c>
    </row>
    <row r="5" spans="1:28" ht="24.95" customHeight="1">
      <c r="A5" s="581">
        <v>11</v>
      </c>
      <c r="B5" s="581">
        <v>1</v>
      </c>
      <c r="C5" s="581" t="s">
        <v>632</v>
      </c>
      <c r="D5" s="581" t="s">
        <v>707</v>
      </c>
      <c r="E5" s="581" t="s">
        <v>42</v>
      </c>
      <c r="F5" s="581">
        <v>0.36</v>
      </c>
      <c r="G5" s="583">
        <v>1</v>
      </c>
      <c r="H5" s="584"/>
      <c r="I5" s="584">
        <f>1036+920+1061+820</f>
        <v>3837</v>
      </c>
      <c r="J5" s="585">
        <v>870</v>
      </c>
      <c r="K5" s="585">
        <f>501+504+506+505+503+502+504+505</f>
        <v>4030</v>
      </c>
      <c r="L5" s="586"/>
      <c r="M5" s="586">
        <v>10</v>
      </c>
      <c r="N5" s="586"/>
      <c r="O5" s="587">
        <v>350</v>
      </c>
      <c r="P5" s="576">
        <f t="shared" si="0"/>
        <v>0.95952380952380956</v>
      </c>
      <c r="Q5" s="588">
        <f t="shared" si="1"/>
        <v>0</v>
      </c>
      <c r="R5" s="589">
        <f t="shared" si="2"/>
        <v>12</v>
      </c>
      <c r="S5" s="577">
        <v>12</v>
      </c>
      <c r="T5" s="577">
        <v>0</v>
      </c>
      <c r="U5" s="590" t="s">
        <v>710</v>
      </c>
      <c r="V5" s="534" t="s">
        <v>711</v>
      </c>
      <c r="X5" s="601" t="s">
        <v>607</v>
      </c>
      <c r="Z5" s="608">
        <f>SUMIF(D4:D75,"A",K4:K75)</f>
        <v>62712</v>
      </c>
      <c r="AA5" s="609">
        <f>SUMIF(D4:D75,"B",K4:K75)</f>
        <v>61064</v>
      </c>
      <c r="AB5" s="607" t="s">
        <v>587</v>
      </c>
    </row>
    <row r="6" spans="1:28" ht="24.95" customHeight="1" thickBot="1">
      <c r="A6" s="581">
        <v>11</v>
      </c>
      <c r="B6" s="581">
        <v>2</v>
      </c>
      <c r="C6" s="581" t="s">
        <v>755</v>
      </c>
      <c r="D6" s="581" t="s">
        <v>0</v>
      </c>
      <c r="E6" s="581" t="s">
        <v>42</v>
      </c>
      <c r="F6" s="581">
        <v>0.36</v>
      </c>
      <c r="G6" s="583">
        <v>1</v>
      </c>
      <c r="H6" s="584"/>
      <c r="I6" s="584">
        <f>818+1033+1036+828+570</f>
        <v>4285</v>
      </c>
      <c r="J6" s="585">
        <v>870</v>
      </c>
      <c r="K6" s="585">
        <f>500+504+507</f>
        <v>1511</v>
      </c>
      <c r="L6" s="586"/>
      <c r="M6" s="586">
        <v>10</v>
      </c>
      <c r="N6" s="586"/>
      <c r="O6" s="587">
        <v>350</v>
      </c>
      <c r="P6" s="576">
        <f>K6/(O6*12)</f>
        <v>0.35976190476190478</v>
      </c>
      <c r="Q6" s="588">
        <f>L6/(K6+L6)</f>
        <v>0</v>
      </c>
      <c r="R6" s="589">
        <f>S6+T6/60</f>
        <v>4.55</v>
      </c>
      <c r="S6" s="577">
        <v>4</v>
      </c>
      <c r="T6" s="577">
        <v>33</v>
      </c>
      <c r="U6" s="590" t="s">
        <v>761</v>
      </c>
      <c r="V6" s="534" t="s">
        <v>759</v>
      </c>
      <c r="X6" s="580" t="s">
        <v>609</v>
      </c>
      <c r="Z6" s="604"/>
      <c r="AA6" s="605"/>
      <c r="AB6" s="606" t="s">
        <v>596</v>
      </c>
    </row>
    <row r="7" spans="1:28" ht="24.95" customHeight="1" thickBot="1">
      <c r="A7" s="581">
        <v>11</v>
      </c>
      <c r="B7" s="581">
        <v>2</v>
      </c>
      <c r="C7" s="581" t="s">
        <v>755</v>
      </c>
      <c r="D7" s="581" t="s">
        <v>0</v>
      </c>
      <c r="E7" s="581" t="s">
        <v>42</v>
      </c>
      <c r="F7" s="581">
        <v>0.25</v>
      </c>
      <c r="G7" s="583">
        <v>1</v>
      </c>
      <c r="H7" s="584"/>
      <c r="I7" s="584"/>
      <c r="J7" s="585">
        <v>870</v>
      </c>
      <c r="K7" s="585">
        <f>506+509+506+507*2</f>
        <v>2535</v>
      </c>
      <c r="L7" s="586"/>
      <c r="M7" s="586">
        <v>10</v>
      </c>
      <c r="N7" s="586"/>
      <c r="O7" s="587">
        <v>350</v>
      </c>
      <c r="P7" s="576">
        <f t="shared" si="0"/>
        <v>0.60357142857142854</v>
      </c>
      <c r="Q7" s="588">
        <f t="shared" si="1"/>
        <v>0</v>
      </c>
      <c r="R7" s="589">
        <f t="shared" si="2"/>
        <v>7.416666666666667</v>
      </c>
      <c r="S7" s="577">
        <v>7</v>
      </c>
      <c r="T7" s="577">
        <v>25</v>
      </c>
      <c r="U7" s="590" t="s">
        <v>760</v>
      </c>
      <c r="V7" s="534" t="s">
        <v>759</v>
      </c>
      <c r="X7" s="580" t="s">
        <v>608</v>
      </c>
      <c r="Z7" s="598" t="s">
        <v>593</v>
      </c>
      <c r="AA7" s="599" t="s">
        <v>594</v>
      </c>
      <c r="AB7" s="600" t="s">
        <v>595</v>
      </c>
    </row>
    <row r="8" spans="1:28" ht="36.75" customHeight="1">
      <c r="A8" s="581">
        <v>11</v>
      </c>
      <c r="B8" s="581">
        <v>2</v>
      </c>
      <c r="C8" s="581" t="s">
        <v>755</v>
      </c>
      <c r="D8" s="581" t="s">
        <v>43</v>
      </c>
      <c r="E8" s="581" t="s">
        <v>42</v>
      </c>
      <c r="F8" s="581">
        <v>0.25</v>
      </c>
      <c r="G8" s="583">
        <v>1</v>
      </c>
      <c r="H8" s="584"/>
      <c r="I8" s="584">
        <f>902+1041+820+620+925</f>
        <v>4308</v>
      </c>
      <c r="J8" s="585">
        <v>870</v>
      </c>
      <c r="K8" s="585">
        <f>500+504+501+503+506+502+503+501</f>
        <v>4020</v>
      </c>
      <c r="L8" s="586"/>
      <c r="M8" s="586">
        <v>10</v>
      </c>
      <c r="N8" s="586"/>
      <c r="O8" s="587">
        <v>350</v>
      </c>
      <c r="P8" s="576">
        <f t="shared" si="0"/>
        <v>0.95714285714285718</v>
      </c>
      <c r="Q8" s="588">
        <f t="shared" si="1"/>
        <v>0</v>
      </c>
      <c r="R8" s="589">
        <f t="shared" si="2"/>
        <v>12.016666666666667</v>
      </c>
      <c r="S8" s="577">
        <v>12</v>
      </c>
      <c r="T8" s="577">
        <v>1</v>
      </c>
      <c r="U8" s="590" t="s">
        <v>763</v>
      </c>
      <c r="V8" s="585" t="s">
        <v>762</v>
      </c>
      <c r="X8" s="580" t="s">
        <v>609</v>
      </c>
      <c r="Z8" s="604"/>
      <c r="AA8" s="605"/>
      <c r="AB8" s="606" t="s">
        <v>596</v>
      </c>
    </row>
    <row r="9" spans="1:28" ht="32.25" customHeight="1">
      <c r="A9" s="581">
        <v>11</v>
      </c>
      <c r="B9" s="581">
        <v>3</v>
      </c>
      <c r="C9" s="581" t="s">
        <v>784</v>
      </c>
      <c r="D9" s="581" t="s">
        <v>0</v>
      </c>
      <c r="E9" s="581" t="s">
        <v>42</v>
      </c>
      <c r="F9" s="581">
        <v>0.25</v>
      </c>
      <c r="G9" s="583">
        <v>1</v>
      </c>
      <c r="H9" s="584"/>
      <c r="I9" s="584">
        <f>700+1043+540+1053</f>
        <v>3336</v>
      </c>
      <c r="J9" s="585">
        <v>870</v>
      </c>
      <c r="K9" s="585">
        <f>501+503+506+509+507+503+507</f>
        <v>3536</v>
      </c>
      <c r="L9" s="586">
        <f>42</f>
        <v>42</v>
      </c>
      <c r="M9" s="586">
        <v>10</v>
      </c>
      <c r="N9" s="586"/>
      <c r="O9" s="587">
        <v>350</v>
      </c>
      <c r="P9" s="576">
        <f t="shared" si="0"/>
        <v>0.84190476190476193</v>
      </c>
      <c r="Q9" s="588">
        <f t="shared" si="1"/>
        <v>1.1738401341531582E-2</v>
      </c>
      <c r="R9" s="589">
        <f t="shared" si="2"/>
        <v>11.066666666666666</v>
      </c>
      <c r="S9" s="577">
        <v>11</v>
      </c>
      <c r="T9" s="577">
        <v>4</v>
      </c>
      <c r="U9" s="590" t="s">
        <v>788</v>
      </c>
      <c r="V9" s="534" t="s">
        <v>759</v>
      </c>
      <c r="X9" s="601" t="s">
        <v>610</v>
      </c>
    </row>
    <row r="10" spans="1:28" ht="24.95" customHeight="1">
      <c r="A10" s="581">
        <v>11</v>
      </c>
      <c r="B10" s="581">
        <v>3</v>
      </c>
      <c r="C10" s="581" t="s">
        <v>784</v>
      </c>
      <c r="D10" s="581" t="s">
        <v>43</v>
      </c>
      <c r="E10" s="581" t="s">
        <v>42</v>
      </c>
      <c r="F10" s="581">
        <v>0.25</v>
      </c>
      <c r="G10" s="583">
        <v>1</v>
      </c>
      <c r="H10" s="584"/>
      <c r="I10" s="584">
        <f>1026+1064</f>
        <v>2090</v>
      </c>
      <c r="J10" s="585">
        <v>870</v>
      </c>
      <c r="K10" s="534">
        <f>500+503+505+501+503+500+503+501</f>
        <v>4016</v>
      </c>
      <c r="L10" s="586"/>
      <c r="M10" s="586">
        <v>10</v>
      </c>
      <c r="N10" s="586"/>
      <c r="O10" s="587">
        <v>350</v>
      </c>
      <c r="P10" s="576">
        <f>K10/(O10*12)</f>
        <v>0.95619047619047615</v>
      </c>
      <c r="Q10" s="588">
        <f>L10/(K10+L10)</f>
        <v>0</v>
      </c>
      <c r="R10" s="589">
        <f>S10+T10/60</f>
        <v>11.983333333333333</v>
      </c>
      <c r="S10" s="577">
        <v>11</v>
      </c>
      <c r="T10" s="577">
        <v>59</v>
      </c>
      <c r="U10" s="590" t="s">
        <v>789</v>
      </c>
      <c r="V10" s="534" t="s">
        <v>790</v>
      </c>
      <c r="X10" s="580" t="s">
        <v>611</v>
      </c>
    </row>
    <row r="11" spans="1:28" ht="24.95" customHeight="1">
      <c r="A11" s="581">
        <v>11</v>
      </c>
      <c r="B11" s="581">
        <v>4</v>
      </c>
      <c r="C11" s="581" t="s">
        <v>805</v>
      </c>
      <c r="D11" s="581" t="s">
        <v>0</v>
      </c>
      <c r="E11" s="581" t="s">
        <v>42</v>
      </c>
      <c r="F11" s="581">
        <v>0.25</v>
      </c>
      <c r="G11" s="583">
        <v>1</v>
      </c>
      <c r="H11" s="584"/>
      <c r="I11" s="584"/>
      <c r="J11" s="585">
        <v>870</v>
      </c>
      <c r="K11" s="534">
        <f>500+506+504*2</f>
        <v>2014</v>
      </c>
      <c r="L11" s="586"/>
      <c r="M11" s="586">
        <v>10</v>
      </c>
      <c r="N11" s="586"/>
      <c r="O11" s="587">
        <v>350</v>
      </c>
      <c r="P11" s="576">
        <f t="shared" si="0"/>
        <v>0.47952380952380952</v>
      </c>
      <c r="Q11" s="588">
        <f t="shared" si="1"/>
        <v>0</v>
      </c>
      <c r="R11" s="589">
        <f t="shared" si="2"/>
        <v>6.166666666666667</v>
      </c>
      <c r="S11" s="577">
        <v>6</v>
      </c>
      <c r="T11" s="577">
        <v>10</v>
      </c>
      <c r="U11" s="590" t="s">
        <v>811</v>
      </c>
      <c r="V11" s="534" t="s">
        <v>759</v>
      </c>
      <c r="X11" s="580" t="s">
        <v>611</v>
      </c>
    </row>
    <row r="12" spans="1:28" ht="24.95" customHeight="1">
      <c r="A12" s="581">
        <v>11</v>
      </c>
      <c r="B12" s="581">
        <v>4</v>
      </c>
      <c r="C12" s="581" t="s">
        <v>805</v>
      </c>
      <c r="D12" s="581" t="s">
        <v>0</v>
      </c>
      <c r="E12" s="581" t="s">
        <v>42</v>
      </c>
      <c r="F12" s="581">
        <v>0.28000000000000003</v>
      </c>
      <c r="G12" s="583">
        <v>0.3</v>
      </c>
      <c r="H12" s="584">
        <f>1100*4</f>
        <v>4400</v>
      </c>
      <c r="I12" s="584">
        <f>1052</f>
        <v>1052</v>
      </c>
      <c r="J12" s="585">
        <v>900</v>
      </c>
      <c r="K12" s="534">
        <f>500+502+503+504</f>
        <v>2009</v>
      </c>
      <c r="L12" s="586"/>
      <c r="M12" s="586">
        <v>3</v>
      </c>
      <c r="N12" s="586">
        <v>2</v>
      </c>
      <c r="O12" s="587">
        <v>350</v>
      </c>
      <c r="P12" s="576">
        <f>K12/(O12*12)</f>
        <v>0.47833333333333333</v>
      </c>
      <c r="Q12" s="588">
        <f>L12/(K12+L12)</f>
        <v>0</v>
      </c>
      <c r="R12" s="589">
        <f>S12+T12/60</f>
        <v>6.5166666666666666</v>
      </c>
      <c r="S12" s="577">
        <v>6</v>
      </c>
      <c r="T12" s="577">
        <v>31</v>
      </c>
      <c r="U12" s="590" t="s">
        <v>812</v>
      </c>
      <c r="V12" s="534" t="s">
        <v>759</v>
      </c>
      <c r="X12" s="580" t="s">
        <v>611</v>
      </c>
    </row>
    <row r="13" spans="1:28" ht="24.95" customHeight="1">
      <c r="A13" s="581">
        <v>11</v>
      </c>
      <c r="B13" s="581">
        <v>4</v>
      </c>
      <c r="C13" s="581" t="s">
        <v>805</v>
      </c>
      <c r="D13" s="581" t="s">
        <v>43</v>
      </c>
      <c r="E13" s="581" t="s">
        <v>42</v>
      </c>
      <c r="F13" s="581">
        <v>0.28000000000000003</v>
      </c>
      <c r="G13" s="583">
        <v>0.3</v>
      </c>
      <c r="H13" s="584">
        <f>1100*3</f>
        <v>3300</v>
      </c>
      <c r="I13" s="584">
        <f>1055</f>
        <v>1055</v>
      </c>
      <c r="J13" s="585">
        <v>900</v>
      </c>
      <c r="K13" s="584">
        <f>500+501+504+503+501+500+502+501</f>
        <v>4012</v>
      </c>
      <c r="L13" s="586"/>
      <c r="M13" s="586">
        <v>3</v>
      </c>
      <c r="N13" s="586">
        <v>2</v>
      </c>
      <c r="O13" s="587">
        <v>350</v>
      </c>
      <c r="P13" s="576">
        <f>K13/(O13*12)</f>
        <v>0.95523809523809522</v>
      </c>
      <c r="Q13" s="588">
        <f>L13/(K13+L13)</f>
        <v>0</v>
      </c>
      <c r="R13" s="589">
        <f>S13+T13/60</f>
        <v>11.666666666666666</v>
      </c>
      <c r="S13" s="577">
        <v>11</v>
      </c>
      <c r="T13" s="577">
        <v>40</v>
      </c>
      <c r="U13" s="590" t="s">
        <v>813</v>
      </c>
      <c r="V13" s="534" t="s">
        <v>814</v>
      </c>
      <c r="X13" s="580" t="s">
        <v>611</v>
      </c>
    </row>
    <row r="14" spans="1:28" ht="24.95" customHeight="1">
      <c r="A14" s="581">
        <v>11</v>
      </c>
      <c r="B14" s="581">
        <v>5</v>
      </c>
      <c r="C14" s="581" t="s">
        <v>834</v>
      </c>
      <c r="D14" s="581" t="s">
        <v>0</v>
      </c>
      <c r="E14" s="581" t="s">
        <v>42</v>
      </c>
      <c r="F14" s="581">
        <v>0.28000000000000003</v>
      </c>
      <c r="G14" s="583">
        <v>0.3</v>
      </c>
      <c r="H14" s="584">
        <f>1100*3</f>
        <v>3300</v>
      </c>
      <c r="I14" s="584"/>
      <c r="J14" s="585">
        <v>900</v>
      </c>
      <c r="K14" s="534">
        <f>501+502+503+505+502+501+502+504</f>
        <v>4020</v>
      </c>
      <c r="L14" s="586"/>
      <c r="M14" s="586">
        <v>3</v>
      </c>
      <c r="N14" s="586">
        <v>2</v>
      </c>
      <c r="O14" s="587">
        <v>350</v>
      </c>
      <c r="P14" s="576">
        <f>K14/(O14*12)</f>
        <v>0.95714285714285718</v>
      </c>
      <c r="Q14" s="588">
        <f>L14/(K14+L14)</f>
        <v>0</v>
      </c>
      <c r="R14" s="589">
        <f>S14+T14/60</f>
        <v>11.833333333333334</v>
      </c>
      <c r="S14" s="577">
        <v>11</v>
      </c>
      <c r="T14" s="577">
        <v>50</v>
      </c>
      <c r="U14" s="590" t="s">
        <v>839</v>
      </c>
      <c r="V14" s="534" t="s">
        <v>840</v>
      </c>
      <c r="X14" s="580" t="s">
        <v>611</v>
      </c>
    </row>
    <row r="15" spans="1:28" ht="24.95" customHeight="1">
      <c r="A15" s="581">
        <v>11</v>
      </c>
      <c r="B15" s="581">
        <v>5</v>
      </c>
      <c r="C15" s="581" t="s">
        <v>834</v>
      </c>
      <c r="D15" s="581" t="s">
        <v>43</v>
      </c>
      <c r="E15" s="581" t="s">
        <v>42</v>
      </c>
      <c r="F15" s="581">
        <v>0.28000000000000003</v>
      </c>
      <c r="G15" s="583">
        <v>0.3</v>
      </c>
      <c r="H15" s="584">
        <f>1100*1</f>
        <v>1100</v>
      </c>
      <c r="I15" s="584">
        <f>906+634</f>
        <v>1540</v>
      </c>
      <c r="J15" s="585">
        <v>900</v>
      </c>
      <c r="K15" s="534">
        <f>502+501+503+500+504+503</f>
        <v>3013</v>
      </c>
      <c r="L15" s="586">
        <f>31</f>
        <v>31</v>
      </c>
      <c r="M15" s="586">
        <v>3</v>
      </c>
      <c r="N15" s="586">
        <v>2</v>
      </c>
      <c r="O15" s="587">
        <v>350</v>
      </c>
      <c r="P15" s="576">
        <f>K15/(O15*12)</f>
        <v>0.71738095238095234</v>
      </c>
      <c r="Q15" s="588">
        <f>L15/(K15+L15)</f>
        <v>1.0183968462549276E-2</v>
      </c>
      <c r="R15" s="589">
        <f>S15+T15/60</f>
        <v>9.1333333333333329</v>
      </c>
      <c r="S15" s="577">
        <v>9</v>
      </c>
      <c r="T15" s="577">
        <v>8</v>
      </c>
      <c r="U15" s="590" t="s">
        <v>841</v>
      </c>
      <c r="V15" s="534" t="s">
        <v>714</v>
      </c>
      <c r="X15" s="534" t="s">
        <v>427</v>
      </c>
    </row>
    <row r="16" spans="1:28" ht="24.95" customHeight="1">
      <c r="A16" s="581">
        <v>11</v>
      </c>
      <c r="B16" s="581">
        <v>5</v>
      </c>
      <c r="C16" s="581" t="s">
        <v>834</v>
      </c>
      <c r="D16" s="581" t="s">
        <v>43</v>
      </c>
      <c r="E16" s="581" t="s">
        <v>42</v>
      </c>
      <c r="F16" s="582">
        <v>0.25</v>
      </c>
      <c r="G16" s="583">
        <v>1</v>
      </c>
      <c r="H16" s="584"/>
      <c r="I16" s="584"/>
      <c r="J16" s="585">
        <v>840</v>
      </c>
      <c r="K16" s="534">
        <f>500+503</f>
        <v>1003</v>
      </c>
      <c r="L16" s="586"/>
      <c r="M16" s="586">
        <v>10</v>
      </c>
      <c r="N16" s="586"/>
      <c r="O16" s="587">
        <v>350</v>
      </c>
      <c r="P16" s="576">
        <f t="shared" si="0"/>
        <v>0.2388095238095238</v>
      </c>
      <c r="Q16" s="588">
        <f t="shared" si="1"/>
        <v>0</v>
      </c>
      <c r="R16" s="589">
        <f t="shared" si="2"/>
        <v>3.4</v>
      </c>
      <c r="S16" s="577">
        <v>3</v>
      </c>
      <c r="T16" s="577">
        <v>24</v>
      </c>
      <c r="U16" s="590" t="s">
        <v>842</v>
      </c>
      <c r="V16" s="534" t="s">
        <v>714</v>
      </c>
      <c r="X16" s="534" t="s">
        <v>427</v>
      </c>
    </row>
    <row r="17" spans="1:24" ht="24.95" customHeight="1">
      <c r="A17" s="581">
        <v>11</v>
      </c>
      <c r="B17" s="581">
        <v>6</v>
      </c>
      <c r="C17" s="581" t="s">
        <v>859</v>
      </c>
      <c r="D17" s="581" t="s">
        <v>0</v>
      </c>
      <c r="E17" s="581" t="s">
        <v>42</v>
      </c>
      <c r="F17" s="582">
        <v>0.25</v>
      </c>
      <c r="G17" s="583">
        <v>1</v>
      </c>
      <c r="H17" s="584"/>
      <c r="I17" s="584">
        <f>994+896+610+826+1088</f>
        <v>4414</v>
      </c>
      <c r="J17" s="585">
        <v>840</v>
      </c>
      <c r="K17" s="534">
        <f>503+501+509+506+509+503+504+506</f>
        <v>4041</v>
      </c>
      <c r="L17" s="586"/>
      <c r="M17" s="586">
        <v>10</v>
      </c>
      <c r="N17" s="586"/>
      <c r="O17" s="587">
        <v>350</v>
      </c>
      <c r="P17" s="576">
        <f t="shared" si="0"/>
        <v>0.96214285714285719</v>
      </c>
      <c r="Q17" s="588">
        <f t="shared" si="1"/>
        <v>0</v>
      </c>
      <c r="R17" s="589">
        <f t="shared" si="2"/>
        <v>12.3</v>
      </c>
      <c r="S17" s="577">
        <v>12</v>
      </c>
      <c r="T17" s="577">
        <v>18</v>
      </c>
      <c r="U17" s="590" t="s">
        <v>862</v>
      </c>
      <c r="V17" s="534" t="s">
        <v>759</v>
      </c>
      <c r="X17" s="534" t="s">
        <v>648</v>
      </c>
    </row>
    <row r="18" spans="1:24" ht="24.95" customHeight="1">
      <c r="A18" s="581">
        <v>11</v>
      </c>
      <c r="B18" s="581">
        <v>6</v>
      </c>
      <c r="C18" s="581" t="s">
        <v>859</v>
      </c>
      <c r="D18" s="581" t="s">
        <v>43</v>
      </c>
      <c r="E18" s="581" t="s">
        <v>42</v>
      </c>
      <c r="F18" s="582">
        <v>0.25</v>
      </c>
      <c r="G18" s="583">
        <v>1</v>
      </c>
      <c r="H18" s="584"/>
      <c r="I18" s="584"/>
      <c r="J18" s="585">
        <v>840</v>
      </c>
      <c r="K18" s="534">
        <f>500+505</f>
        <v>1005</v>
      </c>
      <c r="L18" s="586"/>
      <c r="M18" s="586">
        <v>10</v>
      </c>
      <c r="N18" s="586"/>
      <c r="O18" s="587">
        <v>350</v>
      </c>
      <c r="P18" s="576">
        <f t="shared" si="0"/>
        <v>0.2392857142857143</v>
      </c>
      <c r="Q18" s="588">
        <f t="shared" si="1"/>
        <v>0</v>
      </c>
      <c r="R18" s="589">
        <f t="shared" si="2"/>
        <v>2.75</v>
      </c>
      <c r="S18" s="577">
        <v>2</v>
      </c>
      <c r="T18" s="577">
        <v>45</v>
      </c>
      <c r="U18" s="590" t="s">
        <v>863</v>
      </c>
      <c r="V18" s="534" t="s">
        <v>709</v>
      </c>
    </row>
    <row r="19" spans="1:24" ht="24.95" customHeight="1">
      <c r="A19" s="581">
        <v>11</v>
      </c>
      <c r="B19" s="581">
        <v>6</v>
      </c>
      <c r="C19" s="581" t="s">
        <v>859</v>
      </c>
      <c r="D19" s="581" t="s">
        <v>43</v>
      </c>
      <c r="E19" s="581" t="s">
        <v>42</v>
      </c>
      <c r="F19" s="582">
        <v>0.36</v>
      </c>
      <c r="G19" s="583">
        <v>1</v>
      </c>
      <c r="H19" s="584"/>
      <c r="I19" s="584">
        <f>982+1035+761+1046+704</f>
        <v>4528</v>
      </c>
      <c r="J19" s="585">
        <v>870</v>
      </c>
      <c r="K19" s="534">
        <f>500+503+507+503+500+502</f>
        <v>3015</v>
      </c>
      <c r="L19" s="586"/>
      <c r="M19" s="586">
        <v>10</v>
      </c>
      <c r="N19" s="586"/>
      <c r="O19" s="587">
        <v>350</v>
      </c>
      <c r="P19" s="576">
        <f t="shared" si="0"/>
        <v>0.71785714285714286</v>
      </c>
      <c r="Q19" s="588">
        <f t="shared" si="1"/>
        <v>0</v>
      </c>
      <c r="R19" s="589">
        <f t="shared" si="2"/>
        <v>9.4166666666666661</v>
      </c>
      <c r="S19" s="577">
        <v>9</v>
      </c>
      <c r="T19" s="577">
        <v>25</v>
      </c>
      <c r="U19" s="590" t="s">
        <v>861</v>
      </c>
      <c r="V19" s="534" t="s">
        <v>709</v>
      </c>
    </row>
    <row r="20" spans="1:24" ht="24.95" customHeight="1">
      <c r="A20" s="581">
        <v>11</v>
      </c>
      <c r="B20" s="581">
        <v>7</v>
      </c>
      <c r="C20" s="581" t="s">
        <v>888</v>
      </c>
      <c r="D20" s="581" t="s">
        <v>0</v>
      </c>
      <c r="E20" s="581" t="s">
        <v>42</v>
      </c>
      <c r="F20" s="582">
        <v>0.36</v>
      </c>
      <c r="G20" s="583">
        <v>1</v>
      </c>
      <c r="H20" s="584"/>
      <c r="I20" s="584">
        <f>1007+690+703+1053+660</f>
        <v>4113</v>
      </c>
      <c r="J20" s="585">
        <v>870</v>
      </c>
      <c r="K20" s="534">
        <f>500+509+506*2+507+506+509</f>
        <v>3543</v>
      </c>
      <c r="L20" s="586"/>
      <c r="M20" s="586">
        <v>10</v>
      </c>
      <c r="N20" s="586"/>
      <c r="O20" s="587">
        <v>350</v>
      </c>
      <c r="P20" s="576">
        <f t="shared" si="0"/>
        <v>0.84357142857142853</v>
      </c>
      <c r="Q20" s="588">
        <f t="shared" si="1"/>
        <v>0</v>
      </c>
      <c r="R20" s="589">
        <f t="shared" si="2"/>
        <v>10.8</v>
      </c>
      <c r="S20" s="577">
        <v>10</v>
      </c>
      <c r="T20" s="577">
        <v>48</v>
      </c>
      <c r="U20" s="590" t="s">
        <v>891</v>
      </c>
      <c r="V20" s="534" t="s">
        <v>759</v>
      </c>
    </row>
    <row r="21" spans="1:24" ht="24.95" customHeight="1">
      <c r="A21" s="581">
        <v>11</v>
      </c>
      <c r="B21" s="581">
        <v>7</v>
      </c>
      <c r="C21" s="581" t="s">
        <v>888</v>
      </c>
      <c r="D21" s="581" t="s">
        <v>43</v>
      </c>
      <c r="E21" s="581" t="s">
        <v>42</v>
      </c>
      <c r="F21" s="582">
        <v>0.36</v>
      </c>
      <c r="G21" s="583">
        <v>1</v>
      </c>
      <c r="H21" s="584"/>
      <c r="I21" s="584">
        <f>1038+615+1038+1035</f>
        <v>3726</v>
      </c>
      <c r="J21" s="585">
        <v>870</v>
      </c>
      <c r="K21" s="534">
        <f>500+505+501+506+500+503+500+503</f>
        <v>4018</v>
      </c>
      <c r="L21" s="586"/>
      <c r="M21" s="586">
        <v>10</v>
      </c>
      <c r="N21" s="586"/>
      <c r="O21" s="587">
        <v>350</v>
      </c>
      <c r="P21" s="576">
        <f t="shared" si="0"/>
        <v>0.95666666666666667</v>
      </c>
      <c r="Q21" s="588">
        <f t="shared" si="1"/>
        <v>0</v>
      </c>
      <c r="R21" s="589">
        <f t="shared" si="2"/>
        <v>12.016666666666667</v>
      </c>
      <c r="S21" s="577">
        <v>12</v>
      </c>
      <c r="T21" s="577">
        <v>1</v>
      </c>
      <c r="U21" s="590" t="s">
        <v>892</v>
      </c>
      <c r="V21" s="534" t="s">
        <v>709</v>
      </c>
    </row>
    <row r="22" spans="1:24" ht="63" customHeight="1">
      <c r="A22" s="581">
        <v>11</v>
      </c>
      <c r="B22" s="581">
        <v>8</v>
      </c>
      <c r="C22" s="581" t="s">
        <v>908</v>
      </c>
      <c r="D22" s="581" t="s">
        <v>0</v>
      </c>
      <c r="E22" s="581" t="s">
        <v>42</v>
      </c>
      <c r="F22" s="582">
        <v>0.36</v>
      </c>
      <c r="G22" s="583">
        <v>1</v>
      </c>
      <c r="H22" s="584"/>
      <c r="I22" s="584">
        <f>1002+690+1002</f>
        <v>2694</v>
      </c>
      <c r="J22" s="585">
        <v>870</v>
      </c>
      <c r="K22" s="585">
        <f>505+506+509+504*2</f>
        <v>2528</v>
      </c>
      <c r="L22" s="586">
        <f>121+48+120</f>
        <v>289</v>
      </c>
      <c r="M22" s="586">
        <v>10</v>
      </c>
      <c r="N22" s="586"/>
      <c r="O22" s="587">
        <v>350</v>
      </c>
      <c r="P22" s="576">
        <f t="shared" si="0"/>
        <v>0.60190476190476194</v>
      </c>
      <c r="Q22" s="588">
        <f t="shared" si="1"/>
        <v>0.10259140930067448</v>
      </c>
      <c r="R22" s="589">
        <f t="shared" si="2"/>
        <v>7.9666666666666668</v>
      </c>
      <c r="S22" s="577">
        <v>7</v>
      </c>
      <c r="T22" s="577">
        <v>58</v>
      </c>
      <c r="U22" s="590" t="s">
        <v>911</v>
      </c>
      <c r="V22" s="534" t="s">
        <v>910</v>
      </c>
    </row>
    <row r="23" spans="1:24" ht="24.95" customHeight="1">
      <c r="A23" s="581">
        <v>11</v>
      </c>
      <c r="B23" s="581">
        <v>8</v>
      </c>
      <c r="C23" s="581" t="s">
        <v>908</v>
      </c>
      <c r="D23" s="581" t="s">
        <v>43</v>
      </c>
      <c r="E23" s="581" t="s">
        <v>42</v>
      </c>
      <c r="F23" s="582">
        <v>0.36</v>
      </c>
      <c r="G23" s="583">
        <v>1</v>
      </c>
      <c r="H23" s="584"/>
      <c r="I23" s="584">
        <f>1100+962+1056+760</f>
        <v>3878</v>
      </c>
      <c r="J23" s="585">
        <v>870</v>
      </c>
      <c r="K23" s="534">
        <f>501+504+505+506+503</f>
        <v>2519</v>
      </c>
      <c r="L23" s="586"/>
      <c r="M23" s="586">
        <v>10</v>
      </c>
      <c r="N23" s="586"/>
      <c r="O23" s="587">
        <v>350</v>
      </c>
      <c r="P23" s="576">
        <f>K23/(O23*12)</f>
        <v>0.59976190476190472</v>
      </c>
      <c r="Q23" s="588">
        <f>L23/(K23+L23)</f>
        <v>0</v>
      </c>
      <c r="R23" s="589">
        <f>S23+T23/60</f>
        <v>7.9</v>
      </c>
      <c r="S23" s="577">
        <v>7</v>
      </c>
      <c r="T23" s="577">
        <v>54</v>
      </c>
      <c r="U23" s="590" t="s">
        <v>912</v>
      </c>
      <c r="V23" s="534" t="s">
        <v>913</v>
      </c>
    </row>
    <row r="24" spans="1:24" ht="24.95" customHeight="1">
      <c r="A24" s="581">
        <v>11</v>
      </c>
      <c r="B24" s="581">
        <v>8</v>
      </c>
      <c r="C24" s="581" t="s">
        <v>908</v>
      </c>
      <c r="D24" s="581" t="s">
        <v>43</v>
      </c>
      <c r="E24" s="581" t="s">
        <v>42</v>
      </c>
      <c r="F24" s="582">
        <v>0.25</v>
      </c>
      <c r="G24" s="583">
        <v>1</v>
      </c>
      <c r="H24" s="584"/>
      <c r="I24" s="584"/>
      <c r="J24" s="585">
        <v>840</v>
      </c>
      <c r="K24" s="534">
        <f>502+504+505</f>
        <v>1511</v>
      </c>
      <c r="L24" s="586"/>
      <c r="M24" s="586">
        <v>10</v>
      </c>
      <c r="N24" s="586"/>
      <c r="O24" s="587">
        <v>350</v>
      </c>
      <c r="P24" s="576">
        <f t="shared" si="0"/>
        <v>0.35976190476190478</v>
      </c>
      <c r="Q24" s="588">
        <f t="shared" si="1"/>
        <v>0</v>
      </c>
      <c r="R24" s="589">
        <f t="shared" si="2"/>
        <v>5.7</v>
      </c>
      <c r="S24" s="577">
        <v>5</v>
      </c>
      <c r="T24" s="577">
        <v>42</v>
      </c>
      <c r="U24" s="590" t="s">
        <v>914</v>
      </c>
      <c r="V24" s="534" t="s">
        <v>913</v>
      </c>
    </row>
    <row r="25" spans="1:24" ht="24.95" customHeight="1">
      <c r="A25" s="581">
        <v>11</v>
      </c>
      <c r="B25" s="581">
        <v>9</v>
      </c>
      <c r="C25" s="581" t="s">
        <v>929</v>
      </c>
      <c r="D25" s="581" t="s">
        <v>0</v>
      </c>
      <c r="E25" s="581" t="s">
        <v>42</v>
      </c>
      <c r="F25" s="582">
        <v>0.25</v>
      </c>
      <c r="G25" s="583">
        <v>1</v>
      </c>
      <c r="H25" s="584"/>
      <c r="I25" s="584">
        <f>661+991+1036+796</f>
        <v>3484</v>
      </c>
      <c r="J25" s="585">
        <v>840</v>
      </c>
      <c r="K25" s="534">
        <f>501+505+503+509+507+506+509</f>
        <v>3540</v>
      </c>
      <c r="L25" s="586"/>
      <c r="M25" s="586">
        <v>10</v>
      </c>
      <c r="N25" s="586"/>
      <c r="O25" s="587">
        <v>350</v>
      </c>
      <c r="P25" s="576">
        <f t="shared" si="0"/>
        <v>0.84285714285714286</v>
      </c>
      <c r="Q25" s="588">
        <f t="shared" si="1"/>
        <v>0</v>
      </c>
      <c r="R25" s="589">
        <f t="shared" si="2"/>
        <v>11.25</v>
      </c>
      <c r="S25" s="577">
        <v>11</v>
      </c>
      <c r="T25" s="577">
        <v>15</v>
      </c>
      <c r="U25" s="590" t="s">
        <v>931</v>
      </c>
      <c r="V25" s="534" t="s">
        <v>759</v>
      </c>
    </row>
    <row r="26" spans="1:24" ht="24.95" customHeight="1">
      <c r="A26" s="581">
        <v>11</v>
      </c>
      <c r="B26" s="581">
        <v>9</v>
      </c>
      <c r="C26" s="581" t="s">
        <v>929</v>
      </c>
      <c r="D26" s="581" t="s">
        <v>43</v>
      </c>
      <c r="E26" s="581" t="s">
        <v>42</v>
      </c>
      <c r="F26" s="582">
        <v>0.25</v>
      </c>
      <c r="G26" s="583">
        <v>1</v>
      </c>
      <c r="H26" s="584"/>
      <c r="I26" s="584">
        <f>1051+616+610+1025</f>
        <v>3302</v>
      </c>
      <c r="J26" s="585">
        <v>840</v>
      </c>
      <c r="K26" s="534">
        <f>500+506+505+504+502+505+503+505</f>
        <v>4030</v>
      </c>
      <c r="L26" s="586"/>
      <c r="M26" s="586">
        <v>10</v>
      </c>
      <c r="N26" s="586"/>
      <c r="O26" s="587">
        <v>350</v>
      </c>
      <c r="P26" s="576">
        <f t="shared" si="0"/>
        <v>0.95952380952380956</v>
      </c>
      <c r="Q26" s="588">
        <f t="shared" si="1"/>
        <v>0</v>
      </c>
      <c r="R26" s="589">
        <f t="shared" si="2"/>
        <v>12.133333333333333</v>
      </c>
      <c r="S26" s="577">
        <v>12</v>
      </c>
      <c r="T26" s="577">
        <v>8</v>
      </c>
      <c r="U26" s="590" t="s">
        <v>932</v>
      </c>
      <c r="V26" s="534" t="s">
        <v>711</v>
      </c>
    </row>
    <row r="27" spans="1:24" ht="24.95" customHeight="1">
      <c r="A27" s="581">
        <v>11</v>
      </c>
      <c r="B27" s="581">
        <v>10</v>
      </c>
      <c r="C27" s="581" t="s">
        <v>954</v>
      </c>
      <c r="D27" s="581" t="s">
        <v>0</v>
      </c>
      <c r="E27" s="581" t="s">
        <v>42</v>
      </c>
      <c r="F27" s="582">
        <v>0.25</v>
      </c>
      <c r="G27" s="583">
        <v>1</v>
      </c>
      <c r="H27" s="584"/>
      <c r="I27" s="584">
        <f>1037+1030+800+932</f>
        <v>3799</v>
      </c>
      <c r="J27" s="585">
        <v>840</v>
      </c>
      <c r="K27" s="585">
        <f>340+502+450+509+503+507+505+507</f>
        <v>3823</v>
      </c>
      <c r="L27" s="586"/>
      <c r="M27" s="586">
        <v>10</v>
      </c>
      <c r="N27" s="586"/>
      <c r="O27" s="587">
        <v>350</v>
      </c>
      <c r="P27" s="576">
        <f>K27/(O27*12)</f>
        <v>0.91023809523809529</v>
      </c>
      <c r="Q27" s="588">
        <f>L27/(K27+L27)</f>
        <v>0</v>
      </c>
      <c r="R27" s="589">
        <f>S27+T27/60</f>
        <v>12.066666666666666</v>
      </c>
      <c r="S27" s="577">
        <v>12</v>
      </c>
      <c r="T27" s="577">
        <v>4</v>
      </c>
      <c r="U27" s="590" t="s">
        <v>957</v>
      </c>
      <c r="V27" s="534" t="s">
        <v>759</v>
      </c>
    </row>
    <row r="28" spans="1:24" ht="24.95" customHeight="1">
      <c r="A28" s="581">
        <v>11</v>
      </c>
      <c r="B28" s="581">
        <v>10</v>
      </c>
      <c r="C28" s="581" t="s">
        <v>954</v>
      </c>
      <c r="D28" s="581" t="s">
        <v>43</v>
      </c>
      <c r="E28" s="581" t="s">
        <v>42</v>
      </c>
      <c r="F28" s="582">
        <v>0.25</v>
      </c>
      <c r="G28" s="583">
        <v>1</v>
      </c>
      <c r="H28" s="584"/>
      <c r="I28" s="584"/>
      <c r="J28" s="585">
        <v>840</v>
      </c>
      <c r="K28" s="534">
        <f>342+500</f>
        <v>842</v>
      </c>
      <c r="L28" s="586"/>
      <c r="M28" s="586">
        <v>10</v>
      </c>
      <c r="N28" s="586"/>
      <c r="O28" s="587">
        <v>350</v>
      </c>
      <c r="P28" s="576">
        <f t="shared" si="0"/>
        <v>0.20047619047619047</v>
      </c>
      <c r="Q28" s="588">
        <f t="shared" si="1"/>
        <v>0</v>
      </c>
      <c r="R28" s="589">
        <f t="shared" si="2"/>
        <v>2.2999999999999998</v>
      </c>
      <c r="S28" s="577">
        <v>2</v>
      </c>
      <c r="T28" s="577">
        <v>18</v>
      </c>
      <c r="U28" s="590" t="s">
        <v>958</v>
      </c>
      <c r="V28" s="534" t="s">
        <v>711</v>
      </c>
    </row>
    <row r="29" spans="1:24" ht="24.95" customHeight="1">
      <c r="A29" s="581">
        <v>11</v>
      </c>
      <c r="B29" s="581">
        <v>11</v>
      </c>
      <c r="C29" s="581" t="s">
        <v>973</v>
      </c>
      <c r="D29" s="581" t="s">
        <v>0</v>
      </c>
      <c r="E29" s="581" t="s">
        <v>42</v>
      </c>
      <c r="F29" s="582"/>
      <c r="G29" s="583" t="s">
        <v>980</v>
      </c>
      <c r="H29" s="584"/>
      <c r="I29" s="584"/>
      <c r="J29" s="585"/>
      <c r="K29" s="534"/>
      <c r="L29" s="586"/>
      <c r="M29" s="586"/>
      <c r="N29" s="586"/>
      <c r="O29" s="587">
        <v>350</v>
      </c>
      <c r="P29" s="576">
        <f t="shared" si="0"/>
        <v>0</v>
      </c>
      <c r="Q29" s="588" t="e">
        <f t="shared" si="1"/>
        <v>#DIV/0!</v>
      </c>
      <c r="R29" s="589">
        <f t="shared" si="2"/>
        <v>0</v>
      </c>
      <c r="S29" s="577"/>
      <c r="T29" s="577"/>
      <c r="U29" s="590"/>
      <c r="V29" s="534"/>
    </row>
    <row r="30" spans="1:24" ht="24.95" customHeight="1">
      <c r="A30" s="581">
        <v>11</v>
      </c>
      <c r="B30" s="581">
        <v>11</v>
      </c>
      <c r="C30" s="581" t="s">
        <v>973</v>
      </c>
      <c r="D30" s="581" t="s">
        <v>43</v>
      </c>
      <c r="E30" s="581" t="s">
        <v>42</v>
      </c>
      <c r="F30" s="582"/>
      <c r="G30" s="583" t="s">
        <v>980</v>
      </c>
      <c r="H30" s="584"/>
      <c r="I30" s="584"/>
      <c r="J30" s="585"/>
      <c r="K30" s="534"/>
      <c r="L30" s="586"/>
      <c r="M30" s="586"/>
      <c r="N30" s="586"/>
      <c r="O30" s="587">
        <v>350</v>
      </c>
      <c r="P30" s="576">
        <f>K30/(O30*12)</f>
        <v>0</v>
      </c>
      <c r="Q30" s="588" t="e">
        <f>L30/(K30+L30)</f>
        <v>#DIV/0!</v>
      </c>
      <c r="R30" s="589">
        <f>S30+T30/60</f>
        <v>0</v>
      </c>
      <c r="S30" s="577"/>
      <c r="T30" s="577"/>
      <c r="U30" s="590"/>
      <c r="V30" s="534"/>
    </row>
    <row r="31" spans="1:24" ht="24.95" customHeight="1">
      <c r="A31" s="581">
        <v>11</v>
      </c>
      <c r="B31" s="581">
        <v>12</v>
      </c>
      <c r="C31" s="581" t="s">
        <v>981</v>
      </c>
      <c r="D31" s="581" t="s">
        <v>0</v>
      </c>
      <c r="E31" s="581" t="s">
        <v>42</v>
      </c>
      <c r="F31" s="582"/>
      <c r="G31" s="583" t="s">
        <v>980</v>
      </c>
      <c r="H31" s="584"/>
      <c r="I31" s="584"/>
      <c r="J31" s="585"/>
      <c r="K31" s="534"/>
      <c r="L31" s="586"/>
      <c r="M31" s="586"/>
      <c r="N31" s="586"/>
      <c r="O31" s="587">
        <v>350</v>
      </c>
      <c r="P31" s="576">
        <f>K31/(O31*12)</f>
        <v>0</v>
      </c>
      <c r="Q31" s="588" t="e">
        <f>L31/(K31+L31)</f>
        <v>#DIV/0!</v>
      </c>
      <c r="R31" s="589">
        <f>S31+T31/60</f>
        <v>0</v>
      </c>
      <c r="S31" s="577"/>
      <c r="T31" s="577"/>
      <c r="U31" s="590"/>
      <c r="V31" s="534"/>
    </row>
    <row r="32" spans="1:24" ht="24.95" customHeight="1">
      <c r="A32" s="581">
        <v>11</v>
      </c>
      <c r="B32" s="581">
        <v>12</v>
      </c>
      <c r="C32" s="581" t="s">
        <v>981</v>
      </c>
      <c r="D32" s="581" t="s">
        <v>43</v>
      </c>
      <c r="E32" s="581" t="s">
        <v>42</v>
      </c>
      <c r="F32" s="582"/>
      <c r="G32" s="583" t="s">
        <v>980</v>
      </c>
      <c r="H32" s="584"/>
      <c r="I32" s="584"/>
      <c r="J32" s="585"/>
      <c r="K32" s="534"/>
      <c r="L32" s="586"/>
      <c r="M32" s="586"/>
      <c r="N32" s="586"/>
      <c r="O32" s="587">
        <v>350</v>
      </c>
      <c r="P32" s="576">
        <f t="shared" si="0"/>
        <v>0</v>
      </c>
      <c r="Q32" s="588" t="e">
        <f t="shared" si="1"/>
        <v>#DIV/0!</v>
      </c>
      <c r="R32" s="589">
        <f t="shared" si="2"/>
        <v>0</v>
      </c>
      <c r="S32" s="577"/>
      <c r="T32" s="577"/>
      <c r="U32" s="590"/>
      <c r="V32" s="534"/>
    </row>
    <row r="33" spans="1:22" ht="33.75" customHeight="1">
      <c r="A33" s="581">
        <v>11</v>
      </c>
      <c r="B33" s="434">
        <v>13</v>
      </c>
      <c r="C33" s="581" t="s">
        <v>974</v>
      </c>
      <c r="D33" s="581" t="s">
        <v>0</v>
      </c>
      <c r="E33" s="581" t="s">
        <v>42</v>
      </c>
      <c r="F33" s="582">
        <v>0.25</v>
      </c>
      <c r="G33" s="583">
        <v>1</v>
      </c>
      <c r="H33" s="584"/>
      <c r="I33" s="584">
        <f>1035+1038+798+1008</f>
        <v>3879</v>
      </c>
      <c r="J33" s="585">
        <v>840</v>
      </c>
      <c r="K33" s="534">
        <f>509+506+503*2+507*2</f>
        <v>3035</v>
      </c>
      <c r="L33" s="586">
        <f>47</f>
        <v>47</v>
      </c>
      <c r="M33" s="586">
        <v>10</v>
      </c>
      <c r="N33" s="586"/>
      <c r="O33" s="587">
        <v>350</v>
      </c>
      <c r="P33" s="576">
        <f t="shared" si="0"/>
        <v>0.72261904761904761</v>
      </c>
      <c r="Q33" s="588">
        <f t="shared" si="1"/>
        <v>1.5249837767683322E-2</v>
      </c>
      <c r="R33" s="589">
        <f t="shared" si="2"/>
        <v>9.65</v>
      </c>
      <c r="S33" s="577">
        <v>9</v>
      </c>
      <c r="T33" s="577">
        <v>39</v>
      </c>
      <c r="U33" s="590" t="s">
        <v>982</v>
      </c>
      <c r="V33" s="534" t="s">
        <v>759</v>
      </c>
    </row>
    <row r="34" spans="1:22" ht="24.95" customHeight="1">
      <c r="A34" s="581">
        <v>11</v>
      </c>
      <c r="B34" s="434">
        <v>13</v>
      </c>
      <c r="C34" s="581" t="s">
        <v>974</v>
      </c>
      <c r="D34" s="581" t="s">
        <v>43</v>
      </c>
      <c r="E34" s="581" t="s">
        <v>42</v>
      </c>
      <c r="F34" s="582">
        <v>0.25</v>
      </c>
      <c r="G34" s="583">
        <v>1</v>
      </c>
      <c r="H34" s="584"/>
      <c r="I34" s="584">
        <f>900+1042+1048+957</f>
        <v>3947</v>
      </c>
      <c r="J34" s="585">
        <v>840</v>
      </c>
      <c r="K34" s="534">
        <f>500+506+504+505+502+503+505+506</f>
        <v>4031</v>
      </c>
      <c r="L34" s="586"/>
      <c r="M34" s="586">
        <v>10</v>
      </c>
      <c r="N34" s="586"/>
      <c r="O34" s="587">
        <v>350</v>
      </c>
      <c r="P34" s="576">
        <f t="shared" si="0"/>
        <v>0.95976190476190482</v>
      </c>
      <c r="Q34" s="588">
        <f t="shared" si="1"/>
        <v>0</v>
      </c>
      <c r="R34" s="589">
        <f t="shared" si="2"/>
        <v>12.516666666666667</v>
      </c>
      <c r="S34" s="577">
        <v>12</v>
      </c>
      <c r="T34" s="577">
        <v>31</v>
      </c>
      <c r="U34" s="590" t="s">
        <v>983</v>
      </c>
      <c r="V34" s="534" t="s">
        <v>711</v>
      </c>
    </row>
    <row r="35" spans="1:22" ht="24.95" customHeight="1">
      <c r="A35" s="434">
        <v>11</v>
      </c>
      <c r="B35" s="434">
        <v>14</v>
      </c>
      <c r="C35" s="581" t="s">
        <v>1001</v>
      </c>
      <c r="D35" s="581" t="s">
        <v>0</v>
      </c>
      <c r="E35" s="581" t="s">
        <v>42</v>
      </c>
      <c r="F35" s="582">
        <v>0.25</v>
      </c>
      <c r="G35" s="583">
        <v>1</v>
      </c>
      <c r="H35" s="584"/>
      <c r="I35" s="584">
        <f>1040+755+849+924</f>
        <v>3568</v>
      </c>
      <c r="J35" s="585">
        <v>840</v>
      </c>
      <c r="K35" s="585">
        <f>509+506+540+507+509*2+506</f>
        <v>3586</v>
      </c>
      <c r="L35" s="586"/>
      <c r="M35" s="586">
        <v>10</v>
      </c>
      <c r="N35" s="586"/>
      <c r="O35" s="587">
        <v>350</v>
      </c>
      <c r="P35" s="576">
        <f t="shared" si="0"/>
        <v>0.8538095238095238</v>
      </c>
      <c r="Q35" s="588">
        <f t="shared" si="1"/>
        <v>0</v>
      </c>
      <c r="R35" s="589">
        <f t="shared" si="2"/>
        <v>11.333333333333334</v>
      </c>
      <c r="S35" s="577">
        <v>11</v>
      </c>
      <c r="T35" s="577">
        <v>20</v>
      </c>
      <c r="U35" s="590" t="s">
        <v>1005</v>
      </c>
      <c r="V35" s="534" t="s">
        <v>759</v>
      </c>
    </row>
    <row r="36" spans="1:22" ht="24.95" customHeight="1">
      <c r="A36" s="434">
        <v>11</v>
      </c>
      <c r="B36" s="434">
        <v>14</v>
      </c>
      <c r="C36" s="581" t="s">
        <v>1001</v>
      </c>
      <c r="D36" s="581" t="s">
        <v>43</v>
      </c>
      <c r="E36" s="581" t="s">
        <v>42</v>
      </c>
      <c r="F36" s="582">
        <v>0.25</v>
      </c>
      <c r="G36" s="583">
        <v>1</v>
      </c>
      <c r="H36" s="584"/>
      <c r="I36" s="584"/>
      <c r="J36" s="585">
        <v>840</v>
      </c>
      <c r="K36" s="585">
        <f>500</f>
        <v>500</v>
      </c>
      <c r="L36" s="586">
        <f>66</f>
        <v>66</v>
      </c>
      <c r="M36" s="586">
        <v>10</v>
      </c>
      <c r="N36" s="586"/>
      <c r="O36" s="587">
        <v>350</v>
      </c>
      <c r="P36" s="576">
        <f>K36/(O36*12)</f>
        <v>0.11904761904761904</v>
      </c>
      <c r="Q36" s="588">
        <f>L36/(K36+L36)</f>
        <v>0.1166077738515901</v>
      </c>
      <c r="R36" s="589">
        <f>S36+T36/60</f>
        <v>1.6</v>
      </c>
      <c r="S36" s="577">
        <v>1</v>
      </c>
      <c r="T36" s="577">
        <v>36</v>
      </c>
      <c r="U36" s="590" t="s">
        <v>1006</v>
      </c>
      <c r="V36" s="534" t="s">
        <v>711</v>
      </c>
    </row>
    <row r="37" spans="1:22" ht="24.95" customHeight="1">
      <c r="A37" s="434">
        <v>11</v>
      </c>
      <c r="B37" s="434">
        <v>14</v>
      </c>
      <c r="C37" s="581" t="s">
        <v>1001</v>
      </c>
      <c r="D37" s="581" t="s">
        <v>43</v>
      </c>
      <c r="E37" s="581" t="s">
        <v>42</v>
      </c>
      <c r="F37" s="582">
        <v>0.45</v>
      </c>
      <c r="G37" s="583">
        <v>1</v>
      </c>
      <c r="H37" s="584"/>
      <c r="I37" s="584">
        <f>968+1061+1057+823</f>
        <v>3909</v>
      </c>
      <c r="J37" s="585">
        <v>870</v>
      </c>
      <c r="K37" s="585">
        <f>500+503+502+505+506+504+505</f>
        <v>3525</v>
      </c>
      <c r="L37" s="586"/>
      <c r="M37" s="586">
        <v>10</v>
      </c>
      <c r="N37" s="586"/>
      <c r="O37" s="587">
        <v>350</v>
      </c>
      <c r="P37" s="576">
        <f t="shared" si="0"/>
        <v>0.8392857142857143</v>
      </c>
      <c r="Q37" s="588">
        <f t="shared" si="1"/>
        <v>0</v>
      </c>
      <c r="R37" s="589">
        <f t="shared" si="2"/>
        <v>10.033333333333333</v>
      </c>
      <c r="S37" s="577">
        <v>10</v>
      </c>
      <c r="T37" s="577">
        <v>2</v>
      </c>
      <c r="U37" s="590" t="s">
        <v>1007</v>
      </c>
      <c r="V37" s="534" t="s">
        <v>711</v>
      </c>
    </row>
    <row r="38" spans="1:22" ht="33.75" customHeight="1">
      <c r="A38" s="434">
        <v>11</v>
      </c>
      <c r="B38" s="434">
        <v>15</v>
      </c>
      <c r="C38" s="581" t="s">
        <v>1022</v>
      </c>
      <c r="D38" s="581" t="s">
        <v>0</v>
      </c>
      <c r="E38" s="581" t="s">
        <v>42</v>
      </c>
      <c r="F38" s="582">
        <v>0.45</v>
      </c>
      <c r="G38" s="583">
        <v>1</v>
      </c>
      <c r="H38" s="584"/>
      <c r="I38" s="584">
        <f>905+690+1069</f>
        <v>2664</v>
      </c>
      <c r="J38" s="585">
        <v>870</v>
      </c>
      <c r="K38" s="585">
        <f>503+505+320+507+509+507+506+503</f>
        <v>3860</v>
      </c>
      <c r="L38" s="586">
        <f>37</f>
        <v>37</v>
      </c>
      <c r="M38" s="586">
        <v>10</v>
      </c>
      <c r="N38" s="586"/>
      <c r="O38" s="587">
        <v>350</v>
      </c>
      <c r="P38" s="576">
        <f>K38/(O38*12)</f>
        <v>0.919047619047619</v>
      </c>
      <c r="Q38" s="588">
        <f>L38/(K38+L38)</f>
        <v>9.4944829355914813E-3</v>
      </c>
      <c r="R38" s="589">
        <f>S38+T38/60</f>
        <v>12.3</v>
      </c>
      <c r="S38" s="577">
        <v>12</v>
      </c>
      <c r="T38" s="577">
        <v>18</v>
      </c>
      <c r="U38" s="590" t="s">
        <v>1025</v>
      </c>
      <c r="V38" s="534" t="s">
        <v>759</v>
      </c>
    </row>
    <row r="39" spans="1:22" ht="24.95" customHeight="1">
      <c r="A39" s="434">
        <v>11</v>
      </c>
      <c r="B39" s="434">
        <v>15</v>
      </c>
      <c r="C39" s="581" t="s">
        <v>1022</v>
      </c>
      <c r="D39" s="581" t="s">
        <v>43</v>
      </c>
      <c r="E39" s="581" t="s">
        <v>42</v>
      </c>
      <c r="F39" s="582">
        <v>0.45</v>
      </c>
      <c r="G39" s="583">
        <v>1</v>
      </c>
      <c r="H39" s="584"/>
      <c r="I39" s="584"/>
      <c r="J39" s="585">
        <v>870</v>
      </c>
      <c r="K39" s="534">
        <f>500+300</f>
        <v>800</v>
      </c>
      <c r="L39" s="586"/>
      <c r="M39" s="586">
        <v>10</v>
      </c>
      <c r="N39" s="586"/>
      <c r="O39" s="587">
        <v>350</v>
      </c>
      <c r="P39" s="576">
        <f>K39/(O39*12)</f>
        <v>0.19047619047619047</v>
      </c>
      <c r="Q39" s="588">
        <f>L39/(K39+L39)</f>
        <v>0</v>
      </c>
      <c r="R39" s="589">
        <f>S39+T39/60</f>
        <v>2.8333333333333335</v>
      </c>
      <c r="S39" s="577">
        <v>2</v>
      </c>
      <c r="T39" s="577">
        <v>50</v>
      </c>
      <c r="U39" s="590" t="s">
        <v>1026</v>
      </c>
      <c r="V39" s="534" t="s">
        <v>711</v>
      </c>
    </row>
    <row r="40" spans="1:22" ht="24.95" customHeight="1">
      <c r="A40" s="434">
        <v>11</v>
      </c>
      <c r="B40" s="434">
        <v>16</v>
      </c>
      <c r="C40" s="581" t="s">
        <v>1049</v>
      </c>
      <c r="D40" s="581" t="s">
        <v>0</v>
      </c>
      <c r="E40" s="581" t="s">
        <v>42</v>
      </c>
      <c r="F40" s="582"/>
      <c r="G40" s="583" t="s">
        <v>1053</v>
      </c>
      <c r="H40" s="584"/>
      <c r="I40" s="584"/>
      <c r="J40" s="585"/>
      <c r="K40" s="534"/>
      <c r="L40" s="586"/>
      <c r="M40" s="586"/>
      <c r="N40" s="586"/>
      <c r="O40" s="587">
        <v>350</v>
      </c>
      <c r="P40" s="576">
        <f t="shared" si="0"/>
        <v>0</v>
      </c>
      <c r="Q40" s="588" t="e">
        <f t="shared" si="1"/>
        <v>#DIV/0!</v>
      </c>
      <c r="R40" s="589">
        <f t="shared" si="2"/>
        <v>0</v>
      </c>
      <c r="S40" s="577"/>
      <c r="T40" s="577"/>
      <c r="U40" s="590"/>
      <c r="V40" s="534"/>
    </row>
    <row r="41" spans="1:22" ht="24.95" customHeight="1">
      <c r="A41" s="434">
        <v>11</v>
      </c>
      <c r="B41" s="434">
        <v>16</v>
      </c>
      <c r="C41" s="581" t="s">
        <v>1049</v>
      </c>
      <c r="D41" s="581" t="s">
        <v>43</v>
      </c>
      <c r="E41" s="581" t="s">
        <v>42</v>
      </c>
      <c r="F41" s="582"/>
      <c r="G41" s="583" t="s">
        <v>1053</v>
      </c>
      <c r="H41" s="584"/>
      <c r="I41" s="584"/>
      <c r="J41" s="585"/>
      <c r="K41" s="534"/>
      <c r="L41" s="586"/>
      <c r="M41" s="586"/>
      <c r="N41" s="586"/>
      <c r="O41" s="587">
        <v>350</v>
      </c>
      <c r="P41" s="576">
        <f t="shared" si="0"/>
        <v>0</v>
      </c>
      <c r="Q41" s="588" t="e">
        <f t="shared" si="1"/>
        <v>#DIV/0!</v>
      </c>
      <c r="R41" s="589">
        <f t="shared" si="2"/>
        <v>0</v>
      </c>
      <c r="S41" s="577"/>
      <c r="T41" s="577"/>
      <c r="U41" s="590"/>
      <c r="V41" s="534"/>
    </row>
    <row r="42" spans="1:22" ht="24.95" customHeight="1">
      <c r="A42" s="434">
        <v>11</v>
      </c>
      <c r="B42" s="434">
        <v>17</v>
      </c>
      <c r="C42" s="581" t="s">
        <v>1073</v>
      </c>
      <c r="D42" s="581" t="s">
        <v>0</v>
      </c>
      <c r="E42" s="581" t="s">
        <v>42</v>
      </c>
      <c r="F42" s="582"/>
      <c r="G42" s="583" t="s">
        <v>633</v>
      </c>
      <c r="H42" s="584"/>
      <c r="I42" s="584"/>
      <c r="J42" s="585"/>
      <c r="K42" s="585"/>
      <c r="L42" s="586"/>
      <c r="M42" s="586"/>
      <c r="N42" s="586"/>
      <c r="O42" s="587">
        <v>350</v>
      </c>
      <c r="P42" s="576">
        <f>K42/(O42*12)</f>
        <v>0</v>
      </c>
      <c r="Q42" s="588" t="e">
        <f>L42/(K42+L42)</f>
        <v>#DIV/0!</v>
      </c>
      <c r="R42" s="589">
        <f>S42+T42/60</f>
        <v>0</v>
      </c>
      <c r="S42" s="577"/>
      <c r="T42" s="577"/>
      <c r="U42" s="590"/>
      <c r="V42" s="534"/>
    </row>
    <row r="43" spans="1:22" ht="24.95" customHeight="1">
      <c r="A43" s="434">
        <v>11</v>
      </c>
      <c r="B43" s="434">
        <v>17</v>
      </c>
      <c r="C43" s="581" t="s">
        <v>1073</v>
      </c>
      <c r="D43" s="581" t="s">
        <v>43</v>
      </c>
      <c r="E43" s="581" t="s">
        <v>42</v>
      </c>
      <c r="F43" s="582"/>
      <c r="G43" s="583" t="s">
        <v>633</v>
      </c>
      <c r="H43" s="584"/>
      <c r="I43" s="584"/>
      <c r="J43" s="585"/>
      <c r="K43" s="585"/>
      <c r="L43" s="586"/>
      <c r="M43" s="586"/>
      <c r="N43" s="586"/>
      <c r="O43" s="587">
        <v>350</v>
      </c>
      <c r="P43" s="576">
        <f>K43/(O43*12)</f>
        <v>0</v>
      </c>
      <c r="Q43" s="588" t="e">
        <f t="shared" si="1"/>
        <v>#DIV/0!</v>
      </c>
      <c r="R43" s="589">
        <f t="shared" si="2"/>
        <v>0</v>
      </c>
      <c r="S43" s="577"/>
      <c r="T43" s="577"/>
      <c r="U43" s="590"/>
      <c r="V43" s="534"/>
    </row>
    <row r="44" spans="1:22" ht="24.95" customHeight="1">
      <c r="A44" s="434">
        <v>11</v>
      </c>
      <c r="B44" s="434">
        <v>18</v>
      </c>
      <c r="C44" s="581" t="s">
        <v>670</v>
      </c>
      <c r="D44" s="581" t="s">
        <v>0</v>
      </c>
      <c r="E44" s="581" t="s">
        <v>42</v>
      </c>
      <c r="F44" s="582"/>
      <c r="G44" s="583" t="s">
        <v>633</v>
      </c>
      <c r="H44" s="584"/>
      <c r="I44" s="584"/>
      <c r="J44" s="585"/>
      <c r="K44" s="585"/>
      <c r="L44" s="586"/>
      <c r="M44" s="586"/>
      <c r="N44" s="586"/>
      <c r="O44" s="587">
        <v>350</v>
      </c>
      <c r="P44" s="576">
        <f>K44/(O44*12)</f>
        <v>0</v>
      </c>
      <c r="Q44" s="588" t="e">
        <f>L44/(K44+L44)</f>
        <v>#DIV/0!</v>
      </c>
      <c r="R44" s="589">
        <f>S44+T44/60</f>
        <v>0</v>
      </c>
      <c r="S44" s="577"/>
      <c r="T44" s="577"/>
      <c r="U44" s="590"/>
      <c r="V44" s="534"/>
    </row>
    <row r="45" spans="1:22" ht="24.95" customHeight="1">
      <c r="A45" s="434">
        <v>11</v>
      </c>
      <c r="B45" s="434">
        <v>18</v>
      </c>
      <c r="C45" s="581" t="s">
        <v>670</v>
      </c>
      <c r="D45" s="581" t="s">
        <v>43</v>
      </c>
      <c r="E45" s="581" t="s">
        <v>42</v>
      </c>
      <c r="F45" s="582"/>
      <c r="G45" s="583" t="s">
        <v>633</v>
      </c>
      <c r="H45" s="584"/>
      <c r="I45" s="584"/>
      <c r="J45" s="585"/>
      <c r="K45" s="585"/>
      <c r="L45" s="586"/>
      <c r="M45" s="586"/>
      <c r="N45" s="586"/>
      <c r="O45" s="587">
        <v>350</v>
      </c>
      <c r="P45" s="576">
        <f t="shared" si="0"/>
        <v>0</v>
      </c>
      <c r="Q45" s="588" t="e">
        <f t="shared" si="1"/>
        <v>#DIV/0!</v>
      </c>
      <c r="R45" s="589">
        <f t="shared" si="2"/>
        <v>0</v>
      </c>
      <c r="S45" s="577"/>
      <c r="T45" s="577"/>
      <c r="U45" s="590"/>
      <c r="V45" s="534"/>
    </row>
    <row r="46" spans="1:22" ht="24.95" customHeight="1">
      <c r="A46" s="434">
        <v>11</v>
      </c>
      <c r="B46" s="434">
        <v>19</v>
      </c>
      <c r="C46" s="581" t="s">
        <v>671</v>
      </c>
      <c r="D46" s="581" t="s">
        <v>0</v>
      </c>
      <c r="E46" s="581" t="s">
        <v>42</v>
      </c>
      <c r="F46" s="582"/>
      <c r="G46" s="583" t="s">
        <v>633</v>
      </c>
      <c r="H46" s="584"/>
      <c r="I46" s="584"/>
      <c r="J46" s="585"/>
      <c r="K46" s="585"/>
      <c r="L46" s="586"/>
      <c r="M46" s="586"/>
      <c r="N46" s="586"/>
      <c r="O46" s="587">
        <v>350</v>
      </c>
      <c r="P46" s="576">
        <f>K46/(O46*12)</f>
        <v>0</v>
      </c>
      <c r="Q46" s="588" t="e">
        <f>L46/(K46+L46)</f>
        <v>#DIV/0!</v>
      </c>
      <c r="R46" s="589">
        <f>S46+T46/60</f>
        <v>0</v>
      </c>
      <c r="S46" s="577"/>
      <c r="T46" s="577"/>
      <c r="U46" s="590"/>
      <c r="V46" s="534"/>
    </row>
    <row r="47" spans="1:22" ht="24.95" customHeight="1">
      <c r="A47" s="434">
        <v>11</v>
      </c>
      <c r="B47" s="434">
        <v>19</v>
      </c>
      <c r="C47" s="581" t="s">
        <v>671</v>
      </c>
      <c r="D47" s="581" t="s">
        <v>43</v>
      </c>
      <c r="E47" s="581" t="s">
        <v>42</v>
      </c>
      <c r="F47" s="582"/>
      <c r="G47" s="583" t="s">
        <v>633</v>
      </c>
      <c r="H47" s="584"/>
      <c r="I47" s="584"/>
      <c r="J47" s="585"/>
      <c r="K47" s="534"/>
      <c r="L47" s="586"/>
      <c r="M47" s="586"/>
      <c r="N47" s="586"/>
      <c r="O47" s="587">
        <v>350</v>
      </c>
      <c r="P47" s="576">
        <f t="shared" si="0"/>
        <v>0</v>
      </c>
      <c r="Q47" s="588" t="e">
        <f t="shared" si="1"/>
        <v>#DIV/0!</v>
      </c>
      <c r="R47" s="589">
        <f t="shared" si="2"/>
        <v>0</v>
      </c>
      <c r="S47" s="577"/>
      <c r="T47" s="577"/>
      <c r="U47" s="590"/>
      <c r="V47" s="534"/>
    </row>
    <row r="48" spans="1:22" ht="24.95" customHeight="1">
      <c r="A48" s="434">
        <v>11</v>
      </c>
      <c r="B48" s="434">
        <v>20</v>
      </c>
      <c r="C48" s="581" t="s">
        <v>672</v>
      </c>
      <c r="D48" s="581" t="s">
        <v>0</v>
      </c>
      <c r="E48" s="581" t="s">
        <v>42</v>
      </c>
      <c r="F48" s="582"/>
      <c r="G48" s="583" t="s">
        <v>633</v>
      </c>
      <c r="H48" s="584"/>
      <c r="I48" s="584"/>
      <c r="J48" s="585"/>
      <c r="K48" s="534"/>
      <c r="L48" s="586"/>
      <c r="M48" s="586"/>
      <c r="N48" s="586"/>
      <c r="O48" s="587">
        <v>350</v>
      </c>
      <c r="P48" s="576">
        <f t="shared" si="0"/>
        <v>0</v>
      </c>
      <c r="Q48" s="588" t="e">
        <f t="shared" si="1"/>
        <v>#DIV/0!</v>
      </c>
      <c r="R48" s="589">
        <f t="shared" si="2"/>
        <v>0</v>
      </c>
      <c r="S48" s="577"/>
      <c r="T48" s="577"/>
      <c r="U48" s="590"/>
      <c r="V48" s="534"/>
    </row>
    <row r="49" spans="1:22" ht="24.95" customHeight="1">
      <c r="A49" s="434">
        <v>11</v>
      </c>
      <c r="B49" s="434">
        <v>20</v>
      </c>
      <c r="C49" s="581" t="s">
        <v>672</v>
      </c>
      <c r="D49" s="581" t="s">
        <v>43</v>
      </c>
      <c r="E49" s="581" t="s">
        <v>42</v>
      </c>
      <c r="F49" s="582"/>
      <c r="G49" s="583" t="s">
        <v>633</v>
      </c>
      <c r="H49" s="584"/>
      <c r="I49" s="584"/>
      <c r="J49" s="585"/>
      <c r="K49" s="534"/>
      <c r="L49" s="586"/>
      <c r="M49" s="586"/>
      <c r="N49" s="586"/>
      <c r="O49" s="587">
        <v>350</v>
      </c>
      <c r="P49" s="576">
        <f t="shared" ref="P49:P55" si="3">K49/(O49*12)</f>
        <v>0</v>
      </c>
      <c r="Q49" s="588" t="e">
        <f t="shared" ref="Q49:Q55" si="4">L49/(K49+L49)</f>
        <v>#DIV/0!</v>
      </c>
      <c r="R49" s="589">
        <f t="shared" ref="R49:R55" si="5">S49+T49/60</f>
        <v>0</v>
      </c>
      <c r="S49" s="577"/>
      <c r="T49" s="577"/>
      <c r="U49" s="590"/>
      <c r="V49" s="534"/>
    </row>
    <row r="50" spans="1:22" ht="24.95" customHeight="1">
      <c r="A50" s="581">
        <v>11</v>
      </c>
      <c r="B50" s="581">
        <v>21</v>
      </c>
      <c r="C50" s="581" t="s">
        <v>1143</v>
      </c>
      <c r="D50" s="581" t="s">
        <v>0</v>
      </c>
      <c r="E50" s="581" t="s">
        <v>42</v>
      </c>
      <c r="F50" s="582"/>
      <c r="G50" s="583" t="s">
        <v>633</v>
      </c>
      <c r="H50" s="584"/>
      <c r="I50" s="584"/>
      <c r="J50" s="585"/>
      <c r="K50" s="534"/>
      <c r="L50" s="586"/>
      <c r="M50" s="586"/>
      <c r="N50" s="586"/>
      <c r="O50" s="587">
        <v>350</v>
      </c>
      <c r="P50" s="576">
        <f>K50/(O50*12)</f>
        <v>0</v>
      </c>
      <c r="Q50" s="588" t="e">
        <f>L50/(K50+L50)</f>
        <v>#DIV/0!</v>
      </c>
      <c r="R50" s="589">
        <f>S50+T50/60</f>
        <v>0</v>
      </c>
      <c r="S50" s="577"/>
      <c r="T50" s="577"/>
      <c r="U50" s="590"/>
      <c r="V50" s="534"/>
    </row>
    <row r="51" spans="1:22" ht="24.95" customHeight="1">
      <c r="A51" s="581">
        <v>11</v>
      </c>
      <c r="B51" s="581">
        <v>21</v>
      </c>
      <c r="C51" s="581" t="s">
        <v>1143</v>
      </c>
      <c r="D51" s="581" t="s">
        <v>43</v>
      </c>
      <c r="E51" s="581" t="s">
        <v>42</v>
      </c>
      <c r="F51" s="582"/>
      <c r="G51" s="583" t="s">
        <v>633</v>
      </c>
      <c r="H51" s="584"/>
      <c r="I51" s="584"/>
      <c r="J51" s="585"/>
      <c r="K51" s="534"/>
      <c r="L51" s="586"/>
      <c r="M51" s="586"/>
      <c r="N51" s="586"/>
      <c r="O51" s="587">
        <v>350</v>
      </c>
      <c r="P51" s="576">
        <f t="shared" si="3"/>
        <v>0</v>
      </c>
      <c r="Q51" s="588" t="e">
        <f t="shared" si="4"/>
        <v>#DIV/0!</v>
      </c>
      <c r="R51" s="589">
        <f t="shared" si="5"/>
        <v>0</v>
      </c>
      <c r="S51" s="577"/>
      <c r="T51" s="577"/>
      <c r="U51" s="590"/>
      <c r="V51" s="534"/>
    </row>
    <row r="52" spans="1:22" ht="24.95" customHeight="1">
      <c r="A52" s="581">
        <v>11</v>
      </c>
      <c r="B52" s="581">
        <v>22</v>
      </c>
      <c r="C52" s="581" t="s">
        <v>632</v>
      </c>
      <c r="D52" s="581" t="s">
        <v>0</v>
      </c>
      <c r="E52" s="581" t="s">
        <v>42</v>
      </c>
      <c r="F52" s="582"/>
      <c r="G52" s="583" t="s">
        <v>633</v>
      </c>
      <c r="H52" s="584"/>
      <c r="I52" s="584"/>
      <c r="J52" s="585"/>
      <c r="K52" s="534"/>
      <c r="L52" s="586"/>
      <c r="M52" s="586"/>
      <c r="N52" s="586"/>
      <c r="O52" s="587">
        <v>350</v>
      </c>
      <c r="P52" s="576">
        <f t="shared" si="3"/>
        <v>0</v>
      </c>
      <c r="Q52" s="588" t="e">
        <f t="shared" si="4"/>
        <v>#DIV/0!</v>
      </c>
      <c r="R52" s="589">
        <f t="shared" si="5"/>
        <v>0</v>
      </c>
      <c r="S52" s="577"/>
      <c r="T52" s="577"/>
      <c r="U52" s="590"/>
      <c r="V52" s="534"/>
    </row>
    <row r="53" spans="1:22" ht="24.95" customHeight="1">
      <c r="A53" s="581">
        <v>11</v>
      </c>
      <c r="B53" s="581">
        <v>22</v>
      </c>
      <c r="C53" s="581" t="s">
        <v>632</v>
      </c>
      <c r="D53" s="581" t="s">
        <v>43</v>
      </c>
      <c r="E53" s="581" t="s">
        <v>42</v>
      </c>
      <c r="F53" s="582"/>
      <c r="G53" s="583" t="s">
        <v>633</v>
      </c>
      <c r="H53" s="584"/>
      <c r="I53" s="584"/>
      <c r="J53" s="585"/>
      <c r="K53" s="534"/>
      <c r="L53" s="586"/>
      <c r="M53" s="586"/>
      <c r="N53" s="586"/>
      <c r="O53" s="587">
        <v>350</v>
      </c>
      <c r="P53" s="576">
        <f t="shared" si="3"/>
        <v>0</v>
      </c>
      <c r="Q53" s="588" t="e">
        <f t="shared" si="4"/>
        <v>#DIV/0!</v>
      </c>
      <c r="R53" s="589">
        <f t="shared" si="5"/>
        <v>0</v>
      </c>
      <c r="S53" s="577"/>
      <c r="T53" s="577"/>
      <c r="U53" s="590"/>
      <c r="V53" s="534"/>
    </row>
    <row r="54" spans="1:22" ht="24.95" customHeight="1">
      <c r="A54" s="581">
        <v>11</v>
      </c>
      <c r="B54" s="581">
        <v>23</v>
      </c>
      <c r="C54" s="581" t="s">
        <v>667</v>
      </c>
      <c r="D54" s="581" t="s">
        <v>0</v>
      </c>
      <c r="E54" s="581" t="s">
        <v>42</v>
      </c>
      <c r="F54" s="582"/>
      <c r="G54" s="583" t="s">
        <v>633</v>
      </c>
      <c r="H54" s="584"/>
      <c r="I54" s="584"/>
      <c r="J54" s="585"/>
      <c r="K54" s="534"/>
      <c r="L54" s="586"/>
      <c r="M54" s="586"/>
      <c r="N54" s="586"/>
      <c r="O54" s="587">
        <v>350</v>
      </c>
      <c r="P54" s="576">
        <f t="shared" si="3"/>
        <v>0</v>
      </c>
      <c r="Q54" s="588" t="e">
        <f t="shared" si="4"/>
        <v>#DIV/0!</v>
      </c>
      <c r="R54" s="589">
        <f t="shared" si="5"/>
        <v>0</v>
      </c>
      <c r="S54" s="577"/>
      <c r="T54" s="577"/>
      <c r="U54" s="590"/>
      <c r="V54" s="534"/>
    </row>
    <row r="55" spans="1:22" ht="24.95" customHeight="1">
      <c r="A55" s="581">
        <v>11</v>
      </c>
      <c r="B55" s="581">
        <v>23</v>
      </c>
      <c r="C55" s="581" t="s">
        <v>667</v>
      </c>
      <c r="D55" s="581" t="s">
        <v>43</v>
      </c>
      <c r="E55" s="581" t="s">
        <v>42</v>
      </c>
      <c r="F55" s="582"/>
      <c r="G55" s="583" t="s">
        <v>633</v>
      </c>
      <c r="H55" s="584"/>
      <c r="I55" s="584"/>
      <c r="J55" s="585"/>
      <c r="K55" s="534"/>
      <c r="L55" s="586"/>
      <c r="M55" s="586"/>
      <c r="N55" s="586"/>
      <c r="O55" s="587">
        <v>350</v>
      </c>
      <c r="P55" s="576">
        <f t="shared" si="3"/>
        <v>0</v>
      </c>
      <c r="Q55" s="588" t="e">
        <f t="shared" si="4"/>
        <v>#DIV/0!</v>
      </c>
      <c r="R55" s="589">
        <f t="shared" si="5"/>
        <v>0</v>
      </c>
      <c r="S55" s="577"/>
      <c r="T55" s="577"/>
      <c r="U55" s="590"/>
      <c r="V55" s="534"/>
    </row>
    <row r="56" spans="1:22" ht="24.95" customHeight="1">
      <c r="A56" s="581">
        <v>11</v>
      </c>
      <c r="B56" s="581">
        <v>24</v>
      </c>
      <c r="C56" s="581" t="s">
        <v>1192</v>
      </c>
      <c r="D56" s="581" t="s">
        <v>0</v>
      </c>
      <c r="E56" s="581" t="s">
        <v>42</v>
      </c>
      <c r="F56" s="582"/>
      <c r="G56" s="583" t="s">
        <v>633</v>
      </c>
      <c r="H56" s="584"/>
      <c r="I56" s="584"/>
      <c r="J56" s="585"/>
      <c r="K56" s="534"/>
      <c r="L56" s="586"/>
      <c r="M56" s="586"/>
      <c r="N56" s="586"/>
      <c r="O56" s="587">
        <v>350</v>
      </c>
      <c r="P56" s="576">
        <f t="shared" si="0"/>
        <v>0</v>
      </c>
      <c r="Q56" s="588" t="e">
        <f t="shared" si="1"/>
        <v>#DIV/0!</v>
      </c>
      <c r="R56" s="589">
        <f t="shared" si="2"/>
        <v>0</v>
      </c>
      <c r="S56" s="577"/>
      <c r="T56" s="577"/>
      <c r="U56" s="590"/>
      <c r="V56" s="534"/>
    </row>
    <row r="57" spans="1:22" ht="24.95" customHeight="1">
      <c r="A57" s="581">
        <v>11</v>
      </c>
      <c r="B57" s="581">
        <v>24</v>
      </c>
      <c r="C57" s="581" t="s">
        <v>1192</v>
      </c>
      <c r="D57" s="581" t="s">
        <v>43</v>
      </c>
      <c r="E57" s="581" t="s">
        <v>42</v>
      </c>
      <c r="F57" s="582"/>
      <c r="G57" s="583" t="s">
        <v>633</v>
      </c>
      <c r="H57" s="584"/>
      <c r="I57" s="584"/>
      <c r="J57" s="585"/>
      <c r="K57" s="534"/>
      <c r="L57" s="586"/>
      <c r="M57" s="586"/>
      <c r="N57" s="586"/>
      <c r="O57" s="587">
        <v>350</v>
      </c>
      <c r="P57" s="576">
        <f>K57/(O57*12)</f>
        <v>0</v>
      </c>
      <c r="Q57" s="588" t="e">
        <f>L57/(K57+L57)</f>
        <v>#DIV/0!</v>
      </c>
      <c r="R57" s="589">
        <f>S57+T57/60</f>
        <v>0</v>
      </c>
      <c r="S57" s="577"/>
      <c r="T57" s="577"/>
      <c r="U57" s="590"/>
      <c r="V57" s="534"/>
    </row>
    <row r="58" spans="1:22" ht="24.95" customHeight="1">
      <c r="A58" s="581">
        <v>11</v>
      </c>
      <c r="B58" s="581">
        <v>25</v>
      </c>
      <c r="C58" s="581" t="s">
        <v>670</v>
      </c>
      <c r="D58" s="581" t="s">
        <v>0</v>
      </c>
      <c r="E58" s="581" t="s">
        <v>42</v>
      </c>
      <c r="F58" s="582"/>
      <c r="G58" s="583" t="s">
        <v>633</v>
      </c>
      <c r="H58" s="584"/>
      <c r="I58" s="584"/>
      <c r="J58" s="585"/>
      <c r="K58" s="534"/>
      <c r="L58" s="586"/>
      <c r="M58" s="586"/>
      <c r="N58" s="586"/>
      <c r="O58" s="587">
        <v>350</v>
      </c>
      <c r="P58" s="576">
        <f t="shared" si="0"/>
        <v>0</v>
      </c>
      <c r="Q58" s="588" t="e">
        <f t="shared" si="1"/>
        <v>#DIV/0!</v>
      </c>
      <c r="R58" s="589">
        <f t="shared" si="2"/>
        <v>0</v>
      </c>
      <c r="S58" s="577"/>
      <c r="T58" s="577"/>
      <c r="U58" s="590"/>
      <c r="V58" s="534"/>
    </row>
    <row r="59" spans="1:22" ht="24.95" customHeight="1">
      <c r="A59" s="581">
        <v>11</v>
      </c>
      <c r="B59" s="581">
        <v>25</v>
      </c>
      <c r="C59" s="581" t="s">
        <v>670</v>
      </c>
      <c r="D59" s="581" t="s">
        <v>43</v>
      </c>
      <c r="E59" s="581" t="s">
        <v>42</v>
      </c>
      <c r="F59" s="582"/>
      <c r="G59" s="583" t="s">
        <v>633</v>
      </c>
      <c r="H59" s="584"/>
      <c r="I59" s="584"/>
      <c r="J59" s="585"/>
      <c r="K59" s="534"/>
      <c r="L59" s="586"/>
      <c r="M59" s="586"/>
      <c r="N59" s="586"/>
      <c r="O59" s="587">
        <v>350</v>
      </c>
      <c r="P59" s="576">
        <f t="shared" si="0"/>
        <v>0</v>
      </c>
      <c r="Q59" s="588" t="e">
        <f t="shared" si="1"/>
        <v>#DIV/0!</v>
      </c>
      <c r="R59" s="589">
        <f t="shared" si="2"/>
        <v>0</v>
      </c>
      <c r="S59" s="577"/>
      <c r="T59" s="577"/>
      <c r="U59" s="590"/>
      <c r="V59" s="534"/>
    </row>
    <row r="60" spans="1:22" ht="24.95" customHeight="1">
      <c r="A60" s="581">
        <v>11</v>
      </c>
      <c r="B60" s="581">
        <v>26</v>
      </c>
      <c r="C60" s="581" t="s">
        <v>671</v>
      </c>
      <c r="D60" s="581" t="s">
        <v>0</v>
      </c>
      <c r="E60" s="581" t="s">
        <v>42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>
        <v>350</v>
      </c>
      <c r="P60" s="576">
        <f t="shared" si="0"/>
        <v>0</v>
      </c>
      <c r="Q60" s="588" t="e">
        <f t="shared" si="1"/>
        <v>#DIV/0!</v>
      </c>
      <c r="R60" s="589">
        <f t="shared" si="2"/>
        <v>0</v>
      </c>
      <c r="S60" s="577"/>
      <c r="T60" s="577"/>
      <c r="U60" s="590"/>
      <c r="V60" s="534"/>
    </row>
    <row r="61" spans="1:22" ht="24.95" customHeight="1">
      <c r="A61" s="581">
        <v>11</v>
      </c>
      <c r="B61" s="581">
        <v>26</v>
      </c>
      <c r="C61" s="581" t="s">
        <v>671</v>
      </c>
      <c r="D61" s="581" t="s">
        <v>43</v>
      </c>
      <c r="E61" s="581" t="s">
        <v>42</v>
      </c>
      <c r="F61" s="582"/>
      <c r="G61" s="583" t="s">
        <v>633</v>
      </c>
      <c r="H61" s="584"/>
      <c r="I61" s="584"/>
      <c r="J61" s="585"/>
      <c r="K61" s="534"/>
      <c r="L61" s="586"/>
      <c r="M61" s="586"/>
      <c r="N61" s="586"/>
      <c r="O61" s="587">
        <v>350</v>
      </c>
      <c r="P61" s="576">
        <f>K61/(O61*12)</f>
        <v>0</v>
      </c>
      <c r="Q61" s="588" t="e">
        <f>L61/(K61+L61)</f>
        <v>#DIV/0!</v>
      </c>
      <c r="R61" s="589">
        <f>S61+T61/60</f>
        <v>0</v>
      </c>
      <c r="S61" s="577"/>
      <c r="T61" s="577"/>
      <c r="U61" s="590"/>
      <c r="V61" s="534"/>
    </row>
    <row r="62" spans="1:22" ht="33" customHeight="1">
      <c r="A62" s="434">
        <v>11</v>
      </c>
      <c r="B62" s="434">
        <v>27</v>
      </c>
      <c r="C62" s="581" t="s">
        <v>1202</v>
      </c>
      <c r="D62" s="581" t="s">
        <v>0</v>
      </c>
      <c r="E62" s="581" t="s">
        <v>42</v>
      </c>
      <c r="F62" s="582">
        <v>0.25</v>
      </c>
      <c r="G62" s="583">
        <v>1</v>
      </c>
      <c r="H62" s="584"/>
      <c r="I62" s="584">
        <f>944+805+1148+1087</f>
        <v>3984</v>
      </c>
      <c r="J62" s="585">
        <v>870</v>
      </c>
      <c r="K62" s="534">
        <f>500+505+509+506+501+506+505</f>
        <v>3532</v>
      </c>
      <c r="L62" s="586">
        <f>37</f>
        <v>37</v>
      </c>
      <c r="M62" s="586">
        <v>10</v>
      </c>
      <c r="N62" s="586"/>
      <c r="O62" s="587">
        <v>350</v>
      </c>
      <c r="P62" s="576">
        <f>K62/(O62*12)</f>
        <v>0.84095238095238101</v>
      </c>
      <c r="Q62" s="588">
        <f>L62/(K62+L62)</f>
        <v>1.0367049593723731E-2</v>
      </c>
      <c r="R62" s="589">
        <f>S62+T62/60</f>
        <v>10.983333333333333</v>
      </c>
      <c r="S62" s="577">
        <v>10</v>
      </c>
      <c r="T62" s="577">
        <v>59</v>
      </c>
      <c r="U62" s="590" t="s">
        <v>1207</v>
      </c>
      <c r="V62" s="534" t="s">
        <v>1206</v>
      </c>
    </row>
    <row r="63" spans="1:22" ht="24.95" customHeight="1">
      <c r="A63" s="434">
        <v>11</v>
      </c>
      <c r="B63" s="434">
        <v>27</v>
      </c>
      <c r="C63" s="581" t="s">
        <v>1202</v>
      </c>
      <c r="D63" s="581" t="s">
        <v>43</v>
      </c>
      <c r="E63" s="581" t="s">
        <v>42</v>
      </c>
      <c r="F63" s="582">
        <v>0.25</v>
      </c>
      <c r="G63" s="583">
        <v>1</v>
      </c>
      <c r="H63" s="584"/>
      <c r="I63" s="584">
        <f>1074+1036+904+1055+905+913</f>
        <v>5887</v>
      </c>
      <c r="J63" s="585">
        <v>870</v>
      </c>
      <c r="K63" s="534">
        <f>500+501+504+53+506+504+53+501</f>
        <v>3122</v>
      </c>
      <c r="L63" s="586"/>
      <c r="M63" s="586">
        <v>10</v>
      </c>
      <c r="N63" s="586"/>
      <c r="O63" s="587">
        <v>350</v>
      </c>
      <c r="P63" s="576">
        <f t="shared" si="0"/>
        <v>0.74333333333333329</v>
      </c>
      <c r="Q63" s="588">
        <f t="shared" si="1"/>
        <v>0</v>
      </c>
      <c r="R63" s="589">
        <f t="shared" si="2"/>
        <v>12.366666666666667</v>
      </c>
      <c r="S63" s="577">
        <v>12</v>
      </c>
      <c r="T63" s="577">
        <v>22</v>
      </c>
      <c r="U63" s="590" t="s">
        <v>1208</v>
      </c>
      <c r="V63" s="534" t="s">
        <v>1209</v>
      </c>
    </row>
    <row r="64" spans="1:22" ht="24.95" customHeight="1">
      <c r="A64" s="434">
        <v>11</v>
      </c>
      <c r="B64" s="434">
        <v>28</v>
      </c>
      <c r="C64" s="581" t="s">
        <v>1225</v>
      </c>
      <c r="D64" s="581" t="s">
        <v>0</v>
      </c>
      <c r="E64" s="581" t="s">
        <v>42</v>
      </c>
      <c r="F64" s="582">
        <v>0.25</v>
      </c>
      <c r="G64" s="583">
        <v>1</v>
      </c>
      <c r="H64" s="584"/>
      <c r="I64" s="584">
        <f>887+938+795+621+603</f>
        <v>3844</v>
      </c>
      <c r="J64" s="585">
        <v>870</v>
      </c>
      <c r="K64" s="534">
        <f>501+505+503+506+504+502+505</f>
        <v>3526</v>
      </c>
      <c r="L64" s="586"/>
      <c r="M64" s="586">
        <v>10</v>
      </c>
      <c r="N64" s="586"/>
      <c r="O64" s="587">
        <v>350</v>
      </c>
      <c r="P64" s="576">
        <f>K64/(O64*12)</f>
        <v>0.83952380952380956</v>
      </c>
      <c r="Q64" s="588">
        <f>L64/(K64+L64)</f>
        <v>0</v>
      </c>
      <c r="R64" s="589">
        <f>S64+T64/60</f>
        <v>10.583333333333334</v>
      </c>
      <c r="S64" s="577">
        <v>10</v>
      </c>
      <c r="T64" s="577">
        <v>35</v>
      </c>
      <c r="U64" s="590" t="s">
        <v>1229</v>
      </c>
      <c r="V64" s="534" t="s">
        <v>1230</v>
      </c>
    </row>
    <row r="65" spans="1:22" ht="24.95" customHeight="1">
      <c r="A65" s="434">
        <v>11</v>
      </c>
      <c r="B65" s="434">
        <v>28</v>
      </c>
      <c r="C65" s="581" t="s">
        <v>1225</v>
      </c>
      <c r="D65" s="581" t="s">
        <v>43</v>
      </c>
      <c r="E65" s="581" t="s">
        <v>42</v>
      </c>
      <c r="F65" s="582">
        <v>0.25</v>
      </c>
      <c r="G65" s="583">
        <v>1</v>
      </c>
      <c r="H65" s="584"/>
      <c r="I65" s="584">
        <f>1006+1081+731+1036+1039+1042</f>
        <v>5935</v>
      </c>
      <c r="J65" s="585">
        <v>870</v>
      </c>
      <c r="K65" s="534">
        <f>500+503+501+504+502*2+501+504</f>
        <v>4017</v>
      </c>
      <c r="L65" s="586"/>
      <c r="M65" s="586">
        <v>10</v>
      </c>
      <c r="N65" s="586"/>
      <c r="O65" s="587">
        <v>350</v>
      </c>
      <c r="P65" s="576">
        <f>K65/(O65*12)</f>
        <v>0.95642857142857141</v>
      </c>
      <c r="Q65" s="588">
        <f>L65/(K65+L65)</f>
        <v>0</v>
      </c>
      <c r="R65" s="589">
        <f>S65+T65/60</f>
        <v>12.083333333333334</v>
      </c>
      <c r="S65" s="577">
        <v>12</v>
      </c>
      <c r="T65" s="577">
        <v>5</v>
      </c>
      <c r="U65" s="590" t="s">
        <v>1231</v>
      </c>
      <c r="V65" s="534" t="s">
        <v>697</v>
      </c>
    </row>
    <row r="66" spans="1:22" ht="24.95" customHeight="1">
      <c r="A66" s="434">
        <v>11</v>
      </c>
      <c r="B66" s="434">
        <v>29</v>
      </c>
      <c r="C66" s="581" t="s">
        <v>1245</v>
      </c>
      <c r="D66" s="581" t="s">
        <v>0</v>
      </c>
      <c r="E66" s="581" t="s">
        <v>42</v>
      </c>
      <c r="F66" s="582">
        <v>0.25</v>
      </c>
      <c r="G66" s="583">
        <v>1</v>
      </c>
      <c r="H66" s="584"/>
      <c r="I66" s="584">
        <f>815+1037+620+1028+645+650+920</f>
        <v>5715</v>
      </c>
      <c r="J66" s="585">
        <v>870</v>
      </c>
      <c r="K66" s="534">
        <f>502+505+503+506+504+502+505+503</f>
        <v>4030</v>
      </c>
      <c r="L66" s="586"/>
      <c r="M66" s="586">
        <v>10</v>
      </c>
      <c r="N66" s="586"/>
      <c r="O66" s="587">
        <v>350</v>
      </c>
      <c r="P66" s="576">
        <f>K66/(O66*12)</f>
        <v>0.95952380952380956</v>
      </c>
      <c r="Q66" s="588">
        <f>L66/(K66+L66)</f>
        <v>0</v>
      </c>
      <c r="R66" s="589">
        <f>S66+T66/60</f>
        <v>12.583333333333334</v>
      </c>
      <c r="S66" s="577">
        <v>12</v>
      </c>
      <c r="T66" s="577">
        <v>35</v>
      </c>
      <c r="U66" s="590" t="s">
        <v>1248</v>
      </c>
      <c r="V66" s="534" t="s">
        <v>679</v>
      </c>
    </row>
    <row r="67" spans="1:22" ht="24.95" customHeight="1">
      <c r="A67" s="434">
        <v>11</v>
      </c>
      <c r="B67" s="434">
        <v>29</v>
      </c>
      <c r="C67" s="581" t="s">
        <v>1245</v>
      </c>
      <c r="D67" s="581" t="s">
        <v>43</v>
      </c>
      <c r="E67" s="581" t="s">
        <v>42</v>
      </c>
      <c r="F67" s="582">
        <v>0.25</v>
      </c>
      <c r="G67" s="583">
        <v>1</v>
      </c>
      <c r="H67" s="584"/>
      <c r="I67" s="584">
        <f>911+1037+610+1035+882</f>
        <v>4475</v>
      </c>
      <c r="J67" s="585">
        <v>870</v>
      </c>
      <c r="K67" s="534">
        <f>500+502+505+503+503+500+501+505</f>
        <v>4019</v>
      </c>
      <c r="L67" s="586"/>
      <c r="M67" s="586">
        <v>10</v>
      </c>
      <c r="N67" s="586"/>
      <c r="O67" s="587">
        <v>350</v>
      </c>
      <c r="P67" s="576">
        <f>K67/(O67*12)</f>
        <v>0.95690476190476192</v>
      </c>
      <c r="Q67" s="588">
        <f>L67/(K67+L67)</f>
        <v>0</v>
      </c>
      <c r="R67" s="589">
        <f>S67+T67/60</f>
        <v>12.133333333333333</v>
      </c>
      <c r="S67" s="577">
        <v>12</v>
      </c>
      <c r="T67" s="577">
        <v>8</v>
      </c>
      <c r="U67" s="590" t="s">
        <v>1250</v>
      </c>
      <c r="V67" s="534" t="s">
        <v>1249</v>
      </c>
    </row>
    <row r="68" spans="1:22" ht="24.95" customHeight="1">
      <c r="A68" s="434">
        <v>11</v>
      </c>
      <c r="B68" s="434">
        <v>30</v>
      </c>
      <c r="C68" s="581" t="s">
        <v>1266</v>
      </c>
      <c r="D68" s="581" t="s">
        <v>0</v>
      </c>
      <c r="E68" s="581" t="s">
        <v>42</v>
      </c>
      <c r="F68" s="582">
        <v>0.25</v>
      </c>
      <c r="G68" s="583">
        <v>1</v>
      </c>
      <c r="H68" s="584"/>
      <c r="I68" s="584">
        <f>612+1042+932+1043+1002</f>
        <v>4631</v>
      </c>
      <c r="J68" s="585">
        <v>870</v>
      </c>
      <c r="K68" s="534">
        <f>500+503+505+503</f>
        <v>2011</v>
      </c>
      <c r="L68" s="586"/>
      <c r="M68" s="586">
        <v>10</v>
      </c>
      <c r="N68" s="586"/>
      <c r="O68" s="587">
        <v>350</v>
      </c>
      <c r="P68" s="576">
        <f>K68/(O68*12)</f>
        <v>0.4788095238095238</v>
      </c>
      <c r="Q68" s="588">
        <f>L68/(K68+L68)</f>
        <v>0</v>
      </c>
      <c r="R68" s="589">
        <f>S68+T68/60</f>
        <v>6.5333333333333332</v>
      </c>
      <c r="S68" s="577">
        <v>6</v>
      </c>
      <c r="T68" s="577">
        <v>32</v>
      </c>
      <c r="U68" s="590" t="s">
        <v>1269</v>
      </c>
      <c r="V68" s="534" t="s">
        <v>679</v>
      </c>
    </row>
    <row r="69" spans="1:22" ht="24.95" customHeight="1">
      <c r="A69" s="434">
        <v>11</v>
      </c>
      <c r="B69" s="434">
        <v>30</v>
      </c>
      <c r="C69" s="581" t="s">
        <v>1266</v>
      </c>
      <c r="D69" s="581" t="s">
        <v>0</v>
      </c>
      <c r="E69" s="581" t="s">
        <v>42</v>
      </c>
      <c r="F69" s="582">
        <v>0.25</v>
      </c>
      <c r="G69" s="583">
        <v>1</v>
      </c>
      <c r="H69" s="584"/>
      <c r="I69" s="584"/>
      <c r="J69" s="585">
        <v>840</v>
      </c>
      <c r="K69" s="534">
        <f>501+506+500+503</f>
        <v>2010</v>
      </c>
      <c r="L69" s="586"/>
      <c r="M69" s="586">
        <v>10</v>
      </c>
      <c r="N69" s="586"/>
      <c r="O69" s="587">
        <v>350</v>
      </c>
      <c r="P69" s="576">
        <f t="shared" si="0"/>
        <v>0.47857142857142859</v>
      </c>
      <c r="Q69" s="588">
        <f t="shared" si="1"/>
        <v>0</v>
      </c>
      <c r="R69" s="589">
        <f t="shared" si="2"/>
        <v>6.0666666666666664</v>
      </c>
      <c r="S69" s="577">
        <v>6</v>
      </c>
      <c r="T69" s="577">
        <v>4</v>
      </c>
      <c r="U69" s="590" t="s">
        <v>1270</v>
      </c>
      <c r="V69" s="534" t="s">
        <v>679</v>
      </c>
    </row>
    <row r="70" spans="1:22" ht="24.95" customHeight="1">
      <c r="A70" s="434">
        <v>11</v>
      </c>
      <c r="B70" s="434">
        <v>30</v>
      </c>
      <c r="C70" s="581" t="s">
        <v>1266</v>
      </c>
      <c r="D70" s="581" t="s">
        <v>43</v>
      </c>
      <c r="E70" s="581" t="s">
        <v>42</v>
      </c>
      <c r="F70" s="582">
        <v>0.25</v>
      </c>
      <c r="G70" s="583">
        <v>1</v>
      </c>
      <c r="H70" s="584"/>
      <c r="I70" s="584">
        <f>894+905+830+1038+682</f>
        <v>4349</v>
      </c>
      <c r="J70" s="585">
        <v>840</v>
      </c>
      <c r="K70" s="534">
        <f>500+501+504+502+501+502+503*2</f>
        <v>4016</v>
      </c>
      <c r="L70" s="586"/>
      <c r="M70" s="586">
        <v>10</v>
      </c>
      <c r="N70" s="586"/>
      <c r="O70" s="587">
        <v>350</v>
      </c>
      <c r="P70" s="576">
        <f t="shared" ref="P70:P75" si="6">K70/(O70*12)</f>
        <v>0.95619047619047615</v>
      </c>
      <c r="Q70" s="588">
        <f t="shared" ref="Q70:Q75" si="7">L70/(K70+L70)</f>
        <v>0</v>
      </c>
      <c r="R70" s="589">
        <f t="shared" ref="R70:R75" si="8">S70+T70/60</f>
        <v>10.833333333333334</v>
      </c>
      <c r="S70" s="577">
        <v>10</v>
      </c>
      <c r="T70" s="577">
        <v>50</v>
      </c>
      <c r="U70" s="590" t="s">
        <v>1272</v>
      </c>
      <c r="V70" s="534" t="s">
        <v>697</v>
      </c>
    </row>
    <row r="71" spans="1:22" ht="24.95" customHeight="1">
      <c r="A71" s="434"/>
      <c r="B71" s="434"/>
      <c r="C71" s="581"/>
      <c r="D71" s="581"/>
      <c r="E71" s="581"/>
      <c r="F71" s="582"/>
      <c r="G71" s="583"/>
      <c r="H71" s="584"/>
      <c r="I71" s="584"/>
      <c r="J71" s="585"/>
      <c r="K71" s="534"/>
      <c r="L71" s="586"/>
      <c r="M71" s="586"/>
      <c r="N71" s="586"/>
      <c r="O71" s="587">
        <v>350</v>
      </c>
      <c r="P71" s="576">
        <f t="shared" si="6"/>
        <v>0</v>
      </c>
      <c r="Q71" s="588" t="e">
        <f t="shared" si="7"/>
        <v>#DIV/0!</v>
      </c>
      <c r="R71" s="589">
        <f t="shared" si="8"/>
        <v>0</v>
      </c>
      <c r="S71" s="577"/>
      <c r="T71" s="577"/>
      <c r="U71" s="590"/>
      <c r="V71" s="534"/>
    </row>
    <row r="72" spans="1:22" ht="24.95" customHeight="1">
      <c r="A72" s="434"/>
      <c r="B72" s="434"/>
      <c r="C72" s="581"/>
      <c r="D72" s="581"/>
      <c r="E72" s="581"/>
      <c r="F72" s="582"/>
      <c r="G72" s="583"/>
      <c r="H72" s="584"/>
      <c r="I72" s="584"/>
      <c r="J72" s="585"/>
      <c r="K72" s="585"/>
      <c r="L72" s="586"/>
      <c r="M72" s="586"/>
      <c r="N72" s="586"/>
      <c r="O72" s="587">
        <v>350</v>
      </c>
      <c r="P72" s="576">
        <f t="shared" si="6"/>
        <v>0</v>
      </c>
      <c r="Q72" s="588" t="e">
        <f t="shared" si="7"/>
        <v>#DIV/0!</v>
      </c>
      <c r="R72" s="589">
        <f t="shared" si="8"/>
        <v>0</v>
      </c>
      <c r="S72" s="577"/>
      <c r="T72" s="577"/>
      <c r="U72" s="590"/>
      <c r="V72" s="534"/>
    </row>
    <row r="73" spans="1:22" ht="24.95" customHeight="1">
      <c r="A73" s="434"/>
      <c r="B73" s="434"/>
      <c r="C73" s="581"/>
      <c r="D73" s="581"/>
      <c r="E73" s="581"/>
      <c r="F73" s="582"/>
      <c r="G73" s="583"/>
      <c r="H73" s="584"/>
      <c r="I73" s="584"/>
      <c r="J73" s="585"/>
      <c r="K73" s="534"/>
      <c r="L73" s="586"/>
      <c r="M73" s="586"/>
      <c r="N73" s="586"/>
      <c r="O73" s="587">
        <v>350</v>
      </c>
      <c r="P73" s="576">
        <f t="shared" si="6"/>
        <v>0</v>
      </c>
      <c r="Q73" s="588" t="e">
        <f t="shared" si="7"/>
        <v>#DIV/0!</v>
      </c>
      <c r="R73" s="589">
        <f t="shared" si="8"/>
        <v>0</v>
      </c>
      <c r="S73" s="577"/>
      <c r="T73" s="577"/>
      <c r="U73" s="590"/>
      <c r="V73" s="534"/>
    </row>
    <row r="74" spans="1:22" ht="24.95" customHeight="1">
      <c r="A74" s="434"/>
      <c r="B74" s="434"/>
      <c r="C74" s="581"/>
      <c r="D74" s="581"/>
      <c r="E74" s="581"/>
      <c r="F74" s="582"/>
      <c r="G74" s="583"/>
      <c r="H74" s="584"/>
      <c r="I74" s="584"/>
      <c r="J74" s="585"/>
      <c r="K74" s="534"/>
      <c r="L74" s="586"/>
      <c r="M74" s="586"/>
      <c r="N74" s="586"/>
      <c r="O74" s="587">
        <v>350</v>
      </c>
      <c r="P74" s="576">
        <f t="shared" si="6"/>
        <v>0</v>
      </c>
      <c r="Q74" s="588" t="e">
        <f t="shared" si="7"/>
        <v>#DIV/0!</v>
      </c>
      <c r="R74" s="589">
        <f t="shared" si="8"/>
        <v>0</v>
      </c>
      <c r="S74" s="577"/>
      <c r="T74" s="577"/>
      <c r="U74" s="590"/>
      <c r="V74" s="534"/>
    </row>
    <row r="75" spans="1:22" ht="24.95" customHeight="1">
      <c r="A75" s="434"/>
      <c r="B75" s="434"/>
      <c r="C75" s="581"/>
      <c r="D75" s="581"/>
      <c r="E75" s="581"/>
      <c r="F75" s="582"/>
      <c r="G75" s="583"/>
      <c r="H75" s="584"/>
      <c r="I75" s="584"/>
      <c r="J75" s="585"/>
      <c r="K75" s="585"/>
      <c r="L75" s="586"/>
      <c r="M75" s="586"/>
      <c r="N75" s="586"/>
      <c r="O75" s="587">
        <v>350</v>
      </c>
      <c r="P75" s="576">
        <f t="shared" si="6"/>
        <v>0</v>
      </c>
      <c r="Q75" s="588" t="e">
        <f t="shared" si="7"/>
        <v>#DIV/0!</v>
      </c>
      <c r="R75" s="589">
        <f t="shared" si="8"/>
        <v>0</v>
      </c>
      <c r="S75" s="577"/>
      <c r="T75" s="577"/>
      <c r="U75" s="590"/>
      <c r="V75" s="534"/>
    </row>
    <row r="76" spans="1:22" ht="30" customHeight="1">
      <c r="E76" s="456"/>
      <c r="F76" s="560"/>
      <c r="G76" s="573"/>
      <c r="H76" s="575"/>
      <c r="I76" s="575"/>
      <c r="J76" s="561"/>
      <c r="K76" s="533"/>
      <c r="L76" s="562"/>
      <c r="M76" s="562"/>
      <c r="N76" s="562"/>
      <c r="O76" s="563"/>
      <c r="P76" s="566"/>
      <c r="Q76" s="566"/>
      <c r="R76" s="564"/>
      <c r="S76" s="567"/>
      <c r="T76" s="567"/>
      <c r="U76" s="565"/>
      <c r="V76" s="533"/>
    </row>
    <row r="77" spans="1:22" ht="30" customHeight="1" thickBot="1">
      <c r="E77" s="456"/>
      <c r="F77" s="560"/>
      <c r="G77" s="573"/>
      <c r="H77" s="575"/>
      <c r="I77" s="575"/>
      <c r="J77" s="561"/>
      <c r="K77" s="533"/>
      <c r="L77" s="562"/>
      <c r="M77" s="562"/>
      <c r="N77" s="562"/>
      <c r="O77" s="563"/>
      <c r="P77" s="566"/>
      <c r="Q77" s="566"/>
      <c r="R77" s="564"/>
      <c r="S77" s="567"/>
      <c r="T77" s="567"/>
      <c r="U77" s="565"/>
      <c r="V77" s="533"/>
    </row>
    <row r="78" spans="1:22" ht="30" customHeight="1" thickBot="1">
      <c r="E78" s="456"/>
      <c r="F78" s="560"/>
      <c r="G78" s="592" t="s">
        <v>585</v>
      </c>
      <c r="H78" s="591">
        <f>SUM(H4:H75)</f>
        <v>12100</v>
      </c>
      <c r="I78" s="594">
        <f>SUM(I4:I75)</f>
        <v>114925</v>
      </c>
      <c r="J78" s="596" t="s">
        <v>586</v>
      </c>
      <c r="K78" s="595">
        <f>SUM(K4:K77)</f>
        <v>123776</v>
      </c>
      <c r="L78" s="593">
        <f>SUM(L4:L77)</f>
        <v>549</v>
      </c>
      <c r="M78" s="597" t="s">
        <v>588</v>
      </c>
      <c r="N78" s="562"/>
      <c r="O78" s="564"/>
      <c r="P78" s="566"/>
      <c r="Q78" s="566"/>
      <c r="R78" s="564"/>
      <c r="S78" s="567"/>
      <c r="T78" s="567"/>
      <c r="U78" s="568"/>
    </row>
    <row r="79" spans="1:22" ht="30" customHeight="1">
      <c r="E79" s="456"/>
      <c r="F79" s="560"/>
      <c r="G79" s="573"/>
      <c r="H79" s="575"/>
      <c r="I79" s="575"/>
      <c r="J79" s="561"/>
      <c r="K79" s="562"/>
      <c r="L79" s="562"/>
      <c r="M79" s="562"/>
      <c r="N79" s="562"/>
      <c r="O79" s="564"/>
      <c r="P79" s="566"/>
      <c r="Q79" s="566"/>
      <c r="R79" s="564"/>
      <c r="S79" s="567"/>
      <c r="T79" s="567"/>
    </row>
    <row r="80" spans="1:22" ht="30" customHeight="1">
      <c r="E80" s="456"/>
      <c r="F80" s="560"/>
      <c r="G80" s="573"/>
      <c r="H80" s="575"/>
      <c r="I80" s="575"/>
      <c r="J80" s="561"/>
      <c r="K80" s="562"/>
      <c r="L80" s="562"/>
      <c r="M80" s="562"/>
      <c r="N80" s="562"/>
      <c r="O80" s="579"/>
      <c r="P80" s="579"/>
      <c r="Q80" s="579"/>
      <c r="R80" s="579"/>
      <c r="S80" s="579"/>
      <c r="T80" s="579"/>
      <c r="U80" s="579"/>
      <c r="V80" s="579"/>
    </row>
    <row r="81" spans="15:20" ht="30" customHeight="1">
      <c r="O81" s="533"/>
      <c r="P81" s="570"/>
      <c r="Q81" s="564"/>
      <c r="R81" s="571"/>
      <c r="T81" s="456"/>
    </row>
    <row r="82" spans="15:20" ht="30" customHeight="1">
      <c r="O82" s="533"/>
      <c r="P82" s="570"/>
      <c r="Q82" s="564"/>
      <c r="R82" s="571"/>
      <c r="T82" s="456"/>
    </row>
    <row r="83" spans="15:20" ht="30" customHeight="1">
      <c r="O83" s="533"/>
      <c r="Q83" s="533"/>
      <c r="R83" s="571"/>
      <c r="T83" s="456"/>
    </row>
    <row r="84" spans="15:20" ht="30" customHeight="1">
      <c r="O84" s="533"/>
      <c r="Q84" s="533"/>
      <c r="R84" s="571"/>
      <c r="T84" s="456"/>
    </row>
    <row r="85" spans="15:20" ht="30" customHeight="1">
      <c r="O85" s="533"/>
      <c r="Q85" s="533"/>
      <c r="R85" s="571"/>
      <c r="T85" s="456"/>
    </row>
    <row r="86" spans="15:20" ht="30" customHeight="1">
      <c r="Q86" s="456"/>
      <c r="R86" s="571"/>
      <c r="T86" s="456"/>
    </row>
    <row r="87" spans="15:20" ht="30" customHeight="1">
      <c r="Q87" s="456"/>
      <c r="R87" s="571"/>
      <c r="T87" s="456"/>
    </row>
    <row r="88" spans="15:20" ht="30" customHeight="1">
      <c r="Q88" s="456"/>
      <c r="R88" s="571"/>
      <c r="T88" s="456"/>
    </row>
    <row r="89" spans="15:20" ht="30" customHeight="1">
      <c r="Q89" s="456"/>
      <c r="R89" s="571"/>
      <c r="T89" s="456"/>
    </row>
    <row r="90" spans="15:20" ht="30" customHeight="1">
      <c r="Q90" s="456"/>
      <c r="R90" s="571"/>
      <c r="T90" s="456"/>
    </row>
    <row r="91" spans="15:20" ht="30" customHeight="1"/>
    <row r="92" spans="15:20" ht="30" customHeight="1"/>
    <row r="93" spans="15:20" ht="30" customHeight="1"/>
    <row r="94" spans="15:20" ht="30" customHeight="1"/>
    <row r="95" spans="15:20" ht="30" customHeight="1"/>
    <row r="96" spans="15:20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24.95" customHeight="1"/>
    <row r="224" ht="24.95" customHeight="1"/>
    <row r="225" ht="24.95" customHeight="1"/>
    <row r="226" ht="24.95" customHeight="1"/>
    <row r="227" ht="24.95" customHeight="1"/>
    <row r="228" ht="24.95" customHeight="1"/>
    <row r="229" ht="24.95" customHeight="1"/>
    <row r="230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工作表16">
    <tabColor rgb="FFFFC000"/>
  </sheetPr>
  <dimension ref="A1:AB220"/>
  <sheetViews>
    <sheetView zoomScale="75" workbookViewId="0">
      <pane xSplit="4" ySplit="3" topLeftCell="E58" activePane="bottomRight" state="frozen"/>
      <selection activeCell="W23" sqref="W23"/>
      <selection pane="topRight" activeCell="W23" sqref="W23"/>
      <selection pane="bottomLeft" activeCell="W23" sqref="W23"/>
      <selection pane="bottomRight" activeCell="C63" sqref="C63"/>
    </sheetView>
  </sheetViews>
  <sheetFormatPr defaultRowHeight="15.75"/>
  <cols>
    <col min="1" max="4" width="4.375" style="456" customWidth="1"/>
    <col min="5" max="5" width="5.625" style="569" customWidth="1"/>
    <col min="6" max="6" width="7.25" style="569" customWidth="1"/>
    <col min="7" max="9" width="9.625" style="574" customWidth="1"/>
    <col min="10" max="12" width="9.625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600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0" customHeigh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 thickBot="1">
      <c r="A4" s="434">
        <v>11</v>
      </c>
      <c r="B4" s="434">
        <v>1</v>
      </c>
      <c r="C4" s="581" t="s">
        <v>632</v>
      </c>
      <c r="D4" s="581" t="s">
        <v>0</v>
      </c>
      <c r="E4" s="581" t="s">
        <v>44</v>
      </c>
      <c r="F4" s="582"/>
      <c r="G4" s="583" t="s">
        <v>633</v>
      </c>
      <c r="H4" s="584"/>
      <c r="I4" s="584"/>
      <c r="J4" s="585"/>
      <c r="K4" s="534"/>
      <c r="L4" s="586"/>
      <c r="M4" s="586"/>
      <c r="N4" s="586"/>
      <c r="O4" s="587"/>
      <c r="P4" s="576" t="e">
        <f>K4/(O4*12)</f>
        <v>#DIV/0!</v>
      </c>
      <c r="Q4" s="588" t="e">
        <f>L4/(K4+L4)</f>
        <v>#DIV/0!</v>
      </c>
      <c r="R4" s="589">
        <f>S4+T4/60</f>
        <v>0</v>
      </c>
      <c r="S4" s="577"/>
      <c r="T4" s="577"/>
      <c r="U4" s="559"/>
      <c r="V4" s="534"/>
      <c r="X4" s="601" t="s">
        <v>601</v>
      </c>
      <c r="Z4" s="608">
        <f>SUMIF(D4:D66,"A",K4:K66)</f>
        <v>0</v>
      </c>
      <c r="AA4" s="609">
        <f>SUMIF(D4:D66,"B",K4:K66)</f>
        <v>0</v>
      </c>
      <c r="AB4" s="607" t="s">
        <v>587</v>
      </c>
    </row>
    <row r="5" spans="1:28" ht="24.95" customHeight="1" thickBot="1">
      <c r="A5" s="434">
        <v>11</v>
      </c>
      <c r="B5" s="434">
        <v>1</v>
      </c>
      <c r="C5" s="581" t="s">
        <v>632</v>
      </c>
      <c r="D5" s="581" t="s">
        <v>690</v>
      </c>
      <c r="E5" s="581" t="s">
        <v>44</v>
      </c>
      <c r="F5" s="582"/>
      <c r="G5" s="583" t="s">
        <v>633</v>
      </c>
      <c r="H5" s="584"/>
      <c r="I5" s="584"/>
      <c r="J5" s="585"/>
      <c r="K5" s="534"/>
      <c r="L5" s="586"/>
      <c r="M5" s="586"/>
      <c r="N5" s="586"/>
      <c r="O5" s="587"/>
      <c r="P5" s="576" t="e">
        <f>K5/(O5*12)</f>
        <v>#DIV/0!</v>
      </c>
      <c r="Q5" s="588" t="e">
        <f>L5/(K5+L5)</f>
        <v>#DIV/0!</v>
      </c>
      <c r="R5" s="589">
        <f>S5+T5/60</f>
        <v>0</v>
      </c>
      <c r="S5" s="577"/>
      <c r="T5" s="577"/>
      <c r="U5" s="559"/>
      <c r="V5" s="534"/>
      <c r="X5" s="580" t="s">
        <v>602</v>
      </c>
      <c r="Z5" s="598" t="s">
        <v>593</v>
      </c>
      <c r="AA5" s="599" t="s">
        <v>594</v>
      </c>
      <c r="AB5" s="600" t="s">
        <v>595</v>
      </c>
    </row>
    <row r="6" spans="1:28" ht="24.95" customHeight="1">
      <c r="A6" s="434">
        <v>11</v>
      </c>
      <c r="B6" s="434">
        <v>2</v>
      </c>
      <c r="C6" s="581" t="s">
        <v>755</v>
      </c>
      <c r="D6" s="581" t="s">
        <v>0</v>
      </c>
      <c r="E6" s="581" t="s">
        <v>44</v>
      </c>
      <c r="F6" s="582"/>
      <c r="G6" s="583" t="s">
        <v>633</v>
      </c>
      <c r="H6" s="584"/>
      <c r="I6" s="584"/>
      <c r="J6" s="585"/>
      <c r="K6" s="534"/>
      <c r="L6" s="586"/>
      <c r="M6" s="586"/>
      <c r="N6" s="586"/>
      <c r="O6" s="587"/>
      <c r="P6" s="576" t="e">
        <f>K6/(O6*12)</f>
        <v>#DIV/0!</v>
      </c>
      <c r="Q6" s="588" t="e">
        <f>L6/(K6+L6)</f>
        <v>#DIV/0!</v>
      </c>
      <c r="R6" s="589">
        <f>S6+T6/60</f>
        <v>0</v>
      </c>
      <c r="S6" s="577"/>
      <c r="T6" s="577"/>
      <c r="U6" s="559"/>
      <c r="V6" s="534"/>
      <c r="X6" s="580" t="s">
        <v>603</v>
      </c>
      <c r="Z6" s="604"/>
      <c r="AA6" s="605"/>
      <c r="AB6" s="606" t="s">
        <v>596</v>
      </c>
    </row>
    <row r="7" spans="1:28" ht="24.95" customHeight="1">
      <c r="A7" s="434">
        <v>11</v>
      </c>
      <c r="B7" s="434">
        <v>2</v>
      </c>
      <c r="C7" s="581" t="s">
        <v>755</v>
      </c>
      <c r="D7" s="581" t="s">
        <v>43</v>
      </c>
      <c r="E7" s="581" t="s">
        <v>44</v>
      </c>
      <c r="F7" s="582"/>
      <c r="G7" s="583" t="s">
        <v>633</v>
      </c>
      <c r="H7" s="584"/>
      <c r="I7" s="584"/>
      <c r="J7" s="585"/>
      <c r="K7" s="534"/>
      <c r="L7" s="586"/>
      <c r="M7" s="586"/>
      <c r="N7" s="586"/>
      <c r="O7" s="587"/>
      <c r="P7" s="576" t="e">
        <f t="shared" ref="P7:P12" si="0">K7/(O7*12)</f>
        <v>#DIV/0!</v>
      </c>
      <c r="Q7" s="588" t="e">
        <f t="shared" ref="Q7:Q12" si="1">L7/(K7+L7)</f>
        <v>#DIV/0!</v>
      </c>
      <c r="R7" s="589">
        <f t="shared" ref="R7:R12" si="2">S7+T7/60</f>
        <v>0</v>
      </c>
      <c r="S7" s="577"/>
      <c r="T7" s="577"/>
      <c r="U7" s="559"/>
      <c r="V7" s="534"/>
      <c r="X7" s="580" t="s">
        <v>603</v>
      </c>
      <c r="Z7" s="604"/>
      <c r="AA7" s="605"/>
      <c r="AB7" s="606" t="s">
        <v>596</v>
      </c>
    </row>
    <row r="8" spans="1:28" ht="24.95" customHeight="1">
      <c r="A8" s="434">
        <v>11</v>
      </c>
      <c r="B8" s="434">
        <v>3</v>
      </c>
      <c r="C8" s="581" t="s">
        <v>784</v>
      </c>
      <c r="D8" s="581" t="s">
        <v>0</v>
      </c>
      <c r="E8" s="581" t="s">
        <v>44</v>
      </c>
      <c r="F8" s="582"/>
      <c r="G8" s="583" t="s">
        <v>633</v>
      </c>
      <c r="H8" s="584"/>
      <c r="I8" s="584"/>
      <c r="J8" s="585"/>
      <c r="K8" s="534"/>
      <c r="L8" s="586"/>
      <c r="M8" s="586"/>
      <c r="N8" s="586"/>
      <c r="O8" s="587"/>
      <c r="P8" s="576" t="e">
        <f t="shared" si="0"/>
        <v>#DIV/0!</v>
      </c>
      <c r="Q8" s="588" t="e">
        <f t="shared" si="1"/>
        <v>#DIV/0!</v>
      </c>
      <c r="R8" s="589">
        <f t="shared" si="2"/>
        <v>0</v>
      </c>
      <c r="S8" s="577"/>
      <c r="T8" s="577"/>
      <c r="U8" s="559"/>
      <c r="V8" s="534"/>
      <c r="X8" s="580" t="s">
        <v>603</v>
      </c>
      <c r="Z8" s="604"/>
      <c r="AA8" s="605"/>
      <c r="AB8" s="606" t="s">
        <v>596</v>
      </c>
    </row>
    <row r="9" spans="1:28" ht="24.95" customHeight="1">
      <c r="A9" s="434">
        <v>11</v>
      </c>
      <c r="B9" s="434">
        <v>3</v>
      </c>
      <c r="C9" s="581" t="s">
        <v>784</v>
      </c>
      <c r="D9" s="581" t="s">
        <v>43</v>
      </c>
      <c r="E9" s="581" t="s">
        <v>44</v>
      </c>
      <c r="F9" s="582"/>
      <c r="G9" s="583" t="s">
        <v>633</v>
      </c>
      <c r="H9" s="584"/>
      <c r="I9" s="584"/>
      <c r="J9" s="585"/>
      <c r="K9" s="534"/>
      <c r="L9" s="586"/>
      <c r="M9" s="586"/>
      <c r="N9" s="586"/>
      <c r="O9" s="587"/>
      <c r="P9" s="576" t="e">
        <f t="shared" si="0"/>
        <v>#DIV/0!</v>
      </c>
      <c r="Q9" s="588" t="e">
        <f t="shared" si="1"/>
        <v>#DIV/0!</v>
      </c>
      <c r="R9" s="589">
        <f t="shared" si="2"/>
        <v>0</v>
      </c>
      <c r="S9" s="577"/>
      <c r="T9" s="577"/>
      <c r="U9" s="559"/>
      <c r="V9" s="534"/>
      <c r="X9" s="601" t="s">
        <v>604</v>
      </c>
    </row>
    <row r="10" spans="1:28" ht="24.95" customHeight="1">
      <c r="A10" s="434">
        <v>11</v>
      </c>
      <c r="B10" s="434">
        <v>4</v>
      </c>
      <c r="C10" s="581" t="s">
        <v>805</v>
      </c>
      <c r="D10" s="581" t="s">
        <v>0</v>
      </c>
      <c r="E10" s="581" t="s">
        <v>44</v>
      </c>
      <c r="F10" s="582"/>
      <c r="G10" s="583" t="s">
        <v>633</v>
      </c>
      <c r="H10" s="584"/>
      <c r="I10" s="584"/>
      <c r="J10" s="585"/>
      <c r="K10" s="534"/>
      <c r="L10" s="586"/>
      <c r="M10" s="586"/>
      <c r="N10" s="586"/>
      <c r="O10" s="587"/>
      <c r="P10" s="576" t="e">
        <f t="shared" si="0"/>
        <v>#DIV/0!</v>
      </c>
      <c r="Q10" s="588" t="e">
        <f t="shared" si="1"/>
        <v>#DIV/0!</v>
      </c>
      <c r="R10" s="589">
        <f t="shared" si="2"/>
        <v>0</v>
      </c>
      <c r="S10" s="577"/>
      <c r="T10" s="577"/>
      <c r="U10" s="559"/>
      <c r="V10" s="534"/>
      <c r="X10" s="601"/>
    </row>
    <row r="11" spans="1:28" ht="24.95" customHeight="1">
      <c r="A11" s="434">
        <v>11</v>
      </c>
      <c r="B11" s="434">
        <v>4</v>
      </c>
      <c r="C11" s="581" t="s">
        <v>805</v>
      </c>
      <c r="D11" s="581" t="s">
        <v>43</v>
      </c>
      <c r="E11" s="581" t="s">
        <v>44</v>
      </c>
      <c r="F11" s="582"/>
      <c r="G11" s="583" t="s">
        <v>633</v>
      </c>
      <c r="H11" s="584"/>
      <c r="I11" s="584"/>
      <c r="J11" s="585"/>
      <c r="K11" s="534"/>
      <c r="L11" s="586"/>
      <c r="M11" s="586"/>
      <c r="N11" s="586"/>
      <c r="O11" s="587"/>
      <c r="P11" s="576" t="e">
        <f t="shared" si="0"/>
        <v>#DIV/0!</v>
      </c>
      <c r="Q11" s="588" t="e">
        <f t="shared" si="1"/>
        <v>#DIV/0!</v>
      </c>
      <c r="R11" s="589">
        <f t="shared" si="2"/>
        <v>0</v>
      </c>
      <c r="S11" s="577"/>
      <c r="T11" s="577"/>
      <c r="U11" s="559"/>
      <c r="V11" s="534"/>
      <c r="X11" s="601" t="s">
        <v>605</v>
      </c>
    </row>
    <row r="12" spans="1:28" ht="24.95" customHeight="1">
      <c r="A12" s="434">
        <v>11</v>
      </c>
      <c r="B12" s="434">
        <v>5</v>
      </c>
      <c r="C12" s="581" t="s">
        <v>834</v>
      </c>
      <c r="D12" s="581" t="s">
        <v>0</v>
      </c>
      <c r="E12" s="581" t="s">
        <v>44</v>
      </c>
      <c r="F12" s="582"/>
      <c r="G12" s="583" t="s">
        <v>633</v>
      </c>
      <c r="H12" s="584"/>
      <c r="I12" s="584"/>
      <c r="J12" s="585"/>
      <c r="K12" s="534"/>
      <c r="L12" s="586"/>
      <c r="M12" s="586"/>
      <c r="N12" s="586"/>
      <c r="O12" s="587"/>
      <c r="P12" s="576" t="e">
        <f t="shared" si="0"/>
        <v>#DIV/0!</v>
      </c>
      <c r="Q12" s="588" t="e">
        <f t="shared" si="1"/>
        <v>#DIV/0!</v>
      </c>
      <c r="R12" s="589">
        <f t="shared" si="2"/>
        <v>0</v>
      </c>
      <c r="S12" s="577"/>
      <c r="T12" s="577"/>
      <c r="U12" s="559"/>
      <c r="V12" s="534"/>
      <c r="X12" s="601" t="s">
        <v>605</v>
      </c>
    </row>
    <row r="13" spans="1:28" ht="24.95" customHeight="1">
      <c r="A13" s="434">
        <v>11</v>
      </c>
      <c r="B13" s="434">
        <v>5</v>
      </c>
      <c r="C13" s="581" t="s">
        <v>834</v>
      </c>
      <c r="D13" s="581" t="s">
        <v>43</v>
      </c>
      <c r="E13" s="581" t="s">
        <v>44</v>
      </c>
      <c r="F13" s="582"/>
      <c r="G13" s="583" t="s">
        <v>633</v>
      </c>
      <c r="H13" s="584"/>
      <c r="I13" s="584"/>
      <c r="J13" s="585"/>
      <c r="K13" s="534"/>
      <c r="L13" s="586"/>
      <c r="M13" s="586"/>
      <c r="N13" s="586"/>
      <c r="O13" s="587"/>
      <c r="P13" s="576" t="e">
        <f t="shared" ref="P13:P49" si="3">K13/(O13*12)</f>
        <v>#DIV/0!</v>
      </c>
      <c r="Q13" s="588" t="e">
        <f t="shared" ref="Q13:Q49" si="4">L13/(K13+L13)</f>
        <v>#DIV/0!</v>
      </c>
      <c r="R13" s="589">
        <f t="shared" ref="R13:R49" si="5">S13+T13/60</f>
        <v>0</v>
      </c>
      <c r="S13" s="577"/>
      <c r="T13" s="577"/>
      <c r="U13" s="559"/>
      <c r="V13" s="534"/>
      <c r="X13" s="601" t="s">
        <v>647</v>
      </c>
    </row>
    <row r="14" spans="1:28" ht="24.95" customHeight="1">
      <c r="A14" s="434">
        <v>11</v>
      </c>
      <c r="B14" s="434">
        <v>6</v>
      </c>
      <c r="C14" s="581" t="s">
        <v>859</v>
      </c>
      <c r="D14" s="581" t="s">
        <v>0</v>
      </c>
      <c r="E14" s="581" t="s">
        <v>44</v>
      </c>
      <c r="F14" s="582"/>
      <c r="G14" s="583" t="s">
        <v>633</v>
      </c>
      <c r="H14" s="584"/>
      <c r="I14" s="584"/>
      <c r="J14" s="585"/>
      <c r="K14" s="534"/>
      <c r="L14" s="586"/>
      <c r="M14" s="586"/>
      <c r="N14" s="586"/>
      <c r="O14" s="587"/>
      <c r="P14" s="576" t="e">
        <f t="shared" si="3"/>
        <v>#DIV/0!</v>
      </c>
      <c r="Q14" s="588" t="e">
        <f t="shared" si="4"/>
        <v>#DIV/0!</v>
      </c>
      <c r="R14" s="589">
        <f t="shared" si="5"/>
        <v>0</v>
      </c>
      <c r="S14" s="577"/>
      <c r="T14" s="577"/>
      <c r="U14" s="559"/>
      <c r="V14" s="534"/>
    </row>
    <row r="15" spans="1:28" ht="24.95" customHeight="1">
      <c r="A15" s="434">
        <v>11</v>
      </c>
      <c r="B15" s="434">
        <v>6</v>
      </c>
      <c r="C15" s="581" t="s">
        <v>859</v>
      </c>
      <c r="D15" s="581" t="s">
        <v>43</v>
      </c>
      <c r="E15" s="581" t="s">
        <v>44</v>
      </c>
      <c r="F15" s="582"/>
      <c r="G15" s="583" t="s">
        <v>633</v>
      </c>
      <c r="H15" s="584"/>
      <c r="I15" s="584"/>
      <c r="J15" s="585"/>
      <c r="K15" s="534"/>
      <c r="L15" s="586"/>
      <c r="M15" s="586"/>
      <c r="N15" s="586"/>
      <c r="O15" s="587"/>
      <c r="P15" s="576" t="e">
        <f>K15/(O15*12)</f>
        <v>#DIV/0!</v>
      </c>
      <c r="Q15" s="588" t="e">
        <f>L15/(K15+L15)</f>
        <v>#DIV/0!</v>
      </c>
      <c r="R15" s="589">
        <f>S15+T15/60</f>
        <v>0</v>
      </c>
      <c r="S15" s="577"/>
      <c r="T15" s="577"/>
      <c r="U15" s="559"/>
      <c r="V15" s="534"/>
    </row>
    <row r="16" spans="1:28" ht="24.95" customHeight="1">
      <c r="A16" s="434">
        <v>11</v>
      </c>
      <c r="B16" s="434">
        <v>7</v>
      </c>
      <c r="C16" s="581" t="s">
        <v>888</v>
      </c>
      <c r="D16" s="581" t="s">
        <v>0</v>
      </c>
      <c r="E16" s="581" t="s">
        <v>44</v>
      </c>
      <c r="F16" s="582"/>
      <c r="G16" s="583" t="s">
        <v>633</v>
      </c>
      <c r="H16" s="584"/>
      <c r="I16" s="584"/>
      <c r="J16" s="585"/>
      <c r="K16" s="534"/>
      <c r="L16" s="586"/>
      <c r="M16" s="586"/>
      <c r="N16" s="586"/>
      <c r="O16" s="587"/>
      <c r="P16" s="576" t="e">
        <f t="shared" si="3"/>
        <v>#DIV/0!</v>
      </c>
      <c r="Q16" s="588" t="e">
        <f t="shared" si="4"/>
        <v>#DIV/0!</v>
      </c>
      <c r="R16" s="589">
        <f t="shared" si="5"/>
        <v>0</v>
      </c>
      <c r="S16" s="577"/>
      <c r="T16" s="577"/>
      <c r="U16" s="559"/>
      <c r="V16" s="534"/>
    </row>
    <row r="17" spans="1:22" ht="24.95" customHeight="1">
      <c r="A17" s="434">
        <v>11</v>
      </c>
      <c r="B17" s="434">
        <v>7</v>
      </c>
      <c r="C17" s="581" t="s">
        <v>888</v>
      </c>
      <c r="D17" s="581" t="s">
        <v>43</v>
      </c>
      <c r="E17" s="581" t="s">
        <v>44</v>
      </c>
      <c r="F17" s="582"/>
      <c r="G17" s="583" t="s">
        <v>633</v>
      </c>
      <c r="H17" s="584"/>
      <c r="I17" s="584"/>
      <c r="J17" s="585"/>
      <c r="K17" s="534"/>
      <c r="L17" s="586"/>
      <c r="M17" s="586"/>
      <c r="N17" s="586"/>
      <c r="O17" s="587"/>
      <c r="P17" s="576" t="e">
        <f t="shared" si="3"/>
        <v>#DIV/0!</v>
      </c>
      <c r="Q17" s="588" t="e">
        <f t="shared" si="4"/>
        <v>#DIV/0!</v>
      </c>
      <c r="R17" s="589">
        <f t="shared" si="5"/>
        <v>0</v>
      </c>
      <c r="S17" s="577"/>
      <c r="T17" s="577"/>
      <c r="U17" s="559"/>
      <c r="V17" s="534"/>
    </row>
    <row r="18" spans="1:22" ht="24.95" customHeight="1">
      <c r="A18" s="434">
        <v>11</v>
      </c>
      <c r="B18" s="434">
        <v>8</v>
      </c>
      <c r="C18" s="581" t="s">
        <v>908</v>
      </c>
      <c r="D18" s="581" t="s">
        <v>0</v>
      </c>
      <c r="E18" s="581" t="s">
        <v>44</v>
      </c>
      <c r="F18" s="582"/>
      <c r="G18" s="583" t="s">
        <v>633</v>
      </c>
      <c r="H18" s="584"/>
      <c r="I18" s="584"/>
      <c r="J18" s="585"/>
      <c r="K18" s="534"/>
      <c r="L18" s="586"/>
      <c r="M18" s="586"/>
      <c r="N18" s="586"/>
      <c r="O18" s="587"/>
      <c r="P18" s="576" t="e">
        <f t="shared" si="3"/>
        <v>#DIV/0!</v>
      </c>
      <c r="Q18" s="588" t="e">
        <f t="shared" si="4"/>
        <v>#DIV/0!</v>
      </c>
      <c r="R18" s="589">
        <f t="shared" si="5"/>
        <v>0</v>
      </c>
      <c r="S18" s="577"/>
      <c r="T18" s="577"/>
      <c r="U18" s="559"/>
      <c r="V18" s="534"/>
    </row>
    <row r="19" spans="1:22" ht="24.95" customHeight="1">
      <c r="A19" s="434">
        <v>11</v>
      </c>
      <c r="B19" s="434">
        <v>8</v>
      </c>
      <c r="C19" s="581" t="s">
        <v>908</v>
      </c>
      <c r="D19" s="581" t="s">
        <v>43</v>
      </c>
      <c r="E19" s="581" t="s">
        <v>44</v>
      </c>
      <c r="F19" s="582"/>
      <c r="G19" s="583" t="s">
        <v>633</v>
      </c>
      <c r="H19" s="584"/>
      <c r="I19" s="584"/>
      <c r="J19" s="585"/>
      <c r="K19" s="534"/>
      <c r="L19" s="586"/>
      <c r="M19" s="586"/>
      <c r="N19" s="586"/>
      <c r="O19" s="587"/>
      <c r="P19" s="576" t="e">
        <f t="shared" si="3"/>
        <v>#DIV/0!</v>
      </c>
      <c r="Q19" s="588" t="e">
        <f t="shared" si="4"/>
        <v>#DIV/0!</v>
      </c>
      <c r="R19" s="589">
        <f t="shared" si="5"/>
        <v>0</v>
      </c>
      <c r="S19" s="577"/>
      <c r="T19" s="577"/>
      <c r="U19" s="559"/>
      <c r="V19" s="534"/>
    </row>
    <row r="20" spans="1:22" ht="24.95" customHeight="1">
      <c r="A20" s="434">
        <v>11</v>
      </c>
      <c r="B20" s="434">
        <v>9</v>
      </c>
      <c r="C20" s="581" t="s">
        <v>929</v>
      </c>
      <c r="D20" s="581" t="s">
        <v>0</v>
      </c>
      <c r="E20" s="581" t="s">
        <v>44</v>
      </c>
      <c r="F20" s="582"/>
      <c r="G20" s="583" t="s">
        <v>633</v>
      </c>
      <c r="H20" s="584"/>
      <c r="I20" s="584"/>
      <c r="J20" s="585"/>
      <c r="K20" s="534"/>
      <c r="L20" s="586"/>
      <c r="M20" s="586"/>
      <c r="N20" s="586"/>
      <c r="O20" s="587"/>
      <c r="P20" s="576" t="e">
        <f t="shared" si="3"/>
        <v>#DIV/0!</v>
      </c>
      <c r="Q20" s="588" t="e">
        <f t="shared" si="4"/>
        <v>#DIV/0!</v>
      </c>
      <c r="R20" s="589">
        <f t="shared" si="5"/>
        <v>0</v>
      </c>
      <c r="S20" s="577"/>
      <c r="T20" s="577"/>
      <c r="U20" s="559"/>
      <c r="V20" s="534"/>
    </row>
    <row r="21" spans="1:22" ht="24.95" customHeight="1">
      <c r="A21" s="434">
        <v>11</v>
      </c>
      <c r="B21" s="434">
        <v>9</v>
      </c>
      <c r="C21" s="581" t="s">
        <v>929</v>
      </c>
      <c r="D21" s="581" t="s">
        <v>43</v>
      </c>
      <c r="E21" s="581" t="s">
        <v>44</v>
      </c>
      <c r="F21" s="582"/>
      <c r="G21" s="583" t="s">
        <v>633</v>
      </c>
      <c r="H21" s="584"/>
      <c r="I21" s="584"/>
      <c r="J21" s="585"/>
      <c r="K21" s="534"/>
      <c r="L21" s="586"/>
      <c r="M21" s="586"/>
      <c r="N21" s="586"/>
      <c r="O21" s="587"/>
      <c r="P21" s="576" t="e">
        <f t="shared" si="3"/>
        <v>#DIV/0!</v>
      </c>
      <c r="Q21" s="588" t="e">
        <f t="shared" si="4"/>
        <v>#DIV/0!</v>
      </c>
      <c r="R21" s="589">
        <f t="shared" si="5"/>
        <v>0</v>
      </c>
      <c r="S21" s="577"/>
      <c r="T21" s="577"/>
      <c r="U21" s="559"/>
      <c r="V21" s="534"/>
    </row>
    <row r="22" spans="1:22" ht="24.95" customHeight="1">
      <c r="A22" s="434">
        <v>11</v>
      </c>
      <c r="B22" s="434">
        <v>10</v>
      </c>
      <c r="C22" s="581" t="s">
        <v>954</v>
      </c>
      <c r="D22" s="581" t="s">
        <v>0</v>
      </c>
      <c r="E22" s="581" t="s">
        <v>44</v>
      </c>
      <c r="F22" s="582"/>
      <c r="G22" s="583" t="s">
        <v>633</v>
      </c>
      <c r="H22" s="584"/>
      <c r="I22" s="584"/>
      <c r="J22" s="585"/>
      <c r="K22" s="534"/>
      <c r="L22" s="586"/>
      <c r="M22" s="586"/>
      <c r="N22" s="586"/>
      <c r="O22" s="587"/>
      <c r="P22" s="576" t="e">
        <f t="shared" si="3"/>
        <v>#DIV/0!</v>
      </c>
      <c r="Q22" s="588" t="e">
        <f t="shared" si="4"/>
        <v>#DIV/0!</v>
      </c>
      <c r="R22" s="589">
        <f t="shared" si="5"/>
        <v>0</v>
      </c>
      <c r="S22" s="577"/>
      <c r="T22" s="577"/>
      <c r="U22" s="590"/>
      <c r="V22" s="534"/>
    </row>
    <row r="23" spans="1:22" ht="24.95" customHeight="1">
      <c r="A23" s="434">
        <v>11</v>
      </c>
      <c r="B23" s="434">
        <v>10</v>
      </c>
      <c r="C23" s="581" t="s">
        <v>954</v>
      </c>
      <c r="D23" s="581" t="s">
        <v>43</v>
      </c>
      <c r="E23" s="581" t="s">
        <v>44</v>
      </c>
      <c r="F23" s="582"/>
      <c r="G23" s="583" t="s">
        <v>633</v>
      </c>
      <c r="H23" s="584"/>
      <c r="I23" s="584"/>
      <c r="J23" s="585"/>
      <c r="K23" s="534"/>
      <c r="L23" s="586"/>
      <c r="M23" s="586"/>
      <c r="N23" s="586"/>
      <c r="O23" s="587"/>
      <c r="P23" s="576" t="e">
        <f t="shared" si="3"/>
        <v>#DIV/0!</v>
      </c>
      <c r="Q23" s="588" t="e">
        <f t="shared" si="4"/>
        <v>#DIV/0!</v>
      </c>
      <c r="R23" s="589">
        <f t="shared" si="5"/>
        <v>0</v>
      </c>
      <c r="S23" s="577"/>
      <c r="T23" s="577"/>
      <c r="U23" s="559"/>
      <c r="V23" s="534"/>
    </row>
    <row r="24" spans="1:22" ht="24.95" customHeight="1">
      <c r="A24" s="434">
        <v>11</v>
      </c>
      <c r="B24" s="434">
        <v>11</v>
      </c>
      <c r="C24" s="581" t="s">
        <v>670</v>
      </c>
      <c r="D24" s="581" t="s">
        <v>0</v>
      </c>
      <c r="E24" s="581" t="s">
        <v>44</v>
      </c>
      <c r="F24" s="582"/>
      <c r="G24" s="583" t="s">
        <v>633</v>
      </c>
      <c r="H24" s="584"/>
      <c r="I24" s="584"/>
      <c r="J24" s="585"/>
      <c r="K24" s="534"/>
      <c r="L24" s="586"/>
      <c r="M24" s="586"/>
      <c r="N24" s="586"/>
      <c r="O24" s="587"/>
      <c r="P24" s="576" t="e">
        <f t="shared" si="3"/>
        <v>#DIV/0!</v>
      </c>
      <c r="Q24" s="588" t="e">
        <f t="shared" si="4"/>
        <v>#DIV/0!</v>
      </c>
      <c r="R24" s="589">
        <f t="shared" si="5"/>
        <v>0</v>
      </c>
      <c r="S24" s="577"/>
      <c r="T24" s="577"/>
      <c r="U24" s="559"/>
      <c r="V24" s="534"/>
    </row>
    <row r="25" spans="1:22" ht="24.95" customHeight="1">
      <c r="A25" s="434">
        <v>11</v>
      </c>
      <c r="B25" s="434">
        <v>11</v>
      </c>
      <c r="C25" s="581" t="s">
        <v>670</v>
      </c>
      <c r="D25" s="581" t="s">
        <v>43</v>
      </c>
      <c r="E25" s="581" t="s">
        <v>44</v>
      </c>
      <c r="F25" s="582"/>
      <c r="G25" s="583" t="s">
        <v>633</v>
      </c>
      <c r="H25" s="584"/>
      <c r="I25" s="584"/>
      <c r="J25" s="585"/>
      <c r="K25" s="534"/>
      <c r="L25" s="586"/>
      <c r="M25" s="586"/>
      <c r="N25" s="586"/>
      <c r="O25" s="587"/>
      <c r="P25" s="576" t="e">
        <f t="shared" si="3"/>
        <v>#DIV/0!</v>
      </c>
      <c r="Q25" s="588" t="e">
        <f t="shared" si="4"/>
        <v>#DIV/0!</v>
      </c>
      <c r="R25" s="589">
        <f t="shared" si="5"/>
        <v>0</v>
      </c>
      <c r="S25" s="577"/>
      <c r="T25" s="577"/>
      <c r="U25" s="559"/>
      <c r="V25" s="534"/>
    </row>
    <row r="26" spans="1:22" ht="24.95" customHeight="1">
      <c r="A26" s="434">
        <v>11</v>
      </c>
      <c r="B26" s="434">
        <v>12</v>
      </c>
      <c r="C26" s="581" t="s">
        <v>671</v>
      </c>
      <c r="D26" s="581" t="s">
        <v>0</v>
      </c>
      <c r="E26" s="581" t="s">
        <v>44</v>
      </c>
      <c r="F26" s="582"/>
      <c r="G26" s="583" t="s">
        <v>633</v>
      </c>
      <c r="H26" s="584"/>
      <c r="I26" s="584"/>
      <c r="J26" s="585"/>
      <c r="K26" s="534"/>
      <c r="L26" s="586"/>
      <c r="M26" s="586"/>
      <c r="N26" s="586"/>
      <c r="O26" s="587"/>
      <c r="P26" s="576" t="e">
        <f t="shared" si="3"/>
        <v>#DIV/0!</v>
      </c>
      <c r="Q26" s="588" t="e">
        <f t="shared" si="4"/>
        <v>#DIV/0!</v>
      </c>
      <c r="R26" s="589">
        <f t="shared" si="5"/>
        <v>0</v>
      </c>
      <c r="S26" s="577"/>
      <c r="T26" s="577"/>
      <c r="U26" s="559"/>
      <c r="V26" s="534"/>
    </row>
    <row r="27" spans="1:22" ht="24.95" customHeight="1">
      <c r="A27" s="434">
        <v>11</v>
      </c>
      <c r="B27" s="434">
        <v>12</v>
      </c>
      <c r="C27" s="581" t="s">
        <v>671</v>
      </c>
      <c r="D27" s="581" t="s">
        <v>43</v>
      </c>
      <c r="E27" s="581" t="s">
        <v>44</v>
      </c>
      <c r="F27" s="582"/>
      <c r="G27" s="583" t="s">
        <v>633</v>
      </c>
      <c r="H27" s="584"/>
      <c r="I27" s="584"/>
      <c r="J27" s="585"/>
      <c r="K27" s="534"/>
      <c r="L27" s="586"/>
      <c r="M27" s="586"/>
      <c r="N27" s="586"/>
      <c r="O27" s="587"/>
      <c r="P27" s="576" t="e">
        <f>K27/(O27*12)</f>
        <v>#DIV/0!</v>
      </c>
      <c r="Q27" s="588" t="e">
        <f>L27/(K27+L27)</f>
        <v>#DIV/0!</v>
      </c>
      <c r="R27" s="589">
        <f>S27+T27/60</f>
        <v>0</v>
      </c>
      <c r="S27" s="577"/>
      <c r="T27" s="577"/>
      <c r="U27" s="559"/>
      <c r="V27" s="534"/>
    </row>
    <row r="28" spans="1:22" ht="24.95" customHeight="1">
      <c r="A28" s="434">
        <v>11</v>
      </c>
      <c r="B28" s="434">
        <v>13</v>
      </c>
      <c r="C28" s="581" t="s">
        <v>672</v>
      </c>
      <c r="D28" s="581" t="s">
        <v>0</v>
      </c>
      <c r="E28" s="581" t="s">
        <v>44</v>
      </c>
      <c r="F28" s="582"/>
      <c r="G28" s="583" t="s">
        <v>633</v>
      </c>
      <c r="H28" s="584"/>
      <c r="I28" s="584"/>
      <c r="J28" s="585"/>
      <c r="K28" s="534"/>
      <c r="L28" s="586"/>
      <c r="M28" s="586"/>
      <c r="N28" s="586"/>
      <c r="O28" s="587"/>
      <c r="P28" s="576" t="e">
        <f t="shared" si="3"/>
        <v>#DIV/0!</v>
      </c>
      <c r="Q28" s="588" t="e">
        <f t="shared" si="4"/>
        <v>#DIV/0!</v>
      </c>
      <c r="R28" s="589">
        <f t="shared" si="5"/>
        <v>0</v>
      </c>
      <c r="S28" s="577"/>
      <c r="T28" s="577"/>
      <c r="U28" s="590"/>
      <c r="V28" s="534"/>
    </row>
    <row r="29" spans="1:22" ht="24.95" customHeight="1">
      <c r="A29" s="434">
        <v>11</v>
      </c>
      <c r="B29" s="434">
        <v>13</v>
      </c>
      <c r="C29" s="581" t="s">
        <v>672</v>
      </c>
      <c r="D29" s="581" t="s">
        <v>43</v>
      </c>
      <c r="E29" s="581" t="s">
        <v>44</v>
      </c>
      <c r="F29" s="582"/>
      <c r="G29" s="583" t="s">
        <v>633</v>
      </c>
      <c r="H29" s="584"/>
      <c r="I29" s="584"/>
      <c r="J29" s="585"/>
      <c r="K29" s="534"/>
      <c r="L29" s="586"/>
      <c r="M29" s="586"/>
      <c r="N29" s="586"/>
      <c r="O29" s="587"/>
      <c r="P29" s="576" t="e">
        <f t="shared" si="3"/>
        <v>#DIV/0!</v>
      </c>
      <c r="Q29" s="588" t="e">
        <f t="shared" si="4"/>
        <v>#DIV/0!</v>
      </c>
      <c r="R29" s="589">
        <f t="shared" si="5"/>
        <v>0</v>
      </c>
      <c r="S29" s="577"/>
      <c r="T29" s="577"/>
      <c r="U29" s="590"/>
      <c r="V29" s="534"/>
    </row>
    <row r="30" spans="1:22" ht="24.95" customHeight="1">
      <c r="A30" s="434">
        <v>11</v>
      </c>
      <c r="B30" s="434">
        <v>14</v>
      </c>
      <c r="C30" s="581" t="s">
        <v>673</v>
      </c>
      <c r="D30" s="581" t="s">
        <v>0</v>
      </c>
      <c r="E30" s="581" t="s">
        <v>44</v>
      </c>
      <c r="F30" s="582"/>
      <c r="G30" s="583" t="s">
        <v>633</v>
      </c>
      <c r="H30" s="584"/>
      <c r="I30" s="584"/>
      <c r="J30" s="585"/>
      <c r="K30" s="534"/>
      <c r="L30" s="586"/>
      <c r="M30" s="586"/>
      <c r="N30" s="586"/>
      <c r="O30" s="587"/>
      <c r="P30" s="576" t="e">
        <f>K30/(O30*12)</f>
        <v>#DIV/0!</v>
      </c>
      <c r="Q30" s="588" t="e">
        <f>L30/(K30+L30)</f>
        <v>#DIV/0!</v>
      </c>
      <c r="R30" s="589">
        <f>S30+T30/60</f>
        <v>0</v>
      </c>
      <c r="S30" s="577"/>
      <c r="T30" s="577"/>
      <c r="U30" s="590"/>
      <c r="V30" s="534"/>
    </row>
    <row r="31" spans="1:22" ht="24.95" customHeight="1">
      <c r="A31" s="434">
        <v>11</v>
      </c>
      <c r="B31" s="434">
        <v>14</v>
      </c>
      <c r="C31" s="581" t="s">
        <v>673</v>
      </c>
      <c r="D31" s="581" t="s">
        <v>43</v>
      </c>
      <c r="E31" s="581" t="s">
        <v>44</v>
      </c>
      <c r="F31" s="582"/>
      <c r="G31" s="583" t="s">
        <v>633</v>
      </c>
      <c r="H31" s="584"/>
      <c r="I31" s="584"/>
      <c r="J31" s="585"/>
      <c r="K31" s="534"/>
      <c r="L31" s="586"/>
      <c r="M31" s="586"/>
      <c r="N31" s="586"/>
      <c r="O31" s="587"/>
      <c r="P31" s="576" t="e">
        <f t="shared" si="3"/>
        <v>#DIV/0!</v>
      </c>
      <c r="Q31" s="588" t="e">
        <f t="shared" si="4"/>
        <v>#DIV/0!</v>
      </c>
      <c r="R31" s="589">
        <f t="shared" si="5"/>
        <v>0</v>
      </c>
      <c r="S31" s="577"/>
      <c r="T31" s="577"/>
      <c r="U31" s="590"/>
      <c r="V31" s="534"/>
    </row>
    <row r="32" spans="1:22" ht="24.95" customHeight="1">
      <c r="A32" s="434">
        <v>11</v>
      </c>
      <c r="B32" s="434">
        <v>15</v>
      </c>
      <c r="C32" s="581" t="s">
        <v>632</v>
      </c>
      <c r="D32" s="581" t="s">
        <v>0</v>
      </c>
      <c r="E32" s="581" t="s">
        <v>44</v>
      </c>
      <c r="F32" s="582"/>
      <c r="G32" s="583" t="s">
        <v>633</v>
      </c>
      <c r="H32" s="584"/>
      <c r="I32" s="584"/>
      <c r="J32" s="585"/>
      <c r="K32" s="534"/>
      <c r="L32" s="586"/>
      <c r="M32" s="586"/>
      <c r="N32" s="586"/>
      <c r="O32" s="587"/>
      <c r="P32" s="576" t="e">
        <f t="shared" si="3"/>
        <v>#DIV/0!</v>
      </c>
      <c r="Q32" s="588" t="e">
        <f t="shared" si="4"/>
        <v>#DIV/0!</v>
      </c>
      <c r="R32" s="589">
        <f t="shared" si="5"/>
        <v>0</v>
      </c>
      <c r="S32" s="577"/>
      <c r="T32" s="577"/>
      <c r="U32" s="590"/>
      <c r="V32" s="534"/>
    </row>
    <row r="33" spans="1:22" ht="24.95" customHeight="1">
      <c r="A33" s="434">
        <v>11</v>
      </c>
      <c r="B33" s="434">
        <v>15</v>
      </c>
      <c r="C33" s="581" t="s">
        <v>632</v>
      </c>
      <c r="D33" s="581" t="s">
        <v>43</v>
      </c>
      <c r="E33" s="581" t="s">
        <v>44</v>
      </c>
      <c r="F33" s="582"/>
      <c r="G33" s="583" t="s">
        <v>633</v>
      </c>
      <c r="H33" s="584"/>
      <c r="I33" s="584"/>
      <c r="J33" s="585"/>
      <c r="K33" s="534"/>
      <c r="L33" s="586"/>
      <c r="M33" s="586"/>
      <c r="N33" s="586"/>
      <c r="O33" s="587"/>
      <c r="P33" s="576" t="e">
        <f t="shared" si="3"/>
        <v>#DIV/0!</v>
      </c>
      <c r="Q33" s="588" t="e">
        <f t="shared" si="4"/>
        <v>#DIV/0!</v>
      </c>
      <c r="R33" s="589">
        <f t="shared" si="5"/>
        <v>0</v>
      </c>
      <c r="S33" s="577"/>
      <c r="T33" s="577"/>
      <c r="U33" s="559"/>
      <c r="V33" s="534"/>
    </row>
    <row r="34" spans="1:22" ht="24.95" customHeight="1">
      <c r="A34" s="434">
        <v>11</v>
      </c>
      <c r="B34" s="434">
        <v>16</v>
      </c>
      <c r="C34" s="581" t="s">
        <v>1049</v>
      </c>
      <c r="D34" s="581" t="s">
        <v>0</v>
      </c>
      <c r="E34" s="581" t="s">
        <v>42</v>
      </c>
      <c r="F34" s="582"/>
      <c r="G34" s="583" t="s">
        <v>1053</v>
      </c>
      <c r="H34" s="584"/>
      <c r="I34" s="584"/>
      <c r="J34" s="585"/>
      <c r="K34" s="534"/>
      <c r="L34" s="586"/>
      <c r="M34" s="586"/>
      <c r="N34" s="586"/>
      <c r="O34" s="587"/>
      <c r="P34" s="576" t="e">
        <f t="shared" si="3"/>
        <v>#DIV/0!</v>
      </c>
      <c r="Q34" s="588" t="e">
        <f t="shared" si="4"/>
        <v>#DIV/0!</v>
      </c>
      <c r="R34" s="589">
        <f t="shared" si="5"/>
        <v>0</v>
      </c>
      <c r="S34" s="577"/>
      <c r="T34" s="577"/>
      <c r="U34" s="590"/>
      <c r="V34" s="534"/>
    </row>
    <row r="35" spans="1:22" ht="24.95" customHeight="1">
      <c r="A35" s="434">
        <v>11</v>
      </c>
      <c r="B35" s="434">
        <v>16</v>
      </c>
      <c r="C35" s="581" t="s">
        <v>1049</v>
      </c>
      <c r="D35" s="581" t="s">
        <v>43</v>
      </c>
      <c r="E35" s="581" t="s">
        <v>42</v>
      </c>
      <c r="F35" s="582"/>
      <c r="G35" s="583" t="s">
        <v>1053</v>
      </c>
      <c r="H35" s="584"/>
      <c r="I35" s="584"/>
      <c r="J35" s="585"/>
      <c r="K35" s="534"/>
      <c r="L35" s="586"/>
      <c r="M35" s="586"/>
      <c r="N35" s="586"/>
      <c r="O35" s="587"/>
      <c r="P35" s="576" t="e">
        <f>K35/(O35*12)</f>
        <v>#DIV/0!</v>
      </c>
      <c r="Q35" s="588" t="e">
        <f>L35/(K35+L35)</f>
        <v>#DIV/0!</v>
      </c>
      <c r="R35" s="589">
        <f>S35+T35/60</f>
        <v>0</v>
      </c>
      <c r="S35" s="577"/>
      <c r="T35" s="577"/>
      <c r="U35" s="559"/>
      <c r="V35" s="534"/>
    </row>
    <row r="36" spans="1:22" ht="24.95" customHeight="1">
      <c r="A36" s="434">
        <v>11</v>
      </c>
      <c r="B36" s="434">
        <v>17</v>
      </c>
      <c r="C36" s="581" t="s">
        <v>1073</v>
      </c>
      <c r="D36" s="581" t="s">
        <v>0</v>
      </c>
      <c r="E36" s="581" t="s">
        <v>42</v>
      </c>
      <c r="F36" s="582"/>
      <c r="G36" s="583" t="s">
        <v>633</v>
      </c>
      <c r="H36" s="584"/>
      <c r="I36" s="584"/>
      <c r="J36" s="585"/>
      <c r="K36" s="534"/>
      <c r="L36" s="586"/>
      <c r="M36" s="586"/>
      <c r="N36" s="586"/>
      <c r="O36" s="587"/>
      <c r="P36" s="576" t="e">
        <f t="shared" si="3"/>
        <v>#DIV/0!</v>
      </c>
      <c r="Q36" s="588" t="e">
        <f t="shared" si="4"/>
        <v>#DIV/0!</v>
      </c>
      <c r="R36" s="589">
        <f t="shared" si="5"/>
        <v>0</v>
      </c>
      <c r="S36" s="577"/>
      <c r="T36" s="577"/>
      <c r="U36" s="590"/>
      <c r="V36" s="534"/>
    </row>
    <row r="37" spans="1:22" ht="24.95" customHeight="1">
      <c r="A37" s="434">
        <v>11</v>
      </c>
      <c r="B37" s="434">
        <v>17</v>
      </c>
      <c r="C37" s="581" t="s">
        <v>1073</v>
      </c>
      <c r="D37" s="581" t="s">
        <v>43</v>
      </c>
      <c r="E37" s="581" t="s">
        <v>42</v>
      </c>
      <c r="F37" s="582"/>
      <c r="G37" s="583" t="s">
        <v>633</v>
      </c>
      <c r="H37" s="584"/>
      <c r="I37" s="584"/>
      <c r="J37" s="585"/>
      <c r="K37" s="534"/>
      <c r="L37" s="586"/>
      <c r="M37" s="586"/>
      <c r="N37" s="586"/>
      <c r="O37" s="587"/>
      <c r="P37" s="576" t="e">
        <f>K37/(O37*12)</f>
        <v>#DIV/0!</v>
      </c>
      <c r="Q37" s="588" t="e">
        <f>L37/(K37+L37)</f>
        <v>#DIV/0!</v>
      </c>
      <c r="R37" s="589">
        <f>S37+T37/60</f>
        <v>0</v>
      </c>
      <c r="S37" s="577"/>
      <c r="T37" s="577"/>
      <c r="U37" s="590"/>
      <c r="V37" s="534"/>
    </row>
    <row r="38" spans="1:22" ht="24.95" customHeight="1">
      <c r="A38" s="434">
        <v>11</v>
      </c>
      <c r="B38" s="434">
        <v>18</v>
      </c>
      <c r="C38" s="581" t="s">
        <v>670</v>
      </c>
      <c r="D38" s="581" t="s">
        <v>0</v>
      </c>
      <c r="E38" s="581" t="s">
        <v>42</v>
      </c>
      <c r="F38" s="582"/>
      <c r="G38" s="583" t="s">
        <v>633</v>
      </c>
      <c r="H38" s="584"/>
      <c r="I38" s="584"/>
      <c r="J38" s="585"/>
      <c r="K38" s="534"/>
      <c r="L38" s="586"/>
      <c r="M38" s="586"/>
      <c r="N38" s="586"/>
      <c r="O38" s="587"/>
      <c r="P38" s="576" t="e">
        <f t="shared" si="3"/>
        <v>#DIV/0!</v>
      </c>
      <c r="Q38" s="588" t="e">
        <f t="shared" si="4"/>
        <v>#DIV/0!</v>
      </c>
      <c r="R38" s="589">
        <f t="shared" si="5"/>
        <v>0</v>
      </c>
      <c r="S38" s="577"/>
      <c r="T38" s="577"/>
      <c r="U38" s="590"/>
      <c r="V38" s="534"/>
    </row>
    <row r="39" spans="1:22" ht="24.95" customHeight="1">
      <c r="A39" s="434">
        <v>11</v>
      </c>
      <c r="B39" s="434">
        <v>18</v>
      </c>
      <c r="C39" s="581" t="s">
        <v>670</v>
      </c>
      <c r="D39" s="581" t="s">
        <v>43</v>
      </c>
      <c r="E39" s="581" t="s">
        <v>42</v>
      </c>
      <c r="F39" s="582"/>
      <c r="G39" s="583" t="s">
        <v>633</v>
      </c>
      <c r="H39" s="584"/>
      <c r="I39" s="584"/>
      <c r="J39" s="585"/>
      <c r="K39" s="534"/>
      <c r="L39" s="586"/>
      <c r="M39" s="586"/>
      <c r="N39" s="586"/>
      <c r="O39" s="587"/>
      <c r="P39" s="576" t="e">
        <f t="shared" si="3"/>
        <v>#DIV/0!</v>
      </c>
      <c r="Q39" s="588" t="e">
        <f t="shared" si="4"/>
        <v>#DIV/0!</v>
      </c>
      <c r="R39" s="589">
        <f t="shared" si="5"/>
        <v>0</v>
      </c>
      <c r="S39" s="577"/>
      <c r="T39" s="577"/>
      <c r="U39" s="559"/>
      <c r="V39" s="534"/>
    </row>
    <row r="40" spans="1:22" ht="24.95" customHeight="1">
      <c r="A40" s="434">
        <v>11</v>
      </c>
      <c r="B40" s="434">
        <v>19</v>
      </c>
      <c r="C40" s="581" t="s">
        <v>671</v>
      </c>
      <c r="D40" s="581" t="s">
        <v>0</v>
      </c>
      <c r="E40" s="581" t="s">
        <v>42</v>
      </c>
      <c r="F40" s="582"/>
      <c r="G40" s="583" t="s">
        <v>633</v>
      </c>
      <c r="H40" s="584"/>
      <c r="I40" s="584"/>
      <c r="J40" s="585"/>
      <c r="K40" s="534"/>
      <c r="L40" s="586"/>
      <c r="M40" s="586"/>
      <c r="N40" s="586"/>
      <c r="O40" s="587"/>
      <c r="P40" s="576" t="e">
        <f t="shared" si="3"/>
        <v>#DIV/0!</v>
      </c>
      <c r="Q40" s="588" t="e">
        <f t="shared" si="4"/>
        <v>#DIV/0!</v>
      </c>
      <c r="R40" s="589">
        <f t="shared" si="5"/>
        <v>0</v>
      </c>
      <c r="S40" s="577"/>
      <c r="T40" s="577"/>
      <c r="U40" s="559"/>
      <c r="V40" s="534"/>
    </row>
    <row r="41" spans="1:22" ht="24.95" customHeight="1">
      <c r="A41" s="434">
        <v>11</v>
      </c>
      <c r="B41" s="434">
        <v>19</v>
      </c>
      <c r="C41" s="581" t="s">
        <v>671</v>
      </c>
      <c r="D41" s="581" t="s">
        <v>43</v>
      </c>
      <c r="E41" s="581" t="s">
        <v>42</v>
      </c>
      <c r="F41" s="582"/>
      <c r="G41" s="583" t="s">
        <v>633</v>
      </c>
      <c r="H41" s="584"/>
      <c r="I41" s="584"/>
      <c r="J41" s="585"/>
      <c r="K41" s="534"/>
      <c r="L41" s="586"/>
      <c r="M41" s="586"/>
      <c r="N41" s="586"/>
      <c r="O41" s="587"/>
      <c r="P41" s="576" t="e">
        <f t="shared" si="3"/>
        <v>#DIV/0!</v>
      </c>
      <c r="Q41" s="588" t="e">
        <f t="shared" si="4"/>
        <v>#DIV/0!</v>
      </c>
      <c r="R41" s="589">
        <f t="shared" si="5"/>
        <v>0</v>
      </c>
      <c r="S41" s="577"/>
      <c r="T41" s="577"/>
      <c r="U41" s="590"/>
      <c r="V41" s="534"/>
    </row>
    <row r="42" spans="1:22" ht="24.95" customHeight="1">
      <c r="A42" s="434">
        <v>11</v>
      </c>
      <c r="B42" s="434">
        <v>20</v>
      </c>
      <c r="C42" s="581" t="s">
        <v>672</v>
      </c>
      <c r="D42" s="581" t="s">
        <v>0</v>
      </c>
      <c r="E42" s="581" t="s">
        <v>42</v>
      </c>
      <c r="F42" s="582"/>
      <c r="G42" s="583" t="s">
        <v>633</v>
      </c>
      <c r="H42" s="584"/>
      <c r="I42" s="584"/>
      <c r="J42" s="585"/>
      <c r="K42" s="534"/>
      <c r="L42" s="586"/>
      <c r="M42" s="586"/>
      <c r="N42" s="586"/>
      <c r="O42" s="587"/>
      <c r="P42" s="576" t="e">
        <f t="shared" si="3"/>
        <v>#DIV/0!</v>
      </c>
      <c r="Q42" s="588" t="e">
        <f t="shared" si="4"/>
        <v>#DIV/0!</v>
      </c>
      <c r="R42" s="589">
        <f t="shared" si="5"/>
        <v>0</v>
      </c>
      <c r="S42" s="577"/>
      <c r="T42" s="577"/>
      <c r="U42" s="559"/>
      <c r="V42" s="534"/>
    </row>
    <row r="43" spans="1:22" ht="24.95" customHeight="1">
      <c r="A43" s="434">
        <v>11</v>
      </c>
      <c r="B43" s="434">
        <v>20</v>
      </c>
      <c r="C43" s="581" t="s">
        <v>672</v>
      </c>
      <c r="D43" s="581" t="s">
        <v>43</v>
      </c>
      <c r="E43" s="581" t="s">
        <v>42</v>
      </c>
      <c r="F43" s="582"/>
      <c r="G43" s="583" t="s">
        <v>633</v>
      </c>
      <c r="H43" s="584"/>
      <c r="I43" s="584"/>
      <c r="J43" s="585"/>
      <c r="K43" s="534"/>
      <c r="L43" s="586"/>
      <c r="M43" s="586"/>
      <c r="N43" s="586"/>
      <c r="O43" s="587"/>
      <c r="P43" s="576" t="e">
        <f t="shared" si="3"/>
        <v>#DIV/0!</v>
      </c>
      <c r="Q43" s="588" t="e">
        <f t="shared" si="4"/>
        <v>#DIV/0!</v>
      </c>
      <c r="R43" s="589">
        <f t="shared" si="5"/>
        <v>0</v>
      </c>
      <c r="S43" s="577"/>
      <c r="T43" s="577"/>
      <c r="U43" s="559"/>
      <c r="V43" s="534"/>
    </row>
    <row r="44" spans="1:22" ht="24.95" customHeight="1">
      <c r="A44" s="581">
        <v>11</v>
      </c>
      <c r="B44" s="581">
        <v>21</v>
      </c>
      <c r="C44" s="581" t="s">
        <v>1143</v>
      </c>
      <c r="D44" s="581" t="s">
        <v>0</v>
      </c>
      <c r="E44" s="581" t="s">
        <v>42</v>
      </c>
      <c r="F44" s="582"/>
      <c r="G44" s="583" t="s">
        <v>633</v>
      </c>
      <c r="H44" s="584"/>
      <c r="I44" s="584"/>
      <c r="J44" s="585"/>
      <c r="K44" s="534"/>
      <c r="L44" s="586"/>
      <c r="M44" s="586"/>
      <c r="N44" s="586"/>
      <c r="O44" s="587"/>
      <c r="P44" s="576" t="e">
        <f t="shared" si="3"/>
        <v>#DIV/0!</v>
      </c>
      <c r="Q44" s="588" t="e">
        <f t="shared" si="4"/>
        <v>#DIV/0!</v>
      </c>
      <c r="R44" s="589">
        <f t="shared" si="5"/>
        <v>0</v>
      </c>
      <c r="S44" s="577"/>
      <c r="T44" s="577"/>
      <c r="U44" s="559"/>
      <c r="V44" s="534"/>
    </row>
    <row r="45" spans="1:22" ht="24.95" customHeight="1">
      <c r="A45" s="581">
        <v>11</v>
      </c>
      <c r="B45" s="581">
        <v>21</v>
      </c>
      <c r="C45" s="581" t="s">
        <v>1143</v>
      </c>
      <c r="D45" s="581" t="s">
        <v>43</v>
      </c>
      <c r="E45" s="581" t="s">
        <v>42</v>
      </c>
      <c r="F45" s="582"/>
      <c r="G45" s="583" t="s">
        <v>633</v>
      </c>
      <c r="H45" s="584"/>
      <c r="I45" s="584"/>
      <c r="J45" s="585"/>
      <c r="K45" s="534"/>
      <c r="L45" s="586"/>
      <c r="M45" s="586"/>
      <c r="N45" s="586"/>
      <c r="O45" s="587"/>
      <c r="P45" s="576" t="e">
        <f t="shared" si="3"/>
        <v>#DIV/0!</v>
      </c>
      <c r="Q45" s="588" t="e">
        <f t="shared" si="4"/>
        <v>#DIV/0!</v>
      </c>
      <c r="R45" s="589">
        <f t="shared" si="5"/>
        <v>0</v>
      </c>
      <c r="S45" s="577"/>
      <c r="T45" s="577"/>
      <c r="U45" s="559"/>
      <c r="V45" s="534"/>
    </row>
    <row r="46" spans="1:22" ht="24.95" customHeight="1">
      <c r="A46" s="581">
        <v>11</v>
      </c>
      <c r="B46" s="581">
        <v>22</v>
      </c>
      <c r="C46" s="581" t="s">
        <v>632</v>
      </c>
      <c r="D46" s="581" t="s">
        <v>0</v>
      </c>
      <c r="E46" s="581" t="s">
        <v>42</v>
      </c>
      <c r="F46" s="582"/>
      <c r="G46" s="583" t="s">
        <v>633</v>
      </c>
      <c r="H46" s="584"/>
      <c r="I46" s="584"/>
      <c r="J46" s="585"/>
      <c r="K46" s="534"/>
      <c r="L46" s="586"/>
      <c r="M46" s="586"/>
      <c r="N46" s="586"/>
      <c r="O46" s="587"/>
      <c r="P46" s="576" t="e">
        <f>K46/(O46*12)</f>
        <v>#DIV/0!</v>
      </c>
      <c r="Q46" s="588" t="e">
        <f>L46/(K46+L46)</f>
        <v>#DIV/0!</v>
      </c>
      <c r="R46" s="589">
        <f>S46+T46/60</f>
        <v>0</v>
      </c>
      <c r="S46" s="577"/>
      <c r="T46" s="577"/>
      <c r="U46" s="559"/>
      <c r="V46" s="534"/>
    </row>
    <row r="47" spans="1:22" ht="24.95" customHeight="1">
      <c r="A47" s="581">
        <v>11</v>
      </c>
      <c r="B47" s="581">
        <v>22</v>
      </c>
      <c r="C47" s="581" t="s">
        <v>632</v>
      </c>
      <c r="D47" s="581" t="s">
        <v>43</v>
      </c>
      <c r="E47" s="581" t="s">
        <v>42</v>
      </c>
      <c r="F47" s="582"/>
      <c r="G47" s="583" t="s">
        <v>633</v>
      </c>
      <c r="H47" s="584"/>
      <c r="I47" s="584"/>
      <c r="J47" s="585"/>
      <c r="K47" s="534"/>
      <c r="L47" s="586"/>
      <c r="M47" s="586"/>
      <c r="N47" s="586"/>
      <c r="O47" s="587"/>
      <c r="P47" s="576" t="e">
        <f t="shared" si="3"/>
        <v>#DIV/0!</v>
      </c>
      <c r="Q47" s="588" t="e">
        <f t="shared" si="4"/>
        <v>#DIV/0!</v>
      </c>
      <c r="R47" s="589">
        <f t="shared" si="5"/>
        <v>0</v>
      </c>
      <c r="S47" s="577"/>
      <c r="T47" s="577"/>
      <c r="U47" s="559"/>
      <c r="V47" s="534"/>
    </row>
    <row r="48" spans="1:22" ht="24.95" customHeight="1">
      <c r="A48" s="581">
        <v>11</v>
      </c>
      <c r="B48" s="581">
        <v>23</v>
      </c>
      <c r="C48" s="581" t="s">
        <v>667</v>
      </c>
      <c r="D48" s="581" t="s">
        <v>0</v>
      </c>
      <c r="E48" s="581" t="s">
        <v>42</v>
      </c>
      <c r="F48" s="582"/>
      <c r="G48" s="583" t="s">
        <v>633</v>
      </c>
      <c r="H48" s="584"/>
      <c r="I48" s="584"/>
      <c r="J48" s="585"/>
      <c r="K48" s="534"/>
      <c r="L48" s="586"/>
      <c r="M48" s="586"/>
      <c r="N48" s="586"/>
      <c r="O48" s="587"/>
      <c r="P48" s="576" t="e">
        <f t="shared" si="3"/>
        <v>#DIV/0!</v>
      </c>
      <c r="Q48" s="588" t="e">
        <f t="shared" si="4"/>
        <v>#DIV/0!</v>
      </c>
      <c r="R48" s="589">
        <f t="shared" si="5"/>
        <v>0</v>
      </c>
      <c r="S48" s="577"/>
      <c r="T48" s="577"/>
      <c r="U48" s="559"/>
      <c r="V48" s="534"/>
    </row>
    <row r="49" spans="1:22" ht="24.95" customHeight="1">
      <c r="A49" s="581">
        <v>11</v>
      </c>
      <c r="B49" s="581">
        <v>23</v>
      </c>
      <c r="C49" s="581" t="s">
        <v>667</v>
      </c>
      <c r="D49" s="581" t="s">
        <v>43</v>
      </c>
      <c r="E49" s="581" t="s">
        <v>42</v>
      </c>
      <c r="F49" s="582"/>
      <c r="G49" s="583" t="s">
        <v>633</v>
      </c>
      <c r="H49" s="584"/>
      <c r="I49" s="584"/>
      <c r="J49" s="585"/>
      <c r="K49" s="534"/>
      <c r="L49" s="586"/>
      <c r="M49" s="586"/>
      <c r="N49" s="586"/>
      <c r="O49" s="587"/>
      <c r="P49" s="576" t="e">
        <f t="shared" si="3"/>
        <v>#DIV/0!</v>
      </c>
      <c r="Q49" s="588" t="e">
        <f t="shared" si="4"/>
        <v>#DIV/0!</v>
      </c>
      <c r="R49" s="589">
        <f t="shared" si="5"/>
        <v>0</v>
      </c>
      <c r="S49" s="577"/>
      <c r="T49" s="577"/>
      <c r="U49" s="590"/>
      <c r="V49" s="534"/>
    </row>
    <row r="50" spans="1:22" ht="24.95" customHeight="1">
      <c r="A50" s="581">
        <v>11</v>
      </c>
      <c r="B50" s="581">
        <v>24</v>
      </c>
      <c r="C50" s="581" t="s">
        <v>1192</v>
      </c>
      <c r="D50" s="581" t="s">
        <v>0</v>
      </c>
      <c r="E50" s="581" t="s">
        <v>42</v>
      </c>
      <c r="F50" s="582"/>
      <c r="G50" s="583" t="s">
        <v>633</v>
      </c>
      <c r="H50" s="584"/>
      <c r="I50" s="584"/>
      <c r="J50" s="585"/>
      <c r="K50" s="534"/>
      <c r="L50" s="586"/>
      <c r="M50" s="586"/>
      <c r="N50" s="586"/>
      <c r="O50" s="587"/>
      <c r="P50" s="576" t="e">
        <f t="shared" ref="P50:P65" si="6">K50/(O50*12)</f>
        <v>#DIV/0!</v>
      </c>
      <c r="Q50" s="588" t="e">
        <f t="shared" ref="Q50:Q65" si="7">L50/(K50+L50)</f>
        <v>#DIV/0!</v>
      </c>
      <c r="R50" s="589">
        <f t="shared" ref="R50:R65" si="8">S50+T50/60</f>
        <v>0</v>
      </c>
      <c r="S50" s="577"/>
      <c r="T50" s="577"/>
      <c r="U50" s="559"/>
      <c r="V50" s="534"/>
    </row>
    <row r="51" spans="1:22" ht="24.95" customHeight="1">
      <c r="A51" s="581">
        <v>11</v>
      </c>
      <c r="B51" s="581">
        <v>24</v>
      </c>
      <c r="C51" s="581" t="s">
        <v>1192</v>
      </c>
      <c r="D51" s="581" t="s">
        <v>43</v>
      </c>
      <c r="E51" s="581" t="s">
        <v>42</v>
      </c>
      <c r="F51" s="582"/>
      <c r="G51" s="583" t="s">
        <v>633</v>
      </c>
      <c r="H51" s="584"/>
      <c r="I51" s="584"/>
      <c r="J51" s="585"/>
      <c r="K51" s="534"/>
      <c r="L51" s="586"/>
      <c r="M51" s="586"/>
      <c r="N51" s="586"/>
      <c r="O51" s="587"/>
      <c r="P51" s="576" t="e">
        <f t="shared" si="6"/>
        <v>#DIV/0!</v>
      </c>
      <c r="Q51" s="588" t="e">
        <f t="shared" si="7"/>
        <v>#DIV/0!</v>
      </c>
      <c r="R51" s="589">
        <f t="shared" si="8"/>
        <v>0</v>
      </c>
      <c r="S51" s="577"/>
      <c r="T51" s="577"/>
      <c r="U51" s="559"/>
      <c r="V51" s="534"/>
    </row>
    <row r="52" spans="1:22" ht="24.95" customHeight="1">
      <c r="A52" s="581">
        <v>11</v>
      </c>
      <c r="B52" s="581">
        <v>25</v>
      </c>
      <c r="C52" s="581" t="s">
        <v>670</v>
      </c>
      <c r="D52" s="581" t="s">
        <v>0</v>
      </c>
      <c r="E52" s="581" t="s">
        <v>42</v>
      </c>
      <c r="F52" s="582"/>
      <c r="G52" s="583" t="s">
        <v>633</v>
      </c>
      <c r="H52" s="584"/>
      <c r="I52" s="584"/>
      <c r="J52" s="585"/>
      <c r="K52" s="534"/>
      <c r="L52" s="586"/>
      <c r="M52" s="586"/>
      <c r="N52" s="586"/>
      <c r="O52" s="587"/>
      <c r="P52" s="576" t="e">
        <f t="shared" si="6"/>
        <v>#DIV/0!</v>
      </c>
      <c r="Q52" s="588" t="e">
        <f t="shared" si="7"/>
        <v>#DIV/0!</v>
      </c>
      <c r="R52" s="589">
        <f t="shared" si="8"/>
        <v>0</v>
      </c>
      <c r="S52" s="577"/>
      <c r="T52" s="577"/>
      <c r="U52" s="559"/>
      <c r="V52" s="534"/>
    </row>
    <row r="53" spans="1:22" ht="24.95" customHeight="1">
      <c r="A53" s="581">
        <v>11</v>
      </c>
      <c r="B53" s="581">
        <v>25</v>
      </c>
      <c r="C53" s="581" t="s">
        <v>670</v>
      </c>
      <c r="D53" s="581" t="s">
        <v>43</v>
      </c>
      <c r="E53" s="581" t="s">
        <v>42</v>
      </c>
      <c r="F53" s="582"/>
      <c r="G53" s="583" t="s">
        <v>633</v>
      </c>
      <c r="H53" s="584"/>
      <c r="I53" s="584"/>
      <c r="J53" s="585"/>
      <c r="K53" s="534"/>
      <c r="L53" s="586"/>
      <c r="M53" s="586"/>
      <c r="N53" s="586"/>
      <c r="O53" s="587"/>
      <c r="P53" s="576" t="e">
        <f t="shared" si="6"/>
        <v>#DIV/0!</v>
      </c>
      <c r="Q53" s="588" t="e">
        <f t="shared" si="7"/>
        <v>#DIV/0!</v>
      </c>
      <c r="R53" s="589">
        <f t="shared" si="8"/>
        <v>0</v>
      </c>
      <c r="S53" s="577"/>
      <c r="T53" s="577"/>
      <c r="U53" s="559"/>
      <c r="V53" s="534"/>
    </row>
    <row r="54" spans="1:22" ht="24.95" customHeight="1">
      <c r="A54" s="581">
        <v>11</v>
      </c>
      <c r="B54" s="581">
        <v>26</v>
      </c>
      <c r="C54" s="581" t="s">
        <v>671</v>
      </c>
      <c r="D54" s="581" t="s">
        <v>0</v>
      </c>
      <c r="E54" s="581" t="s">
        <v>42</v>
      </c>
      <c r="F54" s="582"/>
      <c r="G54" s="583" t="s">
        <v>633</v>
      </c>
      <c r="H54" s="584"/>
      <c r="I54" s="584"/>
      <c r="J54" s="585"/>
      <c r="K54" s="534"/>
      <c r="L54" s="586"/>
      <c r="M54" s="586"/>
      <c r="N54" s="586"/>
      <c r="O54" s="587"/>
      <c r="P54" s="576" t="e">
        <f t="shared" si="6"/>
        <v>#DIV/0!</v>
      </c>
      <c r="Q54" s="588" t="e">
        <f t="shared" si="7"/>
        <v>#DIV/0!</v>
      </c>
      <c r="R54" s="589">
        <f t="shared" si="8"/>
        <v>0</v>
      </c>
      <c r="S54" s="577"/>
      <c r="T54" s="577"/>
      <c r="U54" s="559"/>
      <c r="V54" s="534"/>
    </row>
    <row r="55" spans="1:22" ht="24.95" customHeight="1">
      <c r="A55" s="581">
        <v>11</v>
      </c>
      <c r="B55" s="581">
        <v>26</v>
      </c>
      <c r="C55" s="581" t="s">
        <v>671</v>
      </c>
      <c r="D55" s="581" t="s">
        <v>43</v>
      </c>
      <c r="E55" s="581" t="s">
        <v>42</v>
      </c>
      <c r="F55" s="582"/>
      <c r="G55" s="583" t="s">
        <v>633</v>
      </c>
      <c r="H55" s="584"/>
      <c r="I55" s="584"/>
      <c r="J55" s="585"/>
      <c r="K55" s="534"/>
      <c r="L55" s="586"/>
      <c r="M55" s="586"/>
      <c r="N55" s="586"/>
      <c r="O55" s="587"/>
      <c r="P55" s="576" t="e">
        <f t="shared" si="6"/>
        <v>#DIV/0!</v>
      </c>
      <c r="Q55" s="588" t="e">
        <f t="shared" si="7"/>
        <v>#DIV/0!</v>
      </c>
      <c r="R55" s="589">
        <f t="shared" si="8"/>
        <v>0</v>
      </c>
      <c r="S55" s="577"/>
      <c r="T55" s="577"/>
      <c r="U55" s="559"/>
      <c r="V55" s="534"/>
    </row>
    <row r="56" spans="1:22" ht="24.95" customHeight="1">
      <c r="A56" s="581">
        <v>11</v>
      </c>
      <c r="B56" s="581">
        <v>27</v>
      </c>
      <c r="C56" s="581" t="s">
        <v>672</v>
      </c>
      <c r="D56" s="581" t="s">
        <v>0</v>
      </c>
      <c r="E56" s="581" t="s">
        <v>42</v>
      </c>
      <c r="F56" s="582"/>
      <c r="G56" s="583" t="s">
        <v>633</v>
      </c>
      <c r="H56" s="584"/>
      <c r="I56" s="584"/>
      <c r="J56" s="585"/>
      <c r="K56" s="534"/>
      <c r="L56" s="586"/>
      <c r="M56" s="586"/>
      <c r="N56" s="586"/>
      <c r="O56" s="587"/>
      <c r="P56" s="576" t="e">
        <f t="shared" si="6"/>
        <v>#DIV/0!</v>
      </c>
      <c r="Q56" s="588" t="e">
        <f t="shared" si="7"/>
        <v>#DIV/0!</v>
      </c>
      <c r="R56" s="589">
        <f t="shared" si="8"/>
        <v>0</v>
      </c>
      <c r="S56" s="577"/>
      <c r="T56" s="577"/>
      <c r="U56" s="559"/>
      <c r="V56" s="534"/>
    </row>
    <row r="57" spans="1:22" ht="24.95" customHeight="1">
      <c r="A57" s="581">
        <v>11</v>
      </c>
      <c r="B57" s="581">
        <v>27</v>
      </c>
      <c r="C57" s="581" t="s">
        <v>672</v>
      </c>
      <c r="D57" s="581" t="s">
        <v>43</v>
      </c>
      <c r="E57" s="581" t="s">
        <v>42</v>
      </c>
      <c r="F57" s="582"/>
      <c r="G57" s="583" t="s">
        <v>633</v>
      </c>
      <c r="H57" s="584"/>
      <c r="I57" s="584"/>
      <c r="J57" s="585"/>
      <c r="K57" s="534"/>
      <c r="L57" s="586"/>
      <c r="M57" s="586"/>
      <c r="N57" s="586"/>
      <c r="O57" s="587"/>
      <c r="P57" s="576" t="e">
        <f t="shared" si="6"/>
        <v>#DIV/0!</v>
      </c>
      <c r="Q57" s="588" t="e">
        <f t="shared" si="7"/>
        <v>#DIV/0!</v>
      </c>
      <c r="R57" s="589">
        <f t="shared" si="8"/>
        <v>0</v>
      </c>
      <c r="S57" s="577"/>
      <c r="T57" s="577"/>
      <c r="U57" s="559"/>
      <c r="V57" s="534"/>
    </row>
    <row r="58" spans="1:22" ht="24.95" customHeight="1">
      <c r="A58" s="581">
        <v>11</v>
      </c>
      <c r="B58" s="581">
        <v>28</v>
      </c>
      <c r="C58" s="581" t="s">
        <v>673</v>
      </c>
      <c r="D58" s="581" t="s">
        <v>0</v>
      </c>
      <c r="E58" s="581" t="s">
        <v>42</v>
      </c>
      <c r="F58" s="582"/>
      <c r="G58" s="583" t="s">
        <v>633</v>
      </c>
      <c r="H58" s="584"/>
      <c r="I58" s="584"/>
      <c r="J58" s="585"/>
      <c r="K58" s="534"/>
      <c r="L58" s="586"/>
      <c r="M58" s="586"/>
      <c r="N58" s="586"/>
      <c r="O58" s="587"/>
      <c r="P58" s="576" t="e">
        <f t="shared" si="6"/>
        <v>#DIV/0!</v>
      </c>
      <c r="Q58" s="588" t="e">
        <f t="shared" si="7"/>
        <v>#DIV/0!</v>
      </c>
      <c r="R58" s="589">
        <f t="shared" si="8"/>
        <v>0</v>
      </c>
      <c r="S58" s="577"/>
      <c r="T58" s="577"/>
      <c r="U58" s="559"/>
      <c r="V58" s="534"/>
    </row>
    <row r="59" spans="1:22" ht="24.95" customHeight="1">
      <c r="A59" s="581">
        <v>11</v>
      </c>
      <c r="B59" s="581">
        <v>28</v>
      </c>
      <c r="C59" s="581" t="s">
        <v>673</v>
      </c>
      <c r="D59" s="581" t="s">
        <v>43</v>
      </c>
      <c r="E59" s="581" t="s">
        <v>42</v>
      </c>
      <c r="F59" s="582"/>
      <c r="G59" s="583" t="s">
        <v>633</v>
      </c>
      <c r="H59" s="584"/>
      <c r="I59" s="584"/>
      <c r="J59" s="585"/>
      <c r="K59" s="534"/>
      <c r="L59" s="586"/>
      <c r="M59" s="586"/>
      <c r="N59" s="586"/>
      <c r="O59" s="587"/>
      <c r="P59" s="576" t="e">
        <f>K59/(O59*12)</f>
        <v>#DIV/0!</v>
      </c>
      <c r="Q59" s="588" t="e">
        <f>L59/(K59+L59)</f>
        <v>#DIV/0!</v>
      </c>
      <c r="R59" s="589">
        <f>S59+T59/60</f>
        <v>0</v>
      </c>
      <c r="S59" s="577"/>
      <c r="T59" s="577"/>
      <c r="U59" s="559"/>
      <c r="V59" s="534"/>
    </row>
    <row r="60" spans="1:22" ht="24.95" customHeight="1">
      <c r="A60" s="581">
        <v>11</v>
      </c>
      <c r="B60" s="581">
        <v>29</v>
      </c>
      <c r="C60" s="581" t="s">
        <v>632</v>
      </c>
      <c r="D60" s="581" t="s">
        <v>0</v>
      </c>
      <c r="E60" s="581" t="s">
        <v>42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/>
      <c r="P60" s="576" t="e">
        <f>K60/(O60*12)</f>
        <v>#DIV/0!</v>
      </c>
      <c r="Q60" s="588" t="e">
        <f>L60/(K60+L60)</f>
        <v>#DIV/0!</v>
      </c>
      <c r="R60" s="589">
        <f>S60+T60/60</f>
        <v>0</v>
      </c>
      <c r="S60" s="577"/>
      <c r="T60" s="577"/>
      <c r="U60" s="559"/>
      <c r="V60" s="534"/>
    </row>
    <row r="61" spans="1:22" ht="24.95" customHeight="1">
      <c r="A61" s="581">
        <v>11</v>
      </c>
      <c r="B61" s="581">
        <v>29</v>
      </c>
      <c r="C61" s="581" t="s">
        <v>632</v>
      </c>
      <c r="D61" s="581" t="s">
        <v>43</v>
      </c>
      <c r="E61" s="581" t="s">
        <v>42</v>
      </c>
      <c r="F61" s="582"/>
      <c r="G61" s="583" t="s">
        <v>633</v>
      </c>
      <c r="H61" s="584"/>
      <c r="I61" s="584"/>
      <c r="J61" s="585"/>
      <c r="K61" s="534"/>
      <c r="L61" s="586"/>
      <c r="M61" s="586"/>
      <c r="N61" s="586"/>
      <c r="O61" s="587"/>
      <c r="P61" s="576" t="e">
        <f>K61/(O61*12)</f>
        <v>#DIV/0!</v>
      </c>
      <c r="Q61" s="588" t="e">
        <f>L61/(K61+L61)</f>
        <v>#DIV/0!</v>
      </c>
      <c r="R61" s="589">
        <f>S61+T61/60</f>
        <v>0</v>
      </c>
      <c r="S61" s="577"/>
      <c r="T61" s="577"/>
      <c r="U61" s="559"/>
      <c r="V61" s="534"/>
    </row>
    <row r="62" spans="1:22" ht="24.95" customHeight="1">
      <c r="A62" s="581">
        <v>11</v>
      </c>
      <c r="B62" s="581">
        <v>30</v>
      </c>
      <c r="C62" s="581" t="s">
        <v>1266</v>
      </c>
      <c r="D62" s="581" t="s">
        <v>0</v>
      </c>
      <c r="E62" s="581" t="s">
        <v>42</v>
      </c>
      <c r="F62" s="582"/>
      <c r="G62" s="583" t="s">
        <v>633</v>
      </c>
      <c r="H62" s="584"/>
      <c r="I62" s="584"/>
      <c r="J62" s="585"/>
      <c r="K62" s="534"/>
      <c r="L62" s="586"/>
      <c r="M62" s="586"/>
      <c r="N62" s="586"/>
      <c r="O62" s="587"/>
      <c r="P62" s="576" t="e">
        <f t="shared" si="6"/>
        <v>#DIV/0!</v>
      </c>
      <c r="Q62" s="588" t="e">
        <f t="shared" si="7"/>
        <v>#DIV/0!</v>
      </c>
      <c r="R62" s="589">
        <f t="shared" si="8"/>
        <v>0</v>
      </c>
      <c r="S62" s="577"/>
      <c r="T62" s="577"/>
      <c r="U62" s="559"/>
      <c r="V62" s="534"/>
    </row>
    <row r="63" spans="1:22" ht="24.95" customHeight="1">
      <c r="A63" s="581">
        <v>11</v>
      </c>
      <c r="B63" s="581">
        <v>30</v>
      </c>
      <c r="C63" s="581" t="s">
        <v>1266</v>
      </c>
      <c r="D63" s="581" t="s">
        <v>43</v>
      </c>
      <c r="E63" s="581" t="s">
        <v>42</v>
      </c>
      <c r="F63" s="582"/>
      <c r="G63" s="583" t="s">
        <v>633</v>
      </c>
      <c r="H63" s="584"/>
      <c r="I63" s="584"/>
      <c r="J63" s="585"/>
      <c r="K63" s="534"/>
      <c r="L63" s="586"/>
      <c r="M63" s="586"/>
      <c r="N63" s="586"/>
      <c r="O63" s="587"/>
      <c r="P63" s="576" t="e">
        <f t="shared" si="6"/>
        <v>#DIV/0!</v>
      </c>
      <c r="Q63" s="588" t="e">
        <f t="shared" si="7"/>
        <v>#DIV/0!</v>
      </c>
      <c r="R63" s="589">
        <f t="shared" si="8"/>
        <v>0</v>
      </c>
      <c r="S63" s="577"/>
      <c r="T63" s="577"/>
      <c r="U63" s="559"/>
      <c r="V63" s="534"/>
    </row>
    <row r="64" spans="1:22" ht="24.95" customHeight="1">
      <c r="A64" s="434"/>
      <c r="B64" s="434"/>
      <c r="C64" s="581"/>
      <c r="D64" s="581"/>
      <c r="E64" s="581"/>
      <c r="F64" s="582"/>
      <c r="G64" s="583"/>
      <c r="H64" s="584"/>
      <c r="I64" s="584"/>
      <c r="J64" s="585"/>
      <c r="K64" s="534"/>
      <c r="L64" s="586"/>
      <c r="M64" s="586"/>
      <c r="N64" s="586"/>
      <c r="O64" s="587"/>
      <c r="P64" s="576" t="e">
        <f t="shared" si="6"/>
        <v>#DIV/0!</v>
      </c>
      <c r="Q64" s="588" t="e">
        <f t="shared" si="7"/>
        <v>#DIV/0!</v>
      </c>
      <c r="R64" s="589">
        <f t="shared" si="8"/>
        <v>0</v>
      </c>
      <c r="S64" s="577"/>
      <c r="T64" s="577"/>
      <c r="U64" s="559"/>
      <c r="V64" s="534"/>
    </row>
    <row r="65" spans="1:22" ht="24.95" customHeight="1">
      <c r="A65" s="434"/>
      <c r="B65" s="434"/>
      <c r="C65" s="581"/>
      <c r="D65" s="581"/>
      <c r="E65" s="581"/>
      <c r="F65" s="582"/>
      <c r="G65" s="583"/>
      <c r="H65" s="584"/>
      <c r="I65" s="584"/>
      <c r="J65" s="585"/>
      <c r="K65" s="534"/>
      <c r="L65" s="586"/>
      <c r="M65" s="586"/>
      <c r="N65" s="586"/>
      <c r="O65" s="587"/>
      <c r="P65" s="576" t="e">
        <f t="shared" si="6"/>
        <v>#DIV/0!</v>
      </c>
      <c r="Q65" s="588" t="e">
        <f t="shared" si="7"/>
        <v>#DIV/0!</v>
      </c>
      <c r="R65" s="589">
        <f t="shared" si="8"/>
        <v>0</v>
      </c>
      <c r="S65" s="577"/>
      <c r="T65" s="577"/>
      <c r="U65" s="559"/>
      <c r="V65" s="534"/>
    </row>
    <row r="66" spans="1:22" ht="30" customHeight="1">
      <c r="E66" s="456"/>
      <c r="F66" s="560"/>
      <c r="G66" s="573"/>
      <c r="H66" s="575"/>
      <c r="I66" s="575"/>
      <c r="J66" s="561"/>
      <c r="K66" s="533"/>
      <c r="L66" s="562"/>
      <c r="M66" s="562"/>
      <c r="N66" s="562"/>
      <c r="O66" s="563"/>
      <c r="P66" s="566"/>
      <c r="Q66" s="566"/>
      <c r="R66" s="564"/>
      <c r="S66" s="567"/>
      <c r="T66" s="567"/>
      <c r="U66" s="565"/>
      <c r="V66" s="533"/>
    </row>
    <row r="67" spans="1:22" ht="30" customHeight="1" thickBot="1">
      <c r="E67" s="456"/>
      <c r="F67" s="560"/>
      <c r="G67" s="573"/>
      <c r="H67" s="575"/>
      <c r="I67" s="575"/>
      <c r="J67" s="561"/>
      <c r="K67" s="533"/>
      <c r="L67" s="562"/>
      <c r="M67" s="562"/>
      <c r="N67" s="562"/>
      <c r="O67" s="563"/>
      <c r="P67" s="566"/>
      <c r="Q67" s="566"/>
      <c r="R67" s="564"/>
      <c r="S67" s="567"/>
      <c r="T67" s="567"/>
      <c r="U67" s="565"/>
      <c r="V67" s="533"/>
    </row>
    <row r="68" spans="1:22" ht="41.25" customHeight="1" thickBot="1">
      <c r="E68" s="456"/>
      <c r="F68" s="560"/>
      <c r="G68" s="592" t="s">
        <v>585</v>
      </c>
      <c r="H68" s="591">
        <f>SUM(H4:H65)</f>
        <v>0</v>
      </c>
      <c r="I68" s="594">
        <f>SUM(I4:I65)</f>
        <v>0</v>
      </c>
      <c r="J68" s="596" t="s">
        <v>586</v>
      </c>
      <c r="K68" s="595">
        <f>SUM(K4:K67)</f>
        <v>0</v>
      </c>
      <c r="L68" s="593">
        <f>SUM(L4:L67)</f>
        <v>0</v>
      </c>
      <c r="M68" s="597" t="s">
        <v>588</v>
      </c>
      <c r="N68" s="562"/>
      <c r="O68" s="564"/>
      <c r="P68" s="566"/>
      <c r="Q68" s="566"/>
      <c r="R68" s="564"/>
      <c r="S68" s="567"/>
      <c r="T68" s="567"/>
      <c r="U68" s="568"/>
    </row>
    <row r="69" spans="1:22" ht="30" customHeight="1">
      <c r="E69" s="456"/>
      <c r="F69" s="560"/>
      <c r="G69" s="573"/>
      <c r="H69" s="575"/>
      <c r="I69" s="575"/>
      <c r="J69" s="561"/>
      <c r="K69" s="562"/>
      <c r="L69" s="562"/>
      <c r="M69" s="562"/>
      <c r="N69" s="562"/>
      <c r="O69" s="564"/>
      <c r="P69" s="566"/>
      <c r="Q69" s="566"/>
      <c r="R69" s="564"/>
      <c r="S69" s="567"/>
      <c r="T69" s="567"/>
    </row>
    <row r="70" spans="1:22" ht="30" customHeight="1">
      <c r="E70" s="456"/>
      <c r="F70" s="560"/>
      <c r="G70" s="573"/>
      <c r="H70" s="575"/>
      <c r="I70" s="575"/>
      <c r="J70" s="561"/>
      <c r="K70" s="562"/>
      <c r="L70" s="562"/>
      <c r="M70" s="562"/>
      <c r="N70" s="562"/>
      <c r="O70" s="579"/>
      <c r="P70" s="579"/>
      <c r="Q70" s="579"/>
      <c r="R70" s="579"/>
      <c r="S70" s="579"/>
      <c r="T70" s="579"/>
      <c r="U70" s="579"/>
      <c r="V70" s="579"/>
    </row>
    <row r="71" spans="1:22" ht="30" customHeight="1">
      <c r="O71" s="533"/>
      <c r="P71" s="570"/>
      <c r="Q71" s="564"/>
      <c r="R71" s="571"/>
      <c r="T71" s="456"/>
    </row>
    <row r="72" spans="1:22" ht="30" customHeight="1">
      <c r="O72" s="533"/>
      <c r="P72" s="570"/>
      <c r="Q72" s="564"/>
      <c r="R72" s="571"/>
      <c r="T72" s="456"/>
    </row>
    <row r="73" spans="1:22" ht="30" customHeight="1">
      <c r="O73" s="533"/>
      <c r="Q73" s="533"/>
      <c r="R73" s="571"/>
      <c r="T73" s="456"/>
    </row>
    <row r="74" spans="1:22" ht="30" customHeight="1">
      <c r="O74" s="533"/>
      <c r="Q74" s="533"/>
      <c r="R74" s="571"/>
      <c r="T74" s="456"/>
    </row>
    <row r="75" spans="1:22" ht="30" customHeight="1">
      <c r="O75" s="533"/>
      <c r="Q75" s="533"/>
      <c r="R75" s="571"/>
      <c r="T75" s="456"/>
    </row>
    <row r="76" spans="1:22" ht="30" customHeight="1">
      <c r="Q76" s="456"/>
      <c r="R76" s="571"/>
      <c r="T76" s="456"/>
    </row>
    <row r="77" spans="1:22" ht="30" customHeight="1">
      <c r="Q77" s="456"/>
      <c r="R77" s="571"/>
      <c r="T77" s="456"/>
    </row>
    <row r="78" spans="1:22" ht="30" customHeight="1">
      <c r="Q78" s="456"/>
      <c r="R78" s="571"/>
      <c r="T78" s="456"/>
    </row>
    <row r="79" spans="1:22" ht="30" customHeight="1">
      <c r="Q79" s="456"/>
      <c r="R79" s="571"/>
      <c r="T79" s="456"/>
    </row>
    <row r="80" spans="1:22" ht="30" customHeight="1">
      <c r="Q80" s="456"/>
      <c r="R80" s="571"/>
      <c r="T80" s="456"/>
    </row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24.95" customHeight="1"/>
    <row r="214" ht="24.95" customHeight="1"/>
    <row r="215" ht="24.95" customHeight="1"/>
    <row r="216" ht="24.95" customHeight="1"/>
    <row r="217" ht="24.95" customHeight="1"/>
    <row r="218" ht="24.95" customHeight="1"/>
    <row r="219" ht="24.95" customHeight="1"/>
    <row r="220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工作表15">
    <tabColor rgb="FFFFC000"/>
  </sheetPr>
  <dimension ref="A1:AB224"/>
  <sheetViews>
    <sheetView zoomScale="75" workbookViewId="0">
      <pane xSplit="4" ySplit="3" topLeftCell="E64" activePane="bottomRight" state="frozen"/>
      <selection activeCell="W23" sqref="W23"/>
      <selection pane="topRight" activeCell="W23" sqref="W23"/>
      <selection pane="bottomLeft" activeCell="W23" sqref="W23"/>
      <selection pane="bottomRight" activeCell="U67" sqref="U67"/>
    </sheetView>
  </sheetViews>
  <sheetFormatPr defaultRowHeight="15.75"/>
  <cols>
    <col min="1" max="4" width="4.375" style="456" customWidth="1"/>
    <col min="5" max="5" width="5.625" style="569" customWidth="1"/>
    <col min="6" max="6" width="6.5" style="569" customWidth="1"/>
    <col min="7" max="7" width="11.75" style="574" customWidth="1"/>
    <col min="8" max="8" width="10.75" style="574" customWidth="1"/>
    <col min="9" max="9" width="11.25" style="574" customWidth="1"/>
    <col min="10" max="10" width="12.625" style="569" customWidth="1"/>
    <col min="11" max="11" width="11.625" style="569" customWidth="1"/>
    <col min="12" max="12" width="12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580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0" customHeight="1" thickBo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 thickBot="1">
      <c r="A4" s="581">
        <v>11</v>
      </c>
      <c r="B4" s="581">
        <v>1</v>
      </c>
      <c r="C4" s="581" t="s">
        <v>632</v>
      </c>
      <c r="D4" s="581" t="s">
        <v>0</v>
      </c>
      <c r="E4" s="581" t="s">
        <v>44</v>
      </c>
      <c r="F4" s="582">
        <v>1.2</v>
      </c>
      <c r="G4" s="583">
        <v>0.5</v>
      </c>
      <c r="H4" s="584">
        <f>1000*2</f>
        <v>2000</v>
      </c>
      <c r="I4" s="584">
        <f>845+483+832+723</f>
        <v>2883</v>
      </c>
      <c r="J4" s="585">
        <v>715</v>
      </c>
      <c r="K4" s="585">
        <f>710+712+711+715+713+712</f>
        <v>4273</v>
      </c>
      <c r="L4" s="586"/>
      <c r="M4" s="586"/>
      <c r="N4" s="586"/>
      <c r="O4" s="587">
        <v>450</v>
      </c>
      <c r="P4" s="576">
        <f t="shared" ref="P4:P36" si="0">K4/(O4*12)</f>
        <v>0.79129629629629628</v>
      </c>
      <c r="Q4" s="588">
        <f t="shared" ref="Q4:Q36" si="1">L4/(K4+L4)</f>
        <v>0</v>
      </c>
      <c r="R4" s="589">
        <f t="shared" ref="R4:R36" si="2">S4+T4/60</f>
        <v>11</v>
      </c>
      <c r="S4" s="577">
        <v>11</v>
      </c>
      <c r="T4" s="577">
        <v>0</v>
      </c>
      <c r="U4" s="590" t="s">
        <v>712</v>
      </c>
      <c r="V4" s="534" t="s">
        <v>701</v>
      </c>
      <c r="X4" s="602" t="s">
        <v>583</v>
      </c>
      <c r="Z4" s="598" t="s">
        <v>597</v>
      </c>
      <c r="AA4" s="599" t="s">
        <v>598</v>
      </c>
      <c r="AB4" s="600" t="s">
        <v>595</v>
      </c>
    </row>
    <row r="5" spans="1:28" ht="24.95" customHeight="1" thickBot="1">
      <c r="A5" s="581">
        <v>11</v>
      </c>
      <c r="B5" s="581">
        <v>1</v>
      </c>
      <c r="C5" s="581" t="s">
        <v>632</v>
      </c>
      <c r="D5" s="581" t="s">
        <v>707</v>
      </c>
      <c r="E5" s="581" t="s">
        <v>44</v>
      </c>
      <c r="F5" s="582">
        <v>1.2</v>
      </c>
      <c r="G5" s="583">
        <v>0.5</v>
      </c>
      <c r="H5" s="584">
        <f>1000*2</f>
        <v>2000</v>
      </c>
      <c r="I5" s="584">
        <f>583+602+622+497</f>
        <v>2304</v>
      </c>
      <c r="J5" s="585">
        <v>715</v>
      </c>
      <c r="K5" s="585">
        <f>710+712+714+713+711+713+712</f>
        <v>4985</v>
      </c>
      <c r="L5" s="586"/>
      <c r="M5" s="586"/>
      <c r="N5" s="586"/>
      <c r="O5" s="587">
        <v>450</v>
      </c>
      <c r="P5" s="576">
        <f t="shared" si="0"/>
        <v>0.92314814814814816</v>
      </c>
      <c r="Q5" s="588">
        <f t="shared" si="1"/>
        <v>0</v>
      </c>
      <c r="R5" s="589">
        <f t="shared" si="2"/>
        <v>12.6</v>
      </c>
      <c r="S5" s="577">
        <v>12</v>
      </c>
      <c r="T5" s="577">
        <v>36</v>
      </c>
      <c r="U5" s="590" t="s">
        <v>713</v>
      </c>
      <c r="V5" s="534" t="s">
        <v>714</v>
      </c>
      <c r="X5" s="602" t="s">
        <v>583</v>
      </c>
      <c r="Z5" s="598" t="s">
        <v>597</v>
      </c>
      <c r="AA5" s="599" t="s">
        <v>598</v>
      </c>
      <c r="AB5" s="600" t="s">
        <v>595</v>
      </c>
    </row>
    <row r="6" spans="1:28" ht="24.95" customHeight="1" thickBot="1">
      <c r="A6" s="581">
        <v>11</v>
      </c>
      <c r="B6" s="581">
        <v>2</v>
      </c>
      <c r="C6" s="581" t="s">
        <v>755</v>
      </c>
      <c r="D6" s="581" t="s">
        <v>0</v>
      </c>
      <c r="E6" s="581" t="s">
        <v>44</v>
      </c>
      <c r="F6" s="582">
        <v>1.2</v>
      </c>
      <c r="G6" s="583">
        <v>0.5</v>
      </c>
      <c r="H6" s="584">
        <f>1000*2</f>
        <v>2000</v>
      </c>
      <c r="I6" s="584">
        <f>720+832+600+906</f>
        <v>3058</v>
      </c>
      <c r="J6" s="585">
        <v>715</v>
      </c>
      <c r="K6" s="585">
        <f>710+712+711+713+711+714+713</f>
        <v>4984</v>
      </c>
      <c r="L6" s="586"/>
      <c r="M6" s="586"/>
      <c r="N6" s="586"/>
      <c r="O6" s="587">
        <v>450</v>
      </c>
      <c r="P6" s="576">
        <f t="shared" si="0"/>
        <v>0.92296296296296299</v>
      </c>
      <c r="Q6" s="588">
        <f t="shared" si="1"/>
        <v>0</v>
      </c>
      <c r="R6" s="589">
        <f t="shared" si="2"/>
        <v>11.833333333333334</v>
      </c>
      <c r="S6" s="577">
        <v>11</v>
      </c>
      <c r="T6" s="577">
        <v>50</v>
      </c>
      <c r="U6" s="590" t="s">
        <v>764</v>
      </c>
      <c r="V6" s="534" t="s">
        <v>701</v>
      </c>
      <c r="X6" s="601" t="s">
        <v>601</v>
      </c>
      <c r="Z6" s="608">
        <f>SUMIF(D3:D81,"A",K3:K81)</f>
        <v>55487</v>
      </c>
      <c r="AA6" s="609">
        <f>SUMIF(D3:D81,"B",K3:K81)</f>
        <v>56372</v>
      </c>
      <c r="AB6" s="607" t="s">
        <v>587</v>
      </c>
    </row>
    <row r="7" spans="1:28" ht="24.95" customHeight="1" thickBot="1">
      <c r="A7" s="581">
        <v>11</v>
      </c>
      <c r="B7" s="581">
        <v>2</v>
      </c>
      <c r="C7" s="581" t="s">
        <v>755</v>
      </c>
      <c r="D7" s="581" t="s">
        <v>43</v>
      </c>
      <c r="E7" s="581" t="s">
        <v>44</v>
      </c>
      <c r="F7" s="582">
        <v>1.2</v>
      </c>
      <c r="G7" s="583">
        <v>0.5</v>
      </c>
      <c r="H7" s="584">
        <f>1000*2</f>
        <v>2000</v>
      </c>
      <c r="I7" s="584">
        <f>1047+856+801</f>
        <v>2704</v>
      </c>
      <c r="J7" s="585">
        <v>715</v>
      </c>
      <c r="K7" s="585">
        <f>710+712+714+711</f>
        <v>2847</v>
      </c>
      <c r="L7" s="586">
        <f>92</f>
        <v>92</v>
      </c>
      <c r="M7" s="586"/>
      <c r="N7" s="586"/>
      <c r="O7" s="587">
        <v>450</v>
      </c>
      <c r="P7" s="576">
        <f t="shared" si="0"/>
        <v>0.52722222222222226</v>
      </c>
      <c r="Q7" s="588">
        <f t="shared" si="1"/>
        <v>3.1303164341612795E-2</v>
      </c>
      <c r="R7" s="589">
        <f t="shared" si="2"/>
        <v>6.65</v>
      </c>
      <c r="S7" s="577">
        <v>6</v>
      </c>
      <c r="T7" s="577">
        <v>39</v>
      </c>
      <c r="U7" s="559" t="s">
        <v>765</v>
      </c>
      <c r="V7" s="534" t="s">
        <v>714</v>
      </c>
      <c r="X7" s="602" t="s">
        <v>583</v>
      </c>
      <c r="Z7" s="598" t="s">
        <v>597</v>
      </c>
      <c r="AA7" s="599" t="s">
        <v>598</v>
      </c>
      <c r="AB7" s="600" t="s">
        <v>595</v>
      </c>
    </row>
    <row r="8" spans="1:28" ht="24.95" customHeight="1" thickBot="1">
      <c r="A8" s="581">
        <v>11</v>
      </c>
      <c r="B8" s="581">
        <v>2</v>
      </c>
      <c r="C8" s="581" t="s">
        <v>755</v>
      </c>
      <c r="D8" s="581" t="s">
        <v>43</v>
      </c>
      <c r="E8" s="581" t="s">
        <v>44</v>
      </c>
      <c r="F8" s="582">
        <v>1.8</v>
      </c>
      <c r="G8" s="583">
        <v>0.5</v>
      </c>
      <c r="H8" s="584"/>
      <c r="I8" s="584"/>
      <c r="J8" s="585">
        <v>715</v>
      </c>
      <c r="K8" s="585">
        <f>710+711+712</f>
        <v>2133</v>
      </c>
      <c r="L8" s="586"/>
      <c r="M8" s="586"/>
      <c r="N8" s="586"/>
      <c r="O8" s="587">
        <v>450</v>
      </c>
      <c r="P8" s="576">
        <f t="shared" si="0"/>
        <v>0.39500000000000002</v>
      </c>
      <c r="Q8" s="588">
        <f t="shared" si="1"/>
        <v>0</v>
      </c>
      <c r="R8" s="589">
        <f t="shared" si="2"/>
        <v>6.333333333333333</v>
      </c>
      <c r="S8" s="577">
        <v>6</v>
      </c>
      <c r="T8" s="577">
        <v>20</v>
      </c>
      <c r="U8" s="590" t="s">
        <v>766</v>
      </c>
      <c r="V8" s="534" t="s">
        <v>714</v>
      </c>
      <c r="X8" s="601" t="s">
        <v>180</v>
      </c>
      <c r="Z8" s="608">
        <f>SUMIF(D7:D69,"A",K7:K69)</f>
        <v>46230</v>
      </c>
      <c r="AA8" s="609">
        <f>SUMIF(D7:D69,"B",K7:K69)</f>
        <v>51387</v>
      </c>
      <c r="AB8" s="607" t="s">
        <v>587</v>
      </c>
    </row>
    <row r="9" spans="1:28" ht="24.95" customHeight="1" thickBot="1">
      <c r="A9" s="581">
        <v>11</v>
      </c>
      <c r="B9" s="581">
        <v>3</v>
      </c>
      <c r="C9" s="581" t="s">
        <v>784</v>
      </c>
      <c r="D9" s="581" t="s">
        <v>0</v>
      </c>
      <c r="E9" s="581" t="s">
        <v>44</v>
      </c>
      <c r="F9" s="582">
        <v>1.8</v>
      </c>
      <c r="G9" s="583">
        <v>0.4</v>
      </c>
      <c r="H9" s="584">
        <f>1000*3</f>
        <v>3000</v>
      </c>
      <c r="I9" s="584">
        <f>833+946</f>
        <v>1779</v>
      </c>
      <c r="J9" s="585">
        <v>715</v>
      </c>
      <c r="K9" s="585">
        <f>710*2+711+713+710+712</f>
        <v>4266</v>
      </c>
      <c r="L9" s="586"/>
      <c r="M9" s="586"/>
      <c r="N9" s="586"/>
      <c r="O9" s="587">
        <v>450</v>
      </c>
      <c r="P9" s="576">
        <f>K9/(O9*12)</f>
        <v>0.79</v>
      </c>
      <c r="Q9" s="588">
        <f>L9/(K9+L9)</f>
        <v>0</v>
      </c>
      <c r="R9" s="589">
        <f>S9+T9/60</f>
        <v>11.516666666666667</v>
      </c>
      <c r="S9" s="577">
        <v>11</v>
      </c>
      <c r="T9" s="577">
        <v>31</v>
      </c>
      <c r="U9" s="590" t="s">
        <v>791</v>
      </c>
      <c r="V9" s="534" t="s">
        <v>701</v>
      </c>
      <c r="X9" s="534" t="s">
        <v>413</v>
      </c>
      <c r="Z9" s="598" t="s">
        <v>593</v>
      </c>
      <c r="AA9" s="599" t="s">
        <v>594</v>
      </c>
      <c r="AB9" s="600" t="s">
        <v>595</v>
      </c>
    </row>
    <row r="10" spans="1:28" ht="24.95" customHeight="1" thickBot="1">
      <c r="A10" s="581">
        <v>11</v>
      </c>
      <c r="B10" s="581">
        <v>3</v>
      </c>
      <c r="C10" s="581" t="s">
        <v>784</v>
      </c>
      <c r="D10" s="581" t="s">
        <v>43</v>
      </c>
      <c r="E10" s="581" t="s">
        <v>44</v>
      </c>
      <c r="F10" s="582">
        <v>1.8</v>
      </c>
      <c r="G10" s="583">
        <v>0.4</v>
      </c>
      <c r="H10" s="584">
        <f>1000*3</f>
        <v>3000</v>
      </c>
      <c r="I10" s="584">
        <f>908+903</f>
        <v>1811</v>
      </c>
      <c r="J10" s="585">
        <v>715</v>
      </c>
      <c r="K10" s="585">
        <f>710+712+714+711+714+713</f>
        <v>4274</v>
      </c>
      <c r="L10" s="586"/>
      <c r="M10" s="586"/>
      <c r="N10" s="586"/>
      <c r="O10" s="587">
        <v>450</v>
      </c>
      <c r="P10" s="576">
        <f t="shared" si="0"/>
        <v>0.79148148148148145</v>
      </c>
      <c r="Q10" s="588">
        <f t="shared" si="1"/>
        <v>0</v>
      </c>
      <c r="R10" s="589">
        <f t="shared" si="2"/>
        <v>11.4</v>
      </c>
      <c r="S10" s="577">
        <v>11</v>
      </c>
      <c r="T10" s="577">
        <v>24</v>
      </c>
      <c r="U10" s="590" t="s">
        <v>792</v>
      </c>
      <c r="V10" s="534" t="s">
        <v>714</v>
      </c>
      <c r="X10" s="534" t="s">
        <v>413</v>
      </c>
      <c r="Z10" s="598" t="s">
        <v>593</v>
      </c>
      <c r="AA10" s="599" t="s">
        <v>594</v>
      </c>
      <c r="AB10" s="600" t="s">
        <v>595</v>
      </c>
    </row>
    <row r="11" spans="1:28" ht="31.5" customHeight="1" thickBot="1">
      <c r="A11" s="581">
        <v>11</v>
      </c>
      <c r="B11" s="581">
        <v>4</v>
      </c>
      <c r="C11" s="581" t="s">
        <v>805</v>
      </c>
      <c r="D11" s="581" t="s">
        <v>0</v>
      </c>
      <c r="E11" s="581" t="s">
        <v>44</v>
      </c>
      <c r="F11" s="582">
        <v>1.8</v>
      </c>
      <c r="G11" s="583">
        <v>0.4</v>
      </c>
      <c r="H11" s="584"/>
      <c r="I11" s="584"/>
      <c r="J11" s="585">
        <v>715</v>
      </c>
      <c r="K11" s="585">
        <f>710+712+715+714+713</f>
        <v>3564</v>
      </c>
      <c r="L11" s="586"/>
      <c r="M11" s="586"/>
      <c r="N11" s="586"/>
      <c r="O11" s="587">
        <v>450</v>
      </c>
      <c r="P11" s="576">
        <f t="shared" si="0"/>
        <v>0.66</v>
      </c>
      <c r="Q11" s="588">
        <f t="shared" si="1"/>
        <v>0</v>
      </c>
      <c r="R11" s="589">
        <f t="shared" si="2"/>
        <v>9.25</v>
      </c>
      <c r="S11" s="577">
        <v>9</v>
      </c>
      <c r="T11" s="577">
        <v>15</v>
      </c>
      <c r="U11" s="590" t="s">
        <v>816</v>
      </c>
      <c r="V11" s="534" t="s">
        <v>815</v>
      </c>
      <c r="X11" s="534" t="s">
        <v>413</v>
      </c>
      <c r="Z11" s="598" t="s">
        <v>593</v>
      </c>
      <c r="AA11" s="599" t="s">
        <v>594</v>
      </c>
      <c r="AB11" s="600" t="s">
        <v>595</v>
      </c>
    </row>
    <row r="12" spans="1:28" ht="24.95" customHeight="1">
      <c r="A12" s="581">
        <v>11</v>
      </c>
      <c r="B12" s="581">
        <v>4</v>
      </c>
      <c r="C12" s="581" t="s">
        <v>805</v>
      </c>
      <c r="D12" s="581" t="s">
        <v>43</v>
      </c>
      <c r="E12" s="581" t="s">
        <v>44</v>
      </c>
      <c r="F12" s="583"/>
      <c r="G12" s="583" t="s">
        <v>817</v>
      </c>
      <c r="H12" s="584"/>
      <c r="I12" s="584"/>
      <c r="J12" s="585"/>
      <c r="K12" s="534"/>
      <c r="L12" s="586"/>
      <c r="M12" s="586"/>
      <c r="N12" s="586"/>
      <c r="O12" s="587">
        <v>450</v>
      </c>
      <c r="P12" s="576">
        <f t="shared" si="0"/>
        <v>0</v>
      </c>
      <c r="Q12" s="588" t="e">
        <f t="shared" si="1"/>
        <v>#DIV/0!</v>
      </c>
      <c r="R12" s="589">
        <f t="shared" si="2"/>
        <v>0</v>
      </c>
      <c r="S12" s="577"/>
      <c r="T12" s="577"/>
      <c r="U12" s="559"/>
      <c r="V12" s="534"/>
      <c r="X12" s="534" t="s">
        <v>428</v>
      </c>
    </row>
    <row r="13" spans="1:28" ht="24.95" customHeight="1">
      <c r="A13" s="434">
        <v>11</v>
      </c>
      <c r="B13" s="434">
        <v>5</v>
      </c>
      <c r="C13" s="581" t="s">
        <v>834</v>
      </c>
      <c r="D13" s="581" t="s">
        <v>0</v>
      </c>
      <c r="E13" s="581" t="s">
        <v>44</v>
      </c>
      <c r="F13" s="582"/>
      <c r="G13" s="583" t="s">
        <v>633</v>
      </c>
      <c r="H13" s="584"/>
      <c r="I13" s="584"/>
      <c r="J13" s="585"/>
      <c r="K13" s="534"/>
      <c r="L13" s="586"/>
      <c r="M13" s="586"/>
      <c r="N13" s="586"/>
      <c r="O13" s="587">
        <v>450</v>
      </c>
      <c r="P13" s="576">
        <f>K13/(O13*12)</f>
        <v>0</v>
      </c>
      <c r="Q13" s="588" t="e">
        <f>L13/(K13+L13)</f>
        <v>#DIV/0!</v>
      </c>
      <c r="R13" s="589">
        <f>S13+T13/60</f>
        <v>0</v>
      </c>
      <c r="S13" s="577"/>
      <c r="T13" s="577"/>
      <c r="U13" s="559"/>
      <c r="V13" s="534"/>
      <c r="X13" s="534" t="s">
        <v>599</v>
      </c>
    </row>
    <row r="14" spans="1:28" ht="24.95" customHeight="1">
      <c r="A14" s="434">
        <v>11</v>
      </c>
      <c r="B14" s="434">
        <v>5</v>
      </c>
      <c r="C14" s="581" t="s">
        <v>834</v>
      </c>
      <c r="D14" s="581" t="s">
        <v>43</v>
      </c>
      <c r="E14" s="581" t="s">
        <v>44</v>
      </c>
      <c r="F14" s="582"/>
      <c r="G14" s="583" t="s">
        <v>633</v>
      </c>
      <c r="H14" s="584"/>
      <c r="I14" s="584"/>
      <c r="J14" s="585"/>
      <c r="K14" s="534"/>
      <c r="L14" s="586"/>
      <c r="M14" s="586"/>
      <c r="N14" s="586"/>
      <c r="O14" s="587">
        <v>450</v>
      </c>
      <c r="P14" s="576">
        <f t="shared" si="0"/>
        <v>0</v>
      </c>
      <c r="Q14" s="588" t="e">
        <f t="shared" si="1"/>
        <v>#DIV/0!</v>
      </c>
      <c r="R14" s="589">
        <f t="shared" si="2"/>
        <v>0</v>
      </c>
      <c r="S14" s="577"/>
      <c r="T14" s="577"/>
      <c r="U14" s="559"/>
      <c r="V14" s="534"/>
      <c r="X14" s="534" t="s">
        <v>599</v>
      </c>
    </row>
    <row r="15" spans="1:28" ht="24.95" customHeight="1">
      <c r="A15" s="434">
        <v>11</v>
      </c>
      <c r="B15" s="434">
        <v>6</v>
      </c>
      <c r="C15" s="581" t="s">
        <v>859</v>
      </c>
      <c r="D15" s="581" t="s">
        <v>0</v>
      </c>
      <c r="E15" s="581" t="s">
        <v>44</v>
      </c>
      <c r="F15" s="582"/>
      <c r="G15" s="583" t="s">
        <v>633</v>
      </c>
      <c r="H15" s="584"/>
      <c r="I15" s="584"/>
      <c r="J15" s="585"/>
      <c r="K15" s="534"/>
      <c r="L15" s="586"/>
      <c r="M15" s="586"/>
      <c r="N15" s="586"/>
      <c r="O15" s="587">
        <v>450</v>
      </c>
      <c r="P15" s="576">
        <f t="shared" si="0"/>
        <v>0</v>
      </c>
      <c r="Q15" s="588" t="e">
        <f t="shared" si="1"/>
        <v>#DIV/0!</v>
      </c>
      <c r="R15" s="589">
        <f t="shared" si="2"/>
        <v>0</v>
      </c>
      <c r="S15" s="577"/>
      <c r="T15" s="577"/>
      <c r="U15" s="559"/>
      <c r="V15" s="534"/>
    </row>
    <row r="16" spans="1:28" ht="24.95" customHeight="1">
      <c r="A16" s="434">
        <v>11</v>
      </c>
      <c r="B16" s="434">
        <v>6</v>
      </c>
      <c r="C16" s="581" t="s">
        <v>859</v>
      </c>
      <c r="D16" s="581" t="s">
        <v>43</v>
      </c>
      <c r="E16" s="581" t="s">
        <v>44</v>
      </c>
      <c r="F16" s="582"/>
      <c r="G16" s="583" t="s">
        <v>633</v>
      </c>
      <c r="H16" s="584"/>
      <c r="I16" s="584"/>
      <c r="J16" s="585"/>
      <c r="K16" s="534"/>
      <c r="L16" s="586"/>
      <c r="M16" s="586"/>
      <c r="N16" s="586"/>
      <c r="O16" s="587">
        <v>450</v>
      </c>
      <c r="P16" s="576">
        <f t="shared" si="0"/>
        <v>0</v>
      </c>
      <c r="Q16" s="588" t="e">
        <f t="shared" si="1"/>
        <v>#DIV/0!</v>
      </c>
      <c r="R16" s="589">
        <f t="shared" si="2"/>
        <v>0</v>
      </c>
      <c r="S16" s="577"/>
      <c r="T16" s="577"/>
      <c r="U16" s="559"/>
      <c r="V16" s="534"/>
    </row>
    <row r="17" spans="1:22" ht="24.95" customHeight="1">
      <c r="A17" s="434">
        <v>11</v>
      </c>
      <c r="B17" s="434">
        <v>7</v>
      </c>
      <c r="C17" s="581" t="s">
        <v>888</v>
      </c>
      <c r="D17" s="581" t="s">
        <v>0</v>
      </c>
      <c r="E17" s="581" t="s">
        <v>44</v>
      </c>
      <c r="F17" s="582"/>
      <c r="G17" s="583" t="s">
        <v>633</v>
      </c>
      <c r="H17" s="584"/>
      <c r="I17" s="584"/>
      <c r="J17" s="585"/>
      <c r="K17" s="534"/>
      <c r="L17" s="586"/>
      <c r="M17" s="586"/>
      <c r="N17" s="586"/>
      <c r="O17" s="587">
        <v>450</v>
      </c>
      <c r="P17" s="576">
        <f t="shared" si="0"/>
        <v>0</v>
      </c>
      <c r="Q17" s="588" t="e">
        <f t="shared" si="1"/>
        <v>#DIV/0!</v>
      </c>
      <c r="R17" s="589">
        <f t="shared" si="2"/>
        <v>0</v>
      </c>
      <c r="S17" s="577"/>
      <c r="T17" s="577"/>
      <c r="U17" s="559"/>
      <c r="V17" s="534"/>
    </row>
    <row r="18" spans="1:22" ht="24.95" customHeight="1">
      <c r="A18" s="434">
        <v>11</v>
      </c>
      <c r="B18" s="434">
        <v>7</v>
      </c>
      <c r="C18" s="581" t="s">
        <v>888</v>
      </c>
      <c r="D18" s="581" t="s">
        <v>43</v>
      </c>
      <c r="E18" s="581" t="s">
        <v>44</v>
      </c>
      <c r="F18" s="582"/>
      <c r="G18" s="583" t="s">
        <v>633</v>
      </c>
      <c r="H18" s="584"/>
      <c r="I18" s="584"/>
      <c r="J18" s="585"/>
      <c r="K18" s="534"/>
      <c r="L18" s="586"/>
      <c r="M18" s="586"/>
      <c r="N18" s="586"/>
      <c r="O18" s="587">
        <v>450</v>
      </c>
      <c r="P18" s="576">
        <f t="shared" si="0"/>
        <v>0</v>
      </c>
      <c r="Q18" s="588" t="e">
        <f t="shared" si="1"/>
        <v>#DIV/0!</v>
      </c>
      <c r="R18" s="589">
        <f t="shared" si="2"/>
        <v>0</v>
      </c>
      <c r="S18" s="577"/>
      <c r="T18" s="577"/>
      <c r="U18" s="559"/>
      <c r="V18" s="534"/>
    </row>
    <row r="19" spans="1:22" ht="24.95" customHeight="1">
      <c r="A19" s="434">
        <v>11</v>
      </c>
      <c r="B19" s="434">
        <v>8</v>
      </c>
      <c r="C19" s="581" t="s">
        <v>908</v>
      </c>
      <c r="D19" s="581" t="s">
        <v>0</v>
      </c>
      <c r="E19" s="581" t="s">
        <v>44</v>
      </c>
      <c r="F19" s="582"/>
      <c r="G19" s="583" t="s">
        <v>633</v>
      </c>
      <c r="H19" s="584"/>
      <c r="I19" s="584"/>
      <c r="J19" s="585"/>
      <c r="K19" s="534"/>
      <c r="L19" s="586"/>
      <c r="M19" s="586"/>
      <c r="N19" s="586"/>
      <c r="O19" s="587">
        <v>450</v>
      </c>
      <c r="P19" s="576">
        <f t="shared" si="0"/>
        <v>0</v>
      </c>
      <c r="Q19" s="588" t="e">
        <f t="shared" si="1"/>
        <v>#DIV/0!</v>
      </c>
      <c r="R19" s="589">
        <f t="shared" si="2"/>
        <v>0</v>
      </c>
      <c r="S19" s="577"/>
      <c r="T19" s="577"/>
      <c r="U19" s="559"/>
      <c r="V19" s="534"/>
    </row>
    <row r="20" spans="1:22" ht="24.95" customHeight="1">
      <c r="A20" s="434">
        <v>11</v>
      </c>
      <c r="B20" s="434">
        <v>8</v>
      </c>
      <c r="C20" s="581" t="s">
        <v>908</v>
      </c>
      <c r="D20" s="581" t="s">
        <v>43</v>
      </c>
      <c r="E20" s="581" t="s">
        <v>44</v>
      </c>
      <c r="F20" s="582"/>
      <c r="G20" s="583" t="s">
        <v>633</v>
      </c>
      <c r="H20" s="584"/>
      <c r="I20" s="584"/>
      <c r="J20" s="585"/>
      <c r="K20" s="534"/>
      <c r="L20" s="586"/>
      <c r="M20" s="586"/>
      <c r="N20" s="586"/>
      <c r="O20" s="587">
        <v>450</v>
      </c>
      <c r="P20" s="576">
        <f t="shared" si="0"/>
        <v>0</v>
      </c>
      <c r="Q20" s="588" t="e">
        <f t="shared" si="1"/>
        <v>#DIV/0!</v>
      </c>
      <c r="R20" s="589">
        <f t="shared" si="2"/>
        <v>0</v>
      </c>
      <c r="S20" s="577"/>
      <c r="T20" s="577"/>
      <c r="U20" s="559"/>
      <c r="V20" s="534"/>
    </row>
    <row r="21" spans="1:22" ht="24.95" customHeight="1">
      <c r="A21" s="434">
        <v>11</v>
      </c>
      <c r="B21" s="434">
        <v>9</v>
      </c>
      <c r="C21" s="581" t="s">
        <v>929</v>
      </c>
      <c r="D21" s="581" t="s">
        <v>0</v>
      </c>
      <c r="E21" s="581" t="s">
        <v>44</v>
      </c>
      <c r="F21" s="582"/>
      <c r="G21" s="583" t="s">
        <v>633</v>
      </c>
      <c r="H21" s="584"/>
      <c r="I21" s="584"/>
      <c r="J21" s="585"/>
      <c r="K21" s="534"/>
      <c r="L21" s="586"/>
      <c r="M21" s="586"/>
      <c r="N21" s="586"/>
      <c r="O21" s="587">
        <v>450</v>
      </c>
      <c r="P21" s="576">
        <f t="shared" si="0"/>
        <v>0</v>
      </c>
      <c r="Q21" s="588" t="e">
        <f t="shared" si="1"/>
        <v>#DIV/0!</v>
      </c>
      <c r="R21" s="589">
        <f t="shared" si="2"/>
        <v>0</v>
      </c>
      <c r="S21" s="577"/>
      <c r="T21" s="577"/>
      <c r="U21" s="559"/>
      <c r="V21" s="534"/>
    </row>
    <row r="22" spans="1:22" ht="24.95" customHeight="1">
      <c r="A22" s="434">
        <v>11</v>
      </c>
      <c r="B22" s="434">
        <v>9</v>
      </c>
      <c r="C22" s="581" t="s">
        <v>929</v>
      </c>
      <c r="D22" s="581" t="s">
        <v>43</v>
      </c>
      <c r="E22" s="581" t="s">
        <v>44</v>
      </c>
      <c r="F22" s="582"/>
      <c r="G22" s="583" t="s">
        <v>633</v>
      </c>
      <c r="H22" s="584"/>
      <c r="I22" s="584"/>
      <c r="J22" s="585"/>
      <c r="K22" s="534"/>
      <c r="L22" s="586"/>
      <c r="M22" s="586"/>
      <c r="N22" s="586"/>
      <c r="O22" s="587">
        <v>450</v>
      </c>
      <c r="P22" s="576">
        <f t="shared" si="0"/>
        <v>0</v>
      </c>
      <c r="Q22" s="588" t="e">
        <f t="shared" si="1"/>
        <v>#DIV/0!</v>
      </c>
      <c r="R22" s="589">
        <f t="shared" si="2"/>
        <v>0</v>
      </c>
      <c r="S22" s="577"/>
      <c r="T22" s="577"/>
      <c r="U22" s="559"/>
      <c r="V22" s="534"/>
    </row>
    <row r="23" spans="1:22" ht="24.95" customHeight="1">
      <c r="A23" s="434">
        <v>11</v>
      </c>
      <c r="B23" s="434">
        <v>10</v>
      </c>
      <c r="C23" s="581" t="s">
        <v>954</v>
      </c>
      <c r="D23" s="581" t="s">
        <v>0</v>
      </c>
      <c r="E23" s="581" t="s">
        <v>44</v>
      </c>
      <c r="F23" s="582"/>
      <c r="G23" s="583" t="s">
        <v>633</v>
      </c>
      <c r="H23" s="584"/>
      <c r="I23" s="584"/>
      <c r="J23" s="585"/>
      <c r="K23" s="534"/>
      <c r="L23" s="586"/>
      <c r="M23" s="586"/>
      <c r="N23" s="586"/>
      <c r="O23" s="587">
        <v>450</v>
      </c>
      <c r="P23" s="576">
        <f t="shared" si="0"/>
        <v>0</v>
      </c>
      <c r="Q23" s="588" t="e">
        <f t="shared" si="1"/>
        <v>#DIV/0!</v>
      </c>
      <c r="R23" s="589">
        <f t="shared" si="2"/>
        <v>0</v>
      </c>
      <c r="S23" s="577"/>
      <c r="T23" s="577"/>
      <c r="U23" s="559"/>
      <c r="V23" s="534"/>
    </row>
    <row r="24" spans="1:22" ht="24.95" customHeight="1">
      <c r="A24" s="434">
        <v>11</v>
      </c>
      <c r="B24" s="434">
        <v>10</v>
      </c>
      <c r="C24" s="581" t="s">
        <v>954</v>
      </c>
      <c r="D24" s="581" t="s">
        <v>43</v>
      </c>
      <c r="E24" s="581" t="s">
        <v>44</v>
      </c>
      <c r="F24" s="582"/>
      <c r="G24" s="583" t="s">
        <v>633</v>
      </c>
      <c r="H24" s="584"/>
      <c r="I24" s="584"/>
      <c r="J24" s="585"/>
      <c r="K24" s="534"/>
      <c r="L24" s="586"/>
      <c r="M24" s="586"/>
      <c r="N24" s="586"/>
      <c r="O24" s="587">
        <v>450</v>
      </c>
      <c r="P24" s="576">
        <f t="shared" si="0"/>
        <v>0</v>
      </c>
      <c r="Q24" s="588" t="e">
        <f t="shared" si="1"/>
        <v>#DIV/0!</v>
      </c>
      <c r="R24" s="589">
        <f t="shared" si="2"/>
        <v>0</v>
      </c>
      <c r="S24" s="577"/>
      <c r="T24" s="577"/>
      <c r="U24" s="559"/>
      <c r="V24" s="534"/>
    </row>
    <row r="25" spans="1:22" ht="24.95" customHeight="1">
      <c r="A25" s="434">
        <v>11</v>
      </c>
      <c r="B25" s="434">
        <v>11</v>
      </c>
      <c r="C25" s="581" t="s">
        <v>670</v>
      </c>
      <c r="D25" s="581" t="s">
        <v>0</v>
      </c>
      <c r="E25" s="581" t="s">
        <v>44</v>
      </c>
      <c r="F25" s="582"/>
      <c r="G25" s="583" t="s">
        <v>633</v>
      </c>
      <c r="H25" s="584"/>
      <c r="I25" s="584"/>
      <c r="J25" s="585"/>
      <c r="K25" s="534"/>
      <c r="L25" s="586"/>
      <c r="M25" s="586"/>
      <c r="N25" s="586"/>
      <c r="O25" s="587">
        <v>450</v>
      </c>
      <c r="P25" s="576">
        <f t="shared" si="0"/>
        <v>0</v>
      </c>
      <c r="Q25" s="588" t="e">
        <f t="shared" si="1"/>
        <v>#DIV/0!</v>
      </c>
      <c r="R25" s="589">
        <f t="shared" si="2"/>
        <v>0</v>
      </c>
      <c r="S25" s="577"/>
      <c r="T25" s="577"/>
      <c r="U25" s="559"/>
      <c r="V25" s="534"/>
    </row>
    <row r="26" spans="1:22" ht="24.95" customHeight="1">
      <c r="A26" s="434">
        <v>11</v>
      </c>
      <c r="B26" s="434">
        <v>11</v>
      </c>
      <c r="C26" s="581" t="s">
        <v>670</v>
      </c>
      <c r="D26" s="581" t="s">
        <v>43</v>
      </c>
      <c r="E26" s="581" t="s">
        <v>44</v>
      </c>
      <c r="F26" s="582"/>
      <c r="G26" s="583" t="s">
        <v>633</v>
      </c>
      <c r="H26" s="584"/>
      <c r="I26" s="584"/>
      <c r="J26" s="585"/>
      <c r="K26" s="534"/>
      <c r="L26" s="586"/>
      <c r="M26" s="586"/>
      <c r="N26" s="586"/>
      <c r="O26" s="587">
        <v>450</v>
      </c>
      <c r="P26" s="576">
        <f t="shared" si="0"/>
        <v>0</v>
      </c>
      <c r="Q26" s="588" t="e">
        <f t="shared" si="1"/>
        <v>#DIV/0!</v>
      </c>
      <c r="R26" s="589">
        <f t="shared" si="2"/>
        <v>0</v>
      </c>
      <c r="S26" s="577"/>
      <c r="T26" s="577"/>
      <c r="U26" s="559"/>
      <c r="V26" s="534"/>
    </row>
    <row r="27" spans="1:22" ht="24.95" customHeight="1">
      <c r="A27" s="434">
        <v>11</v>
      </c>
      <c r="B27" s="434">
        <v>12</v>
      </c>
      <c r="C27" s="581" t="s">
        <v>671</v>
      </c>
      <c r="D27" s="581" t="s">
        <v>0</v>
      </c>
      <c r="E27" s="581" t="s">
        <v>44</v>
      </c>
      <c r="F27" s="582"/>
      <c r="G27" s="583" t="s">
        <v>633</v>
      </c>
      <c r="H27" s="584"/>
      <c r="I27" s="584"/>
      <c r="J27" s="585"/>
      <c r="K27" s="585"/>
      <c r="L27" s="586"/>
      <c r="M27" s="586"/>
      <c r="N27" s="586"/>
      <c r="O27" s="587">
        <v>450</v>
      </c>
      <c r="P27" s="576">
        <f t="shared" si="0"/>
        <v>0</v>
      </c>
      <c r="Q27" s="588" t="e">
        <f t="shared" si="1"/>
        <v>#DIV/0!</v>
      </c>
      <c r="R27" s="589">
        <f t="shared" si="2"/>
        <v>0</v>
      </c>
      <c r="S27" s="577"/>
      <c r="T27" s="577"/>
      <c r="U27" s="590"/>
      <c r="V27" s="534"/>
    </row>
    <row r="28" spans="1:22" ht="24.95" customHeight="1">
      <c r="A28" s="434">
        <v>11</v>
      </c>
      <c r="B28" s="434">
        <v>12</v>
      </c>
      <c r="C28" s="581" t="s">
        <v>671</v>
      </c>
      <c r="D28" s="581" t="s">
        <v>43</v>
      </c>
      <c r="E28" s="581" t="s">
        <v>44</v>
      </c>
      <c r="F28" s="582"/>
      <c r="G28" s="583" t="s">
        <v>633</v>
      </c>
      <c r="H28" s="584"/>
      <c r="I28" s="584"/>
      <c r="J28" s="585"/>
      <c r="K28" s="534"/>
      <c r="L28" s="586"/>
      <c r="M28" s="586"/>
      <c r="N28" s="586"/>
      <c r="O28" s="587">
        <v>450</v>
      </c>
      <c r="P28" s="576">
        <f t="shared" si="0"/>
        <v>0</v>
      </c>
      <c r="Q28" s="588" t="e">
        <f t="shared" si="1"/>
        <v>#DIV/0!</v>
      </c>
      <c r="R28" s="589">
        <f t="shared" si="2"/>
        <v>0</v>
      </c>
      <c r="S28" s="577"/>
      <c r="T28" s="577"/>
      <c r="U28" s="590"/>
      <c r="V28" s="534"/>
    </row>
    <row r="29" spans="1:22" ht="24.95" customHeight="1">
      <c r="A29" s="434">
        <v>11</v>
      </c>
      <c r="B29" s="434">
        <v>13</v>
      </c>
      <c r="C29" s="581" t="s">
        <v>672</v>
      </c>
      <c r="D29" s="581" t="s">
        <v>0</v>
      </c>
      <c r="E29" s="581" t="s">
        <v>44</v>
      </c>
      <c r="F29" s="582"/>
      <c r="G29" s="583" t="s">
        <v>633</v>
      </c>
      <c r="H29" s="584"/>
      <c r="I29" s="584"/>
      <c r="J29" s="585"/>
      <c r="K29" s="534"/>
      <c r="L29" s="586"/>
      <c r="M29" s="586"/>
      <c r="N29" s="586"/>
      <c r="O29" s="587">
        <v>450</v>
      </c>
      <c r="P29" s="576">
        <f t="shared" si="0"/>
        <v>0</v>
      </c>
      <c r="Q29" s="588" t="e">
        <f t="shared" si="1"/>
        <v>#DIV/0!</v>
      </c>
      <c r="R29" s="589">
        <f t="shared" si="2"/>
        <v>0</v>
      </c>
      <c r="S29" s="577"/>
      <c r="T29" s="577"/>
      <c r="U29" s="559"/>
      <c r="V29" s="534"/>
    </row>
    <row r="30" spans="1:22" ht="24.95" customHeight="1">
      <c r="A30" s="434">
        <v>11</v>
      </c>
      <c r="B30" s="434">
        <v>13</v>
      </c>
      <c r="C30" s="581" t="s">
        <v>672</v>
      </c>
      <c r="D30" s="581" t="s">
        <v>43</v>
      </c>
      <c r="E30" s="581" t="s">
        <v>44</v>
      </c>
      <c r="F30" s="582"/>
      <c r="G30" s="583" t="s">
        <v>633</v>
      </c>
      <c r="H30" s="584"/>
      <c r="I30" s="584"/>
      <c r="J30" s="585"/>
      <c r="K30" s="534"/>
      <c r="L30" s="586"/>
      <c r="M30" s="586"/>
      <c r="N30" s="586"/>
      <c r="O30" s="587">
        <v>450</v>
      </c>
      <c r="P30" s="576">
        <f t="shared" si="0"/>
        <v>0</v>
      </c>
      <c r="Q30" s="588" t="e">
        <f t="shared" si="1"/>
        <v>#DIV/0!</v>
      </c>
      <c r="R30" s="589">
        <f t="shared" si="2"/>
        <v>0</v>
      </c>
      <c r="S30" s="577"/>
      <c r="T30" s="577"/>
      <c r="U30" s="559"/>
      <c r="V30" s="534"/>
    </row>
    <row r="31" spans="1:22" ht="24.95" customHeight="1">
      <c r="A31" s="434">
        <v>11</v>
      </c>
      <c r="B31" s="434">
        <v>14</v>
      </c>
      <c r="C31" s="581" t="s">
        <v>673</v>
      </c>
      <c r="D31" s="581" t="s">
        <v>0</v>
      </c>
      <c r="E31" s="581" t="s">
        <v>44</v>
      </c>
      <c r="F31" s="582"/>
      <c r="G31" s="583" t="s">
        <v>633</v>
      </c>
      <c r="H31" s="584"/>
      <c r="I31" s="584"/>
      <c r="J31" s="585"/>
      <c r="K31" s="534"/>
      <c r="L31" s="586"/>
      <c r="M31" s="586"/>
      <c r="N31" s="586"/>
      <c r="O31" s="587">
        <v>450</v>
      </c>
      <c r="P31" s="576">
        <f t="shared" si="0"/>
        <v>0</v>
      </c>
      <c r="Q31" s="588" t="e">
        <f t="shared" si="1"/>
        <v>#DIV/0!</v>
      </c>
      <c r="R31" s="589">
        <f t="shared" si="2"/>
        <v>0</v>
      </c>
      <c r="S31" s="577"/>
      <c r="T31" s="577"/>
      <c r="U31" s="559"/>
      <c r="V31" s="534"/>
    </row>
    <row r="32" spans="1:22" ht="24.95" customHeight="1">
      <c r="A32" s="434">
        <v>11</v>
      </c>
      <c r="B32" s="434">
        <v>14</v>
      </c>
      <c r="C32" s="581" t="s">
        <v>673</v>
      </c>
      <c r="D32" s="581" t="s">
        <v>43</v>
      </c>
      <c r="E32" s="581" t="s">
        <v>44</v>
      </c>
      <c r="F32" s="582"/>
      <c r="G32" s="583" t="s">
        <v>633</v>
      </c>
      <c r="H32" s="584"/>
      <c r="I32" s="584"/>
      <c r="J32" s="585"/>
      <c r="K32" s="534"/>
      <c r="L32" s="586"/>
      <c r="M32" s="586"/>
      <c r="N32" s="586"/>
      <c r="O32" s="587">
        <v>450</v>
      </c>
      <c r="P32" s="576">
        <f t="shared" si="0"/>
        <v>0</v>
      </c>
      <c r="Q32" s="588" t="e">
        <f t="shared" si="1"/>
        <v>#DIV/0!</v>
      </c>
      <c r="R32" s="589">
        <f t="shared" si="2"/>
        <v>0</v>
      </c>
      <c r="S32" s="577"/>
      <c r="T32" s="577"/>
      <c r="U32" s="559"/>
      <c r="V32" s="534"/>
    </row>
    <row r="33" spans="1:22" ht="24.95" customHeight="1">
      <c r="A33" s="434">
        <v>11</v>
      </c>
      <c r="B33" s="434">
        <v>15</v>
      </c>
      <c r="C33" s="581" t="s">
        <v>1022</v>
      </c>
      <c r="D33" s="581" t="s">
        <v>0</v>
      </c>
      <c r="E33" s="581" t="s">
        <v>44</v>
      </c>
      <c r="F33" s="582"/>
      <c r="G33" s="583" t="s">
        <v>633</v>
      </c>
      <c r="H33" s="584"/>
      <c r="I33" s="584"/>
      <c r="J33" s="585"/>
      <c r="K33" s="534"/>
      <c r="L33" s="586"/>
      <c r="M33" s="586"/>
      <c r="N33" s="586"/>
      <c r="O33" s="587">
        <v>450</v>
      </c>
      <c r="P33" s="576">
        <f t="shared" si="0"/>
        <v>0</v>
      </c>
      <c r="Q33" s="588" t="e">
        <f t="shared" si="1"/>
        <v>#DIV/0!</v>
      </c>
      <c r="R33" s="589">
        <f t="shared" si="2"/>
        <v>0</v>
      </c>
      <c r="S33" s="577"/>
      <c r="T33" s="577"/>
      <c r="U33" s="590"/>
      <c r="V33" s="534"/>
    </row>
    <row r="34" spans="1:22" ht="33.75" customHeight="1">
      <c r="A34" s="434">
        <v>11</v>
      </c>
      <c r="B34" s="434">
        <v>15</v>
      </c>
      <c r="C34" s="581" t="s">
        <v>1022</v>
      </c>
      <c r="D34" s="581" t="s">
        <v>43</v>
      </c>
      <c r="E34" s="581" t="s">
        <v>44</v>
      </c>
      <c r="F34" s="582">
        <v>1.55</v>
      </c>
      <c r="G34" s="583">
        <v>0.4</v>
      </c>
      <c r="H34" s="584">
        <f>800*2</f>
        <v>1600</v>
      </c>
      <c r="I34" s="584">
        <f>821+609+845+754+650+580</f>
        <v>4259</v>
      </c>
      <c r="J34" s="585">
        <v>715</v>
      </c>
      <c r="K34" s="584">
        <f>663+662+666</f>
        <v>1991</v>
      </c>
      <c r="L34" s="586">
        <f>80</f>
        <v>80</v>
      </c>
      <c r="M34" s="586"/>
      <c r="N34" s="586"/>
      <c r="O34" s="587">
        <v>450</v>
      </c>
      <c r="P34" s="576">
        <f t="shared" si="0"/>
        <v>0.3687037037037037</v>
      </c>
      <c r="Q34" s="588">
        <f t="shared" si="1"/>
        <v>3.8628681796233702E-2</v>
      </c>
      <c r="R34" s="589">
        <f t="shared" si="2"/>
        <v>4.833333333333333</v>
      </c>
      <c r="S34" s="577">
        <v>4</v>
      </c>
      <c r="T34" s="577">
        <v>50</v>
      </c>
      <c r="U34" s="559" t="s">
        <v>1028</v>
      </c>
      <c r="V34" s="534" t="s">
        <v>1027</v>
      </c>
    </row>
    <row r="35" spans="1:22" ht="24.95" customHeight="1">
      <c r="A35" s="434">
        <v>11</v>
      </c>
      <c r="B35" s="434">
        <v>15</v>
      </c>
      <c r="C35" s="581" t="s">
        <v>1022</v>
      </c>
      <c r="D35" s="581" t="s">
        <v>43</v>
      </c>
      <c r="E35" s="581" t="s">
        <v>44</v>
      </c>
      <c r="F35" s="582">
        <v>1.57</v>
      </c>
      <c r="G35" s="583">
        <v>0.6</v>
      </c>
      <c r="H35" s="584"/>
      <c r="I35" s="584"/>
      <c r="J35" s="585">
        <v>715</v>
      </c>
      <c r="K35" s="584">
        <f>660+663</f>
        <v>1323</v>
      </c>
      <c r="L35" s="586"/>
      <c r="M35" s="586"/>
      <c r="N35" s="586"/>
      <c r="O35" s="587">
        <v>450</v>
      </c>
      <c r="P35" s="576">
        <f t="shared" si="0"/>
        <v>0.245</v>
      </c>
      <c r="Q35" s="588">
        <f t="shared" si="1"/>
        <v>0</v>
      </c>
      <c r="R35" s="589">
        <f t="shared" si="2"/>
        <v>3.2</v>
      </c>
      <c r="S35" s="577">
        <v>3</v>
      </c>
      <c r="T35" s="577">
        <v>12</v>
      </c>
      <c r="U35" s="590" t="s">
        <v>1029</v>
      </c>
      <c r="V35" s="534" t="s">
        <v>1027</v>
      </c>
    </row>
    <row r="36" spans="1:22" ht="24.95" customHeight="1">
      <c r="A36" s="581">
        <v>11</v>
      </c>
      <c r="B36" s="434">
        <v>16</v>
      </c>
      <c r="C36" s="581" t="s">
        <v>1049</v>
      </c>
      <c r="D36" s="581" t="s">
        <v>0</v>
      </c>
      <c r="E36" s="581" t="s">
        <v>44</v>
      </c>
      <c r="F36" s="582">
        <v>1.57</v>
      </c>
      <c r="G36" s="583">
        <v>0.6</v>
      </c>
      <c r="H36" s="584">
        <f>800*2</f>
        <v>1600</v>
      </c>
      <c r="I36" s="584">
        <f>600+685+721+639</f>
        <v>2645</v>
      </c>
      <c r="J36" s="585">
        <v>715</v>
      </c>
      <c r="K36" s="584">
        <f>660+667+663+666+662+663+666</f>
        <v>4647</v>
      </c>
      <c r="L36" s="586"/>
      <c r="M36" s="586"/>
      <c r="N36" s="586"/>
      <c r="O36" s="587">
        <v>450</v>
      </c>
      <c r="P36" s="576">
        <f t="shared" si="0"/>
        <v>0.86055555555555552</v>
      </c>
      <c r="Q36" s="588">
        <f t="shared" si="1"/>
        <v>0</v>
      </c>
      <c r="R36" s="589">
        <f t="shared" si="2"/>
        <v>11.333333333333334</v>
      </c>
      <c r="S36" s="577">
        <v>11</v>
      </c>
      <c r="T36" s="577">
        <v>20</v>
      </c>
      <c r="U36" s="590" t="s">
        <v>1054</v>
      </c>
      <c r="V36" s="534" t="s">
        <v>1055</v>
      </c>
    </row>
    <row r="37" spans="1:22" ht="33" customHeight="1">
      <c r="A37" s="581">
        <v>11</v>
      </c>
      <c r="B37" s="434">
        <v>16</v>
      </c>
      <c r="C37" s="581" t="s">
        <v>1049</v>
      </c>
      <c r="D37" s="581" t="s">
        <v>43</v>
      </c>
      <c r="E37" s="581" t="s">
        <v>44</v>
      </c>
      <c r="F37" s="582">
        <v>1.57</v>
      </c>
      <c r="G37" s="583">
        <v>0.6</v>
      </c>
      <c r="H37" s="584">
        <f>800*2</f>
        <v>1600</v>
      </c>
      <c r="I37" s="584">
        <f>919+800+840</f>
        <v>2559</v>
      </c>
      <c r="J37" s="585">
        <v>715</v>
      </c>
      <c r="K37" s="534">
        <f>660+665+662+663+666+664+665</f>
        <v>4645</v>
      </c>
      <c r="L37" s="586">
        <f>72</f>
        <v>72</v>
      </c>
      <c r="M37" s="586"/>
      <c r="N37" s="586"/>
      <c r="O37" s="587">
        <v>450</v>
      </c>
      <c r="P37" s="576">
        <f t="shared" ref="P37:P68" si="3">K37/(O37*12)</f>
        <v>0.86018518518518516</v>
      </c>
      <c r="Q37" s="588">
        <f t="shared" ref="Q37:Q68" si="4">L37/(K37+L37)</f>
        <v>1.5263938944244222E-2</v>
      </c>
      <c r="R37" s="589">
        <f t="shared" ref="R37:R68" si="5">S37+T37/60</f>
        <v>11.5</v>
      </c>
      <c r="S37" s="577">
        <v>11</v>
      </c>
      <c r="T37" s="577">
        <v>30</v>
      </c>
      <c r="U37" s="590" t="s">
        <v>1056</v>
      </c>
      <c r="V37" s="534" t="s">
        <v>711</v>
      </c>
    </row>
    <row r="38" spans="1:22" ht="24.95" customHeight="1">
      <c r="A38" s="434">
        <v>11</v>
      </c>
      <c r="B38" s="434">
        <v>17</v>
      </c>
      <c r="C38" s="581" t="s">
        <v>1073</v>
      </c>
      <c r="D38" s="581" t="s">
        <v>0</v>
      </c>
      <c r="E38" s="581" t="s">
        <v>44</v>
      </c>
      <c r="F38" s="582">
        <v>1.57</v>
      </c>
      <c r="G38" s="583">
        <v>0.6</v>
      </c>
      <c r="H38" s="584">
        <f>800*2</f>
        <v>1600</v>
      </c>
      <c r="I38" s="584">
        <f>1011+901+585+1006</f>
        <v>3503</v>
      </c>
      <c r="J38" s="585">
        <v>715</v>
      </c>
      <c r="K38" s="534">
        <f>660+665+667+663+669+663+665+663</f>
        <v>5315</v>
      </c>
      <c r="L38" s="586"/>
      <c r="M38" s="586"/>
      <c r="N38" s="586"/>
      <c r="O38" s="587">
        <v>450</v>
      </c>
      <c r="P38" s="576">
        <f t="shared" si="3"/>
        <v>0.98425925925925928</v>
      </c>
      <c r="Q38" s="588">
        <f t="shared" si="4"/>
        <v>0</v>
      </c>
      <c r="R38" s="589">
        <f t="shared" si="5"/>
        <v>12.9</v>
      </c>
      <c r="S38" s="577">
        <v>12</v>
      </c>
      <c r="T38" s="577">
        <v>54</v>
      </c>
      <c r="U38" s="590" t="s">
        <v>1076</v>
      </c>
      <c r="V38" s="534" t="s">
        <v>759</v>
      </c>
    </row>
    <row r="39" spans="1:22" ht="24.95" customHeight="1">
      <c r="A39" s="434">
        <v>11</v>
      </c>
      <c r="B39" s="434">
        <v>17</v>
      </c>
      <c r="C39" s="581" t="s">
        <v>1073</v>
      </c>
      <c r="D39" s="581" t="s">
        <v>43</v>
      </c>
      <c r="E39" s="581" t="s">
        <v>44</v>
      </c>
      <c r="F39" s="582">
        <v>1.57</v>
      </c>
      <c r="G39" s="583">
        <v>0.6</v>
      </c>
      <c r="H39" s="584">
        <f>800*2</f>
        <v>1600</v>
      </c>
      <c r="I39" s="584">
        <f>610</f>
        <v>610</v>
      </c>
      <c r="J39" s="585">
        <v>715</v>
      </c>
      <c r="K39" s="584">
        <f>660+661+664+665*2+666</f>
        <v>3981</v>
      </c>
      <c r="L39" s="586"/>
      <c r="M39" s="586"/>
      <c r="N39" s="586"/>
      <c r="O39" s="587">
        <v>450</v>
      </c>
      <c r="P39" s="576">
        <f t="shared" si="3"/>
        <v>0.73722222222222222</v>
      </c>
      <c r="Q39" s="588">
        <f t="shared" si="4"/>
        <v>0</v>
      </c>
      <c r="R39" s="589">
        <f t="shared" si="5"/>
        <v>10.066666666666666</v>
      </c>
      <c r="S39" s="577">
        <v>10</v>
      </c>
      <c r="T39" s="577">
        <v>4</v>
      </c>
      <c r="U39" s="559" t="s">
        <v>1077</v>
      </c>
      <c r="V39" s="534" t="s">
        <v>711</v>
      </c>
    </row>
    <row r="40" spans="1:22" ht="24.95" customHeight="1">
      <c r="A40" s="434">
        <v>11</v>
      </c>
      <c r="B40" s="434">
        <v>17</v>
      </c>
      <c r="C40" s="581" t="s">
        <v>1073</v>
      </c>
      <c r="D40" s="581" t="s">
        <v>43</v>
      </c>
      <c r="E40" s="581" t="s">
        <v>44</v>
      </c>
      <c r="F40" s="582">
        <v>1.6</v>
      </c>
      <c r="G40" s="583">
        <v>0.5</v>
      </c>
      <c r="H40" s="584">
        <f>1000+150</f>
        <v>1150</v>
      </c>
      <c r="I40" s="584">
        <f>872+887</f>
        <v>1759</v>
      </c>
      <c r="J40" s="585">
        <v>715</v>
      </c>
      <c r="K40" s="534">
        <f>680</f>
        <v>680</v>
      </c>
      <c r="L40" s="586"/>
      <c r="M40" s="586"/>
      <c r="N40" s="586"/>
      <c r="O40" s="587">
        <v>450</v>
      </c>
      <c r="P40" s="576">
        <f t="shared" si="3"/>
        <v>0.12592592592592591</v>
      </c>
      <c r="Q40" s="588">
        <f t="shared" si="4"/>
        <v>0</v>
      </c>
      <c r="R40" s="589">
        <f t="shared" si="5"/>
        <v>1.5833333333333335</v>
      </c>
      <c r="S40" s="577">
        <v>1</v>
      </c>
      <c r="T40" s="577">
        <v>35</v>
      </c>
      <c r="U40" s="590" t="s">
        <v>1078</v>
      </c>
      <c r="V40" s="534" t="s">
        <v>711</v>
      </c>
    </row>
    <row r="41" spans="1:22" ht="24.95" customHeight="1">
      <c r="A41" s="434">
        <v>11</v>
      </c>
      <c r="B41" s="434">
        <v>18</v>
      </c>
      <c r="C41" s="581" t="s">
        <v>1088</v>
      </c>
      <c r="D41" s="581" t="s">
        <v>0</v>
      </c>
      <c r="E41" s="581" t="s">
        <v>44</v>
      </c>
      <c r="F41" s="582">
        <v>1.6</v>
      </c>
      <c r="G41" s="583">
        <v>0.5</v>
      </c>
      <c r="H41" s="584">
        <f>150*2+1000*2</f>
        <v>2300</v>
      </c>
      <c r="I41" s="584">
        <f>660+638+704+845</f>
        <v>2847</v>
      </c>
      <c r="J41" s="585">
        <v>715</v>
      </c>
      <c r="K41" s="534">
        <f>660+380+660*2+669+667+300+669</f>
        <v>4665</v>
      </c>
      <c r="L41" s="586"/>
      <c r="M41" s="586"/>
      <c r="N41" s="586"/>
      <c r="O41" s="587">
        <v>450</v>
      </c>
      <c r="P41" s="576">
        <f t="shared" si="3"/>
        <v>0.86388888888888893</v>
      </c>
      <c r="Q41" s="588">
        <f t="shared" si="4"/>
        <v>0</v>
      </c>
      <c r="R41" s="589">
        <f t="shared" si="5"/>
        <v>11.95</v>
      </c>
      <c r="S41" s="577">
        <v>11</v>
      </c>
      <c r="T41" s="577">
        <v>57</v>
      </c>
      <c r="U41" s="590" t="s">
        <v>1092</v>
      </c>
      <c r="V41" s="534" t="s">
        <v>759</v>
      </c>
    </row>
    <row r="42" spans="1:22" ht="24.95" customHeight="1">
      <c r="A42" s="434">
        <v>11</v>
      </c>
      <c r="B42" s="434">
        <v>18</v>
      </c>
      <c r="C42" s="581" t="s">
        <v>1088</v>
      </c>
      <c r="D42" s="581" t="s">
        <v>43</v>
      </c>
      <c r="E42" s="581" t="s">
        <v>44</v>
      </c>
      <c r="F42" s="582">
        <v>1.6</v>
      </c>
      <c r="G42" s="583">
        <v>0.5</v>
      </c>
      <c r="H42" s="584">
        <f>150*2+1000*2</f>
        <v>2300</v>
      </c>
      <c r="I42" s="584">
        <f>928+560+598+902</f>
        <v>2988</v>
      </c>
      <c r="J42" s="585">
        <v>715</v>
      </c>
      <c r="K42" s="534">
        <f>680+683+682+685+686+684+685</f>
        <v>4785</v>
      </c>
      <c r="L42" s="586"/>
      <c r="M42" s="586"/>
      <c r="N42" s="586"/>
      <c r="O42" s="587">
        <v>450</v>
      </c>
      <c r="P42" s="576">
        <f t="shared" si="3"/>
        <v>0.88611111111111107</v>
      </c>
      <c r="Q42" s="588">
        <f t="shared" si="4"/>
        <v>0</v>
      </c>
      <c r="R42" s="589">
        <f t="shared" si="5"/>
        <v>11.716666666666667</v>
      </c>
      <c r="S42" s="577">
        <v>11</v>
      </c>
      <c r="T42" s="577">
        <v>43</v>
      </c>
      <c r="U42" s="590" t="s">
        <v>1093</v>
      </c>
      <c r="V42" s="534" t="s">
        <v>711</v>
      </c>
    </row>
    <row r="43" spans="1:22" ht="24.95" customHeight="1">
      <c r="A43" s="434">
        <v>11</v>
      </c>
      <c r="B43" s="434">
        <v>19</v>
      </c>
      <c r="C43" s="581" t="s">
        <v>1102</v>
      </c>
      <c r="D43" s="581" t="s">
        <v>0</v>
      </c>
      <c r="E43" s="581" t="s">
        <v>44</v>
      </c>
      <c r="F43" s="582">
        <v>1.55</v>
      </c>
      <c r="G43" s="583">
        <v>0.5</v>
      </c>
      <c r="H43" s="584">
        <f>125+150+1000*2</f>
        <v>2275</v>
      </c>
      <c r="I43" s="584">
        <f>631+816+600+530+551</f>
        <v>3128</v>
      </c>
      <c r="J43" s="585">
        <v>715</v>
      </c>
      <c r="K43" s="534">
        <f>680+683+685+684+686+680+682+683</f>
        <v>5463</v>
      </c>
      <c r="L43" s="586"/>
      <c r="M43" s="586"/>
      <c r="N43" s="586"/>
      <c r="O43" s="587">
        <v>450</v>
      </c>
      <c r="P43" s="576">
        <f t="shared" si="3"/>
        <v>1.0116666666666667</v>
      </c>
      <c r="Q43" s="588">
        <f t="shared" si="4"/>
        <v>0</v>
      </c>
      <c r="R43" s="589">
        <f t="shared" si="5"/>
        <v>13.116666666666667</v>
      </c>
      <c r="S43" s="577">
        <v>13</v>
      </c>
      <c r="T43" s="577">
        <v>7</v>
      </c>
      <c r="U43" s="590" t="s">
        <v>1105</v>
      </c>
      <c r="V43" s="534" t="s">
        <v>1106</v>
      </c>
    </row>
    <row r="44" spans="1:22" ht="24.95" customHeight="1">
      <c r="A44" s="434">
        <v>11</v>
      </c>
      <c r="B44" s="434">
        <v>19</v>
      </c>
      <c r="C44" s="581" t="s">
        <v>1102</v>
      </c>
      <c r="D44" s="581" t="s">
        <v>43</v>
      </c>
      <c r="E44" s="581" t="s">
        <v>44</v>
      </c>
      <c r="F44" s="582">
        <v>1.55</v>
      </c>
      <c r="G44" s="583">
        <v>0.5</v>
      </c>
      <c r="H44" s="584">
        <f>150*2+1000*2</f>
        <v>2300</v>
      </c>
      <c r="I44" s="584">
        <f>628+568+520+810</f>
        <v>2526</v>
      </c>
      <c r="J44" s="585">
        <v>715</v>
      </c>
      <c r="K44" s="534">
        <f>665+662+664+663+661+665*2</f>
        <v>4645</v>
      </c>
      <c r="L44" s="586"/>
      <c r="M44" s="586"/>
      <c r="N44" s="586"/>
      <c r="O44" s="587">
        <v>450</v>
      </c>
      <c r="P44" s="576">
        <f t="shared" si="3"/>
        <v>0.86018518518518516</v>
      </c>
      <c r="Q44" s="588">
        <f t="shared" si="4"/>
        <v>0</v>
      </c>
      <c r="R44" s="589">
        <f t="shared" si="5"/>
        <v>11</v>
      </c>
      <c r="S44" s="577">
        <v>11</v>
      </c>
      <c r="T44" s="577">
        <v>0</v>
      </c>
      <c r="U44" s="590" t="s">
        <v>1107</v>
      </c>
      <c r="V44" s="534" t="s">
        <v>711</v>
      </c>
    </row>
    <row r="45" spans="1:22" ht="24.95" customHeight="1">
      <c r="A45" s="581">
        <v>11</v>
      </c>
      <c r="B45" s="434">
        <v>20</v>
      </c>
      <c r="C45" s="581" t="s">
        <v>1115</v>
      </c>
      <c r="D45" s="581" t="s">
        <v>0</v>
      </c>
      <c r="E45" s="581" t="s">
        <v>44</v>
      </c>
      <c r="F45" s="582">
        <v>1.55</v>
      </c>
      <c r="G45" s="583">
        <v>0.5</v>
      </c>
      <c r="H45" s="584">
        <f>150*2+1000*2</f>
        <v>2300</v>
      </c>
      <c r="I45" s="584">
        <f>1011+584+1006+493+516</f>
        <v>3610</v>
      </c>
      <c r="J45" s="585">
        <v>715</v>
      </c>
      <c r="K45" s="534">
        <f>666+667+663+665+667+669+662</f>
        <v>4659</v>
      </c>
      <c r="L45" s="586"/>
      <c r="M45" s="586"/>
      <c r="N45" s="586"/>
      <c r="O45" s="587">
        <v>450</v>
      </c>
      <c r="P45" s="576">
        <f t="shared" si="3"/>
        <v>0.86277777777777775</v>
      </c>
      <c r="Q45" s="588">
        <f t="shared" si="4"/>
        <v>0</v>
      </c>
      <c r="R45" s="589">
        <f t="shared" si="5"/>
        <v>11.666666666666666</v>
      </c>
      <c r="S45" s="577">
        <v>11</v>
      </c>
      <c r="T45" s="577">
        <v>40</v>
      </c>
      <c r="U45" s="590" t="s">
        <v>1119</v>
      </c>
      <c r="V45" s="534" t="s">
        <v>759</v>
      </c>
    </row>
    <row r="46" spans="1:22" ht="24.95" customHeight="1">
      <c r="A46" s="581">
        <v>11</v>
      </c>
      <c r="B46" s="434">
        <v>20</v>
      </c>
      <c r="C46" s="581" t="s">
        <v>1115</v>
      </c>
      <c r="D46" s="581" t="s">
        <v>43</v>
      </c>
      <c r="E46" s="581" t="s">
        <v>44</v>
      </c>
      <c r="F46" s="582">
        <v>1.55</v>
      </c>
      <c r="G46" s="583">
        <v>0.5</v>
      </c>
      <c r="H46" s="584">
        <f>150*2+1000*2</f>
        <v>2300</v>
      </c>
      <c r="I46" s="584">
        <f>1026+650+577+819</f>
        <v>3072</v>
      </c>
      <c r="J46" s="585">
        <v>715</v>
      </c>
      <c r="K46" s="534">
        <f>660+665+662+663+665</f>
        <v>3315</v>
      </c>
      <c r="L46" s="586"/>
      <c r="M46" s="586"/>
      <c r="N46" s="586"/>
      <c r="O46" s="587">
        <v>450</v>
      </c>
      <c r="P46" s="576">
        <f t="shared" si="3"/>
        <v>0.61388888888888893</v>
      </c>
      <c r="Q46" s="588">
        <f t="shared" si="4"/>
        <v>0</v>
      </c>
      <c r="R46" s="589">
        <f t="shared" si="5"/>
        <v>8.1</v>
      </c>
      <c r="S46" s="577">
        <v>8</v>
      </c>
      <c r="T46" s="577">
        <v>6</v>
      </c>
      <c r="U46" s="559" t="s">
        <v>1120</v>
      </c>
      <c r="V46" s="534" t="s">
        <v>711</v>
      </c>
    </row>
    <row r="47" spans="1:22" ht="24.95" customHeight="1">
      <c r="A47" s="581">
        <v>11</v>
      </c>
      <c r="B47" s="434">
        <v>20</v>
      </c>
      <c r="C47" s="581" t="s">
        <v>1115</v>
      </c>
      <c r="D47" s="581" t="s">
        <v>43</v>
      </c>
      <c r="E47" s="581" t="s">
        <v>44</v>
      </c>
      <c r="F47" s="582">
        <v>1.2</v>
      </c>
      <c r="G47" s="583">
        <v>0.5</v>
      </c>
      <c r="H47" s="584"/>
      <c r="I47" s="584"/>
      <c r="J47" s="585">
        <v>715</v>
      </c>
      <c r="K47" s="534">
        <f>710+715+713</f>
        <v>2138</v>
      </c>
      <c r="L47" s="586"/>
      <c r="M47" s="586"/>
      <c r="N47" s="586"/>
      <c r="O47" s="587">
        <v>450</v>
      </c>
      <c r="P47" s="576">
        <f t="shared" si="3"/>
        <v>0.3959259259259259</v>
      </c>
      <c r="Q47" s="588">
        <f t="shared" si="4"/>
        <v>0</v>
      </c>
      <c r="R47" s="589">
        <f t="shared" si="5"/>
        <v>4.833333333333333</v>
      </c>
      <c r="S47" s="577">
        <v>4</v>
      </c>
      <c r="T47" s="577">
        <v>50</v>
      </c>
      <c r="U47" s="590" t="s">
        <v>1121</v>
      </c>
      <c r="V47" s="534" t="s">
        <v>711</v>
      </c>
    </row>
    <row r="48" spans="1:22" ht="24.95" customHeight="1">
      <c r="A48" s="581">
        <v>11</v>
      </c>
      <c r="B48" s="434">
        <v>21</v>
      </c>
      <c r="C48" s="581" t="s">
        <v>1143</v>
      </c>
      <c r="D48" s="581" t="s">
        <v>0</v>
      </c>
      <c r="E48" s="581" t="s">
        <v>44</v>
      </c>
      <c r="F48" s="582">
        <v>1.2</v>
      </c>
      <c r="G48" s="583">
        <v>0.5</v>
      </c>
      <c r="H48" s="584">
        <f>1000*2</f>
        <v>2000</v>
      </c>
      <c r="I48" s="584">
        <f>1008+921+780+476+908</f>
        <v>4093</v>
      </c>
      <c r="J48" s="585">
        <v>715</v>
      </c>
      <c r="K48" s="534">
        <f>710+713+719+717+716+713+719</f>
        <v>5007</v>
      </c>
      <c r="L48" s="586"/>
      <c r="M48" s="586"/>
      <c r="N48" s="586"/>
      <c r="O48" s="587">
        <v>450</v>
      </c>
      <c r="P48" s="576">
        <f t="shared" si="3"/>
        <v>0.92722222222222217</v>
      </c>
      <c r="Q48" s="588">
        <f t="shared" si="4"/>
        <v>0</v>
      </c>
      <c r="R48" s="589">
        <f t="shared" si="5"/>
        <v>12.35</v>
      </c>
      <c r="S48" s="577">
        <v>12</v>
      </c>
      <c r="T48" s="577">
        <v>21</v>
      </c>
      <c r="U48" s="590" t="s">
        <v>1148</v>
      </c>
      <c r="V48" s="534" t="s">
        <v>759</v>
      </c>
    </row>
    <row r="49" spans="1:22" ht="24.95" customHeight="1">
      <c r="A49" s="581">
        <v>11</v>
      </c>
      <c r="B49" s="434">
        <v>21</v>
      </c>
      <c r="C49" s="581" t="s">
        <v>1143</v>
      </c>
      <c r="D49" s="581" t="s">
        <v>43</v>
      </c>
      <c r="E49" s="581" t="s">
        <v>44</v>
      </c>
      <c r="F49" s="582">
        <v>1.2</v>
      </c>
      <c r="G49" s="583">
        <v>0.5</v>
      </c>
      <c r="H49" s="584">
        <f>1000*2+250</f>
        <v>2250</v>
      </c>
      <c r="I49" s="584">
        <f>812+753+823+730</f>
        <v>3118</v>
      </c>
      <c r="J49" s="585">
        <v>715</v>
      </c>
      <c r="K49" s="534">
        <f>710+713+715+712+716+714+715</f>
        <v>4995</v>
      </c>
      <c r="L49" s="586"/>
      <c r="M49" s="586"/>
      <c r="N49" s="586"/>
      <c r="O49" s="587">
        <v>450</v>
      </c>
      <c r="P49" s="576">
        <f t="shared" si="3"/>
        <v>0.92500000000000004</v>
      </c>
      <c r="Q49" s="588">
        <f t="shared" si="4"/>
        <v>0</v>
      </c>
      <c r="R49" s="589">
        <f t="shared" si="5"/>
        <v>11.816666666666666</v>
      </c>
      <c r="S49" s="577">
        <v>11</v>
      </c>
      <c r="T49" s="577">
        <v>49</v>
      </c>
      <c r="U49" s="590" t="s">
        <v>1149</v>
      </c>
      <c r="V49" s="534" t="s">
        <v>711</v>
      </c>
    </row>
    <row r="50" spans="1:22" ht="24.95" customHeight="1">
      <c r="A50" s="581">
        <v>11</v>
      </c>
      <c r="B50" s="434">
        <v>22</v>
      </c>
      <c r="C50" s="581" t="s">
        <v>1161</v>
      </c>
      <c r="D50" s="581" t="s">
        <v>0</v>
      </c>
      <c r="E50" s="581" t="s">
        <v>44</v>
      </c>
      <c r="F50" s="582">
        <v>1.2</v>
      </c>
      <c r="G50" s="583">
        <v>0.5</v>
      </c>
      <c r="H50" s="584">
        <f>1000*2</f>
        <v>2000</v>
      </c>
      <c r="I50" s="584">
        <f>930+968+1008+812</f>
        <v>3718</v>
      </c>
      <c r="J50" s="585">
        <v>715</v>
      </c>
      <c r="K50" s="585">
        <f>710+719+716+714+560+719+717</f>
        <v>4855</v>
      </c>
      <c r="L50" s="586"/>
      <c r="M50" s="586"/>
      <c r="N50" s="586"/>
      <c r="O50" s="587">
        <v>450</v>
      </c>
      <c r="P50" s="576">
        <f t="shared" si="3"/>
        <v>0.89907407407407403</v>
      </c>
      <c r="Q50" s="588">
        <f t="shared" si="4"/>
        <v>0</v>
      </c>
      <c r="R50" s="589">
        <f t="shared" si="5"/>
        <v>11.916666666666666</v>
      </c>
      <c r="S50" s="577">
        <v>11</v>
      </c>
      <c r="T50" s="577">
        <v>55</v>
      </c>
      <c r="U50" s="590" t="s">
        <v>1164</v>
      </c>
      <c r="V50" s="534" t="s">
        <v>759</v>
      </c>
    </row>
    <row r="51" spans="1:22" ht="24.95" customHeight="1">
      <c r="A51" s="581">
        <v>11</v>
      </c>
      <c r="B51" s="434">
        <v>22</v>
      </c>
      <c r="C51" s="581" t="s">
        <v>1161</v>
      </c>
      <c r="D51" s="581" t="s">
        <v>43</v>
      </c>
      <c r="E51" s="581" t="s">
        <v>44</v>
      </c>
      <c r="F51" s="582">
        <v>1.2</v>
      </c>
      <c r="G51" s="583">
        <v>0.5</v>
      </c>
      <c r="H51" s="584">
        <f>1000*2</f>
        <v>2000</v>
      </c>
      <c r="I51" s="584">
        <f>911+913+588</f>
        <v>2412</v>
      </c>
      <c r="J51" s="585">
        <v>715</v>
      </c>
      <c r="K51" s="585">
        <f>710+712+711+714+715+712+716</f>
        <v>4990</v>
      </c>
      <c r="L51" s="586"/>
      <c r="M51" s="586"/>
      <c r="N51" s="586"/>
      <c r="O51" s="587">
        <v>450</v>
      </c>
      <c r="P51" s="576">
        <f t="shared" si="3"/>
        <v>0.92407407407407405</v>
      </c>
      <c r="Q51" s="588">
        <f t="shared" si="4"/>
        <v>0</v>
      </c>
      <c r="R51" s="589">
        <f t="shared" si="5"/>
        <v>11.416666666666666</v>
      </c>
      <c r="S51" s="577">
        <v>11</v>
      </c>
      <c r="T51" s="577">
        <v>25</v>
      </c>
      <c r="U51" s="590" t="s">
        <v>1165</v>
      </c>
      <c r="V51" s="534" t="s">
        <v>1166</v>
      </c>
    </row>
    <row r="52" spans="1:22" ht="24.95" customHeight="1">
      <c r="A52" s="581">
        <v>11</v>
      </c>
      <c r="B52" s="581">
        <v>23</v>
      </c>
      <c r="C52" s="581" t="s">
        <v>667</v>
      </c>
      <c r="D52" s="581" t="s">
        <v>0</v>
      </c>
      <c r="E52" s="581" t="s">
        <v>44</v>
      </c>
      <c r="F52" s="582"/>
      <c r="G52" s="583" t="s">
        <v>633</v>
      </c>
      <c r="H52" s="584"/>
      <c r="I52" s="584"/>
      <c r="J52" s="585"/>
      <c r="K52" s="534"/>
      <c r="L52" s="586"/>
      <c r="M52" s="586"/>
      <c r="N52" s="586"/>
      <c r="O52" s="587">
        <v>450</v>
      </c>
      <c r="P52" s="576">
        <f t="shared" si="3"/>
        <v>0</v>
      </c>
      <c r="Q52" s="588" t="e">
        <f t="shared" si="4"/>
        <v>#DIV/0!</v>
      </c>
      <c r="R52" s="589">
        <f t="shared" si="5"/>
        <v>0</v>
      </c>
      <c r="S52" s="577"/>
      <c r="T52" s="577"/>
      <c r="U52" s="590"/>
      <c r="V52" s="534"/>
    </row>
    <row r="53" spans="1:22" ht="24.95" customHeight="1">
      <c r="A53" s="581">
        <v>11</v>
      </c>
      <c r="B53" s="581">
        <v>23</v>
      </c>
      <c r="C53" s="581" t="s">
        <v>667</v>
      </c>
      <c r="D53" s="581" t="s">
        <v>43</v>
      </c>
      <c r="E53" s="581" t="s">
        <v>44</v>
      </c>
      <c r="F53" s="582"/>
      <c r="G53" s="583" t="s">
        <v>633</v>
      </c>
      <c r="H53" s="584"/>
      <c r="I53" s="584"/>
      <c r="J53" s="585"/>
      <c r="K53" s="534"/>
      <c r="L53" s="586"/>
      <c r="M53" s="586"/>
      <c r="N53" s="586"/>
      <c r="O53" s="587">
        <v>450</v>
      </c>
      <c r="P53" s="576">
        <f t="shared" si="3"/>
        <v>0</v>
      </c>
      <c r="Q53" s="588" t="e">
        <f t="shared" si="4"/>
        <v>#DIV/0!</v>
      </c>
      <c r="R53" s="589">
        <f t="shared" si="5"/>
        <v>0</v>
      </c>
      <c r="S53" s="577"/>
      <c r="T53" s="577"/>
      <c r="U53" s="559"/>
      <c r="V53" s="534"/>
    </row>
    <row r="54" spans="1:22" ht="24.95" customHeight="1">
      <c r="A54" s="581">
        <v>11</v>
      </c>
      <c r="B54" s="581">
        <v>24</v>
      </c>
      <c r="C54" s="581" t="s">
        <v>1192</v>
      </c>
      <c r="D54" s="581" t="s">
        <v>0</v>
      </c>
      <c r="E54" s="581" t="s">
        <v>44</v>
      </c>
      <c r="F54" s="582"/>
      <c r="G54" s="583" t="s">
        <v>633</v>
      </c>
      <c r="H54" s="584"/>
      <c r="I54" s="584"/>
      <c r="J54" s="585"/>
      <c r="K54" s="585"/>
      <c r="L54" s="586"/>
      <c r="M54" s="586"/>
      <c r="N54" s="586"/>
      <c r="O54" s="587">
        <v>450</v>
      </c>
      <c r="P54" s="576">
        <f t="shared" si="3"/>
        <v>0</v>
      </c>
      <c r="Q54" s="588" t="e">
        <f t="shared" si="4"/>
        <v>#DIV/0!</v>
      </c>
      <c r="R54" s="589">
        <f t="shared" si="5"/>
        <v>0</v>
      </c>
      <c r="S54" s="577"/>
      <c r="T54" s="577"/>
      <c r="U54" s="559"/>
      <c r="V54" s="534"/>
    </row>
    <row r="55" spans="1:22" ht="24.95" customHeight="1">
      <c r="A55" s="581">
        <v>11</v>
      </c>
      <c r="B55" s="581">
        <v>24</v>
      </c>
      <c r="C55" s="581" t="s">
        <v>1192</v>
      </c>
      <c r="D55" s="581" t="s">
        <v>43</v>
      </c>
      <c r="E55" s="581" t="s">
        <v>44</v>
      </c>
      <c r="F55" s="582"/>
      <c r="G55" s="583" t="s">
        <v>633</v>
      </c>
      <c r="H55" s="584"/>
      <c r="I55" s="584"/>
      <c r="J55" s="585"/>
      <c r="K55" s="585"/>
      <c r="L55" s="586"/>
      <c r="M55" s="586"/>
      <c r="N55" s="586"/>
      <c r="O55" s="587">
        <v>450</v>
      </c>
      <c r="P55" s="576">
        <f t="shared" si="3"/>
        <v>0</v>
      </c>
      <c r="Q55" s="588" t="e">
        <f t="shared" si="4"/>
        <v>#DIV/0!</v>
      </c>
      <c r="R55" s="589">
        <f t="shared" si="5"/>
        <v>0</v>
      </c>
      <c r="S55" s="577"/>
      <c r="T55" s="577"/>
      <c r="U55" s="559"/>
      <c r="V55" s="534"/>
    </row>
    <row r="56" spans="1:22" ht="24.95" customHeight="1">
      <c r="A56" s="581">
        <v>11</v>
      </c>
      <c r="B56" s="581">
        <v>25</v>
      </c>
      <c r="C56" s="581" t="s">
        <v>670</v>
      </c>
      <c r="D56" s="581" t="s">
        <v>0</v>
      </c>
      <c r="E56" s="581" t="s">
        <v>44</v>
      </c>
      <c r="F56" s="582"/>
      <c r="G56" s="583" t="s">
        <v>633</v>
      </c>
      <c r="H56" s="584"/>
      <c r="I56" s="584"/>
      <c r="J56" s="585"/>
      <c r="K56" s="585"/>
      <c r="L56" s="586"/>
      <c r="M56" s="586"/>
      <c r="N56" s="586"/>
      <c r="O56" s="587">
        <v>450</v>
      </c>
      <c r="P56" s="576">
        <f t="shared" si="3"/>
        <v>0</v>
      </c>
      <c r="Q56" s="588" t="e">
        <f t="shared" si="4"/>
        <v>#DIV/0!</v>
      </c>
      <c r="R56" s="589">
        <f t="shared" si="5"/>
        <v>0</v>
      </c>
      <c r="S56" s="577"/>
      <c r="T56" s="577"/>
      <c r="U56" s="559"/>
      <c r="V56" s="534"/>
    </row>
    <row r="57" spans="1:22" ht="24.95" customHeight="1">
      <c r="A57" s="581">
        <v>11</v>
      </c>
      <c r="B57" s="581">
        <v>25</v>
      </c>
      <c r="C57" s="581" t="s">
        <v>670</v>
      </c>
      <c r="D57" s="581" t="s">
        <v>43</v>
      </c>
      <c r="E57" s="581" t="s">
        <v>44</v>
      </c>
      <c r="F57" s="582"/>
      <c r="G57" s="583" t="s">
        <v>633</v>
      </c>
      <c r="H57" s="584"/>
      <c r="I57" s="584"/>
      <c r="J57" s="585"/>
      <c r="K57" s="585"/>
      <c r="L57" s="586"/>
      <c r="M57" s="586"/>
      <c r="N57" s="586"/>
      <c r="O57" s="587">
        <v>450</v>
      </c>
      <c r="P57" s="576">
        <f t="shared" si="3"/>
        <v>0</v>
      </c>
      <c r="Q57" s="588" t="e">
        <f t="shared" si="4"/>
        <v>#DIV/0!</v>
      </c>
      <c r="R57" s="589">
        <f t="shared" si="5"/>
        <v>0</v>
      </c>
      <c r="S57" s="577"/>
      <c r="T57" s="577"/>
      <c r="U57" s="559"/>
      <c r="V57" s="534"/>
    </row>
    <row r="58" spans="1:22" ht="24.95" customHeight="1">
      <c r="A58" s="581">
        <v>11</v>
      </c>
      <c r="B58" s="581">
        <v>26</v>
      </c>
      <c r="C58" s="581" t="s">
        <v>671</v>
      </c>
      <c r="D58" s="581" t="s">
        <v>0</v>
      </c>
      <c r="E58" s="581" t="s">
        <v>44</v>
      </c>
      <c r="F58" s="582"/>
      <c r="G58" s="583" t="s">
        <v>633</v>
      </c>
      <c r="H58" s="584"/>
      <c r="I58" s="584"/>
      <c r="J58" s="585"/>
      <c r="K58" s="534"/>
      <c r="L58" s="586"/>
      <c r="M58" s="586"/>
      <c r="N58" s="586"/>
      <c r="O58" s="587">
        <v>450</v>
      </c>
      <c r="P58" s="576">
        <f t="shared" si="3"/>
        <v>0</v>
      </c>
      <c r="Q58" s="588" t="e">
        <f t="shared" si="4"/>
        <v>#DIV/0!</v>
      </c>
      <c r="R58" s="589">
        <f t="shared" si="5"/>
        <v>0</v>
      </c>
      <c r="S58" s="577"/>
      <c r="T58" s="577"/>
      <c r="U58" s="559"/>
      <c r="V58" s="534"/>
    </row>
    <row r="59" spans="1:22" ht="24.95" customHeight="1">
      <c r="A59" s="581">
        <v>11</v>
      </c>
      <c r="B59" s="581">
        <v>26</v>
      </c>
      <c r="C59" s="581" t="s">
        <v>671</v>
      </c>
      <c r="D59" s="581" t="s">
        <v>43</v>
      </c>
      <c r="E59" s="581" t="s">
        <v>44</v>
      </c>
      <c r="F59" s="582"/>
      <c r="G59" s="583" t="s">
        <v>633</v>
      </c>
      <c r="H59" s="584"/>
      <c r="I59" s="584"/>
      <c r="J59" s="585"/>
      <c r="K59" s="534"/>
      <c r="L59" s="586"/>
      <c r="M59" s="586"/>
      <c r="N59" s="586"/>
      <c r="O59" s="587">
        <v>450</v>
      </c>
      <c r="P59" s="576">
        <f t="shared" si="3"/>
        <v>0</v>
      </c>
      <c r="Q59" s="588" t="e">
        <f t="shared" si="4"/>
        <v>#DIV/0!</v>
      </c>
      <c r="R59" s="589">
        <f t="shared" si="5"/>
        <v>0</v>
      </c>
      <c r="S59" s="577"/>
      <c r="T59" s="577"/>
      <c r="U59" s="559"/>
      <c r="V59" s="534"/>
    </row>
    <row r="60" spans="1:22" ht="24.95" customHeight="1">
      <c r="A60" s="581">
        <v>11</v>
      </c>
      <c r="B60" s="581">
        <v>27</v>
      </c>
      <c r="C60" s="581" t="s">
        <v>672</v>
      </c>
      <c r="D60" s="581" t="s">
        <v>0</v>
      </c>
      <c r="E60" s="581" t="s">
        <v>44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>
        <v>450</v>
      </c>
      <c r="P60" s="576">
        <f t="shared" si="3"/>
        <v>0</v>
      </c>
      <c r="Q60" s="588" t="e">
        <f t="shared" si="4"/>
        <v>#DIV/0!</v>
      </c>
      <c r="R60" s="589">
        <f t="shared" si="5"/>
        <v>0</v>
      </c>
      <c r="S60" s="577"/>
      <c r="T60" s="577"/>
      <c r="U60" s="559"/>
      <c r="V60" s="534"/>
    </row>
    <row r="61" spans="1:22" ht="24.95" customHeight="1">
      <c r="A61" s="581">
        <v>11</v>
      </c>
      <c r="B61" s="581">
        <v>27</v>
      </c>
      <c r="C61" s="581" t="s">
        <v>672</v>
      </c>
      <c r="D61" s="581" t="s">
        <v>43</v>
      </c>
      <c r="E61" s="581" t="s">
        <v>44</v>
      </c>
      <c r="F61" s="582"/>
      <c r="G61" s="583" t="s">
        <v>633</v>
      </c>
      <c r="H61" s="584"/>
      <c r="I61" s="584"/>
      <c r="J61" s="585"/>
      <c r="K61" s="534"/>
      <c r="L61" s="586"/>
      <c r="M61" s="586"/>
      <c r="N61" s="586"/>
      <c r="O61" s="587">
        <v>450</v>
      </c>
      <c r="P61" s="576">
        <f t="shared" si="3"/>
        <v>0</v>
      </c>
      <c r="Q61" s="588" t="e">
        <f t="shared" si="4"/>
        <v>#DIV/0!</v>
      </c>
      <c r="R61" s="589">
        <f t="shared" si="5"/>
        <v>0</v>
      </c>
      <c r="S61" s="577"/>
      <c r="T61" s="577"/>
      <c r="U61" s="559"/>
      <c r="V61" s="534"/>
    </row>
    <row r="62" spans="1:22" ht="24.95" customHeight="1">
      <c r="A62" s="581">
        <v>11</v>
      </c>
      <c r="B62" s="581">
        <v>28</v>
      </c>
      <c r="C62" s="581" t="s">
        <v>673</v>
      </c>
      <c r="D62" s="581" t="s">
        <v>0</v>
      </c>
      <c r="E62" s="581" t="s">
        <v>44</v>
      </c>
      <c r="F62" s="582"/>
      <c r="G62" s="583" t="s">
        <v>633</v>
      </c>
      <c r="H62" s="584"/>
      <c r="I62" s="584"/>
      <c r="J62" s="585"/>
      <c r="K62" s="534"/>
      <c r="L62" s="586"/>
      <c r="M62" s="586"/>
      <c r="N62" s="586"/>
      <c r="O62" s="587">
        <v>450</v>
      </c>
      <c r="P62" s="576">
        <f t="shared" si="3"/>
        <v>0</v>
      </c>
      <c r="Q62" s="588" t="e">
        <f t="shared" si="4"/>
        <v>#DIV/0!</v>
      </c>
      <c r="R62" s="589">
        <f t="shared" si="5"/>
        <v>0</v>
      </c>
      <c r="S62" s="577"/>
      <c r="T62" s="577"/>
      <c r="U62" s="559"/>
      <c r="V62" s="534"/>
    </row>
    <row r="63" spans="1:22" ht="24.95" customHeight="1">
      <c r="A63" s="581">
        <v>11</v>
      </c>
      <c r="B63" s="581">
        <v>28</v>
      </c>
      <c r="C63" s="581" t="s">
        <v>673</v>
      </c>
      <c r="D63" s="581" t="s">
        <v>43</v>
      </c>
      <c r="E63" s="581" t="s">
        <v>44</v>
      </c>
      <c r="F63" s="582"/>
      <c r="G63" s="583" t="s">
        <v>633</v>
      </c>
      <c r="H63" s="584"/>
      <c r="I63" s="584"/>
      <c r="J63" s="585"/>
      <c r="K63" s="534"/>
      <c r="L63" s="586"/>
      <c r="M63" s="586"/>
      <c r="N63" s="586"/>
      <c r="O63" s="587">
        <v>450</v>
      </c>
      <c r="P63" s="576">
        <f t="shared" si="3"/>
        <v>0</v>
      </c>
      <c r="Q63" s="588" t="e">
        <f t="shared" si="4"/>
        <v>#DIV/0!</v>
      </c>
      <c r="R63" s="589">
        <f t="shared" si="5"/>
        <v>0</v>
      </c>
      <c r="S63" s="577"/>
      <c r="T63" s="577"/>
      <c r="U63" s="559"/>
      <c r="V63" s="534"/>
    </row>
    <row r="64" spans="1:22" ht="24.95" customHeight="1">
      <c r="A64" s="581">
        <v>11</v>
      </c>
      <c r="B64" s="581">
        <v>29</v>
      </c>
      <c r="C64" s="581" t="s">
        <v>632</v>
      </c>
      <c r="D64" s="581" t="s">
        <v>0</v>
      </c>
      <c r="E64" s="581" t="s">
        <v>44</v>
      </c>
      <c r="F64" s="582"/>
      <c r="G64" s="583" t="s">
        <v>633</v>
      </c>
      <c r="H64" s="584"/>
      <c r="I64" s="584"/>
      <c r="J64" s="585"/>
      <c r="K64" s="534"/>
      <c r="L64" s="586"/>
      <c r="M64" s="586"/>
      <c r="N64" s="586"/>
      <c r="O64" s="587">
        <v>450</v>
      </c>
      <c r="P64" s="576">
        <f t="shared" si="3"/>
        <v>0</v>
      </c>
      <c r="Q64" s="588" t="e">
        <f t="shared" si="4"/>
        <v>#DIV/0!</v>
      </c>
      <c r="R64" s="589">
        <f t="shared" si="5"/>
        <v>0</v>
      </c>
      <c r="S64" s="577"/>
      <c r="T64" s="577"/>
      <c r="U64" s="559"/>
      <c r="V64" s="534"/>
    </row>
    <row r="65" spans="1:22" ht="24.95" customHeight="1">
      <c r="A65" s="581">
        <v>11</v>
      </c>
      <c r="B65" s="581">
        <v>29</v>
      </c>
      <c r="C65" s="581" t="s">
        <v>632</v>
      </c>
      <c r="D65" s="581" t="s">
        <v>43</v>
      </c>
      <c r="E65" s="581" t="s">
        <v>44</v>
      </c>
      <c r="F65" s="582"/>
      <c r="G65" s="583" t="s">
        <v>633</v>
      </c>
      <c r="H65" s="584"/>
      <c r="I65" s="584"/>
      <c r="J65" s="585"/>
      <c r="K65" s="534"/>
      <c r="L65" s="586"/>
      <c r="M65" s="586"/>
      <c r="N65" s="586"/>
      <c r="O65" s="587">
        <v>450</v>
      </c>
      <c r="P65" s="576">
        <f t="shared" si="3"/>
        <v>0</v>
      </c>
      <c r="Q65" s="588" t="e">
        <f t="shared" si="4"/>
        <v>#DIV/0!</v>
      </c>
      <c r="R65" s="589">
        <f t="shared" si="5"/>
        <v>0</v>
      </c>
      <c r="S65" s="577"/>
      <c r="T65" s="577"/>
      <c r="U65" s="559"/>
      <c r="V65" s="534"/>
    </row>
    <row r="66" spans="1:22" ht="33" customHeight="1">
      <c r="A66" s="434">
        <v>11</v>
      </c>
      <c r="B66" s="434">
        <v>30</v>
      </c>
      <c r="C66" s="581" t="s">
        <v>1266</v>
      </c>
      <c r="D66" s="581" t="s">
        <v>0</v>
      </c>
      <c r="E66" s="581" t="s">
        <v>44</v>
      </c>
      <c r="F66" s="582">
        <v>1.55</v>
      </c>
      <c r="G66" s="583">
        <v>0.4</v>
      </c>
      <c r="H66" s="584">
        <f>1000*3</f>
        <v>3000</v>
      </c>
      <c r="I66" s="584">
        <f>821+963</f>
        <v>1784</v>
      </c>
      <c r="J66" s="585">
        <v>715</v>
      </c>
      <c r="K66" s="534">
        <f>475+660+665+663+664+662</f>
        <v>3789</v>
      </c>
      <c r="L66" s="586">
        <f>69</f>
        <v>69</v>
      </c>
      <c r="M66" s="586"/>
      <c r="N66" s="586"/>
      <c r="O66" s="587">
        <v>450</v>
      </c>
      <c r="P66" s="576">
        <f t="shared" si="3"/>
        <v>0.70166666666666666</v>
      </c>
      <c r="Q66" s="588">
        <f t="shared" si="4"/>
        <v>1.7884914463452566E-2</v>
      </c>
      <c r="R66" s="589">
        <f t="shared" si="5"/>
        <v>9.2333333333333325</v>
      </c>
      <c r="S66" s="577">
        <v>9</v>
      </c>
      <c r="T66" s="577">
        <v>14</v>
      </c>
      <c r="U66" s="590" t="s">
        <v>1274</v>
      </c>
      <c r="V66" s="534" t="s">
        <v>1273</v>
      </c>
    </row>
    <row r="67" spans="1:22" ht="24.95" customHeight="1">
      <c r="A67" s="434">
        <v>11</v>
      </c>
      <c r="B67" s="434">
        <v>30</v>
      </c>
      <c r="C67" s="581" t="s">
        <v>1266</v>
      </c>
      <c r="D67" s="581" t="s">
        <v>43</v>
      </c>
      <c r="E67" s="581" t="s">
        <v>44</v>
      </c>
      <c r="F67" s="582">
        <v>1.55</v>
      </c>
      <c r="G67" s="583">
        <v>0.4</v>
      </c>
      <c r="H67" s="584">
        <f>1000*3</f>
        <v>3000</v>
      </c>
      <c r="I67" s="584">
        <f>981+1001</f>
        <v>1982</v>
      </c>
      <c r="J67" s="585">
        <v>715</v>
      </c>
      <c r="K67" s="534">
        <f>660+663+662+665+666+664+665</f>
        <v>4645</v>
      </c>
      <c r="L67" s="586"/>
      <c r="M67" s="586"/>
      <c r="N67" s="586"/>
      <c r="O67" s="587">
        <v>450</v>
      </c>
      <c r="P67" s="576">
        <f t="shared" si="3"/>
        <v>0.86018518518518516</v>
      </c>
      <c r="Q67" s="588">
        <f t="shared" si="4"/>
        <v>0</v>
      </c>
      <c r="R67" s="589">
        <f t="shared" si="5"/>
        <v>11.316666666666666</v>
      </c>
      <c r="S67" s="577">
        <v>11</v>
      </c>
      <c r="T67" s="577">
        <v>19</v>
      </c>
      <c r="U67" s="590" t="s">
        <v>1275</v>
      </c>
      <c r="V67" s="534" t="s">
        <v>711</v>
      </c>
    </row>
    <row r="68" spans="1:22" ht="24.95" customHeight="1">
      <c r="A68" s="434"/>
      <c r="B68" s="434"/>
      <c r="C68" s="581"/>
      <c r="D68" s="581"/>
      <c r="E68" s="581"/>
      <c r="F68" s="582"/>
      <c r="G68" s="583"/>
      <c r="H68" s="584"/>
      <c r="I68" s="584"/>
      <c r="J68" s="585"/>
      <c r="K68" s="534"/>
      <c r="L68" s="586"/>
      <c r="M68" s="586"/>
      <c r="N68" s="586"/>
      <c r="O68" s="587">
        <v>450</v>
      </c>
      <c r="P68" s="576">
        <f t="shared" si="3"/>
        <v>0</v>
      </c>
      <c r="Q68" s="588" t="e">
        <f t="shared" si="4"/>
        <v>#DIV/0!</v>
      </c>
      <c r="R68" s="589">
        <f t="shared" si="5"/>
        <v>0</v>
      </c>
      <c r="S68" s="577"/>
      <c r="T68" s="577"/>
      <c r="U68" s="559"/>
      <c r="V68" s="534"/>
    </row>
    <row r="69" spans="1:22" ht="24.95" customHeight="1">
      <c r="A69" s="434"/>
      <c r="B69" s="434"/>
      <c r="C69" s="581"/>
      <c r="D69" s="581"/>
      <c r="E69" s="581"/>
      <c r="F69" s="582"/>
      <c r="G69" s="583"/>
      <c r="H69" s="584"/>
      <c r="I69" s="584"/>
      <c r="J69" s="585"/>
      <c r="K69" s="534"/>
      <c r="L69" s="586"/>
      <c r="M69" s="586"/>
      <c r="N69" s="586"/>
      <c r="O69" s="587">
        <v>450</v>
      </c>
      <c r="P69" s="576">
        <f>K69/(O69*12)</f>
        <v>0</v>
      </c>
      <c r="Q69" s="588" t="e">
        <f>L69/(K69+L69)</f>
        <v>#DIV/0!</v>
      </c>
      <c r="R69" s="589">
        <f>S69+T69/60</f>
        <v>0</v>
      </c>
      <c r="S69" s="577"/>
      <c r="T69" s="577"/>
      <c r="U69" s="559"/>
      <c r="V69" s="534"/>
    </row>
    <row r="70" spans="1:22" ht="30" customHeight="1">
      <c r="E70" s="456"/>
      <c r="F70" s="560"/>
      <c r="G70" s="573"/>
      <c r="H70" s="575"/>
      <c r="I70" s="575"/>
      <c r="J70" s="561"/>
      <c r="K70" s="533"/>
      <c r="L70" s="562"/>
      <c r="M70" s="562"/>
      <c r="N70" s="562"/>
      <c r="O70" s="563"/>
      <c r="P70" s="566"/>
      <c r="Q70" s="566"/>
      <c r="R70" s="564"/>
      <c r="S70" s="567"/>
      <c r="T70" s="567"/>
      <c r="U70" s="565"/>
      <c r="V70" s="533"/>
    </row>
    <row r="71" spans="1:22" ht="30" customHeight="1" thickBot="1">
      <c r="E71" s="456"/>
      <c r="F71" s="560"/>
      <c r="G71" s="573"/>
      <c r="H71" s="575"/>
      <c r="I71" s="575"/>
      <c r="J71" s="561"/>
      <c r="K71" s="533"/>
      <c r="L71" s="562"/>
      <c r="M71" s="562"/>
      <c r="N71" s="562"/>
      <c r="O71" s="563"/>
      <c r="P71" s="566"/>
      <c r="Q71" s="566"/>
      <c r="R71" s="564"/>
      <c r="S71" s="567"/>
      <c r="T71" s="567"/>
      <c r="U71" s="565"/>
      <c r="V71" s="533"/>
    </row>
    <row r="72" spans="1:22" ht="30" customHeight="1" thickBot="1">
      <c r="E72" s="456"/>
      <c r="F72" s="560"/>
      <c r="G72" s="592" t="s">
        <v>585</v>
      </c>
      <c r="H72" s="591">
        <f>SUM(H7:H69)</f>
        <v>45175</v>
      </c>
      <c r="I72" s="594">
        <f>SUM(I7:I69)</f>
        <v>56907</v>
      </c>
      <c r="J72" s="596" t="s">
        <v>586</v>
      </c>
      <c r="K72" s="595">
        <f>SUM(K7:K71)</f>
        <v>97617</v>
      </c>
      <c r="L72" s="593">
        <f>SUM(L7:L71)</f>
        <v>313</v>
      </c>
      <c r="M72" s="597" t="s">
        <v>588</v>
      </c>
      <c r="N72" s="562"/>
      <c r="O72" s="564"/>
      <c r="P72" s="566"/>
      <c r="Q72" s="566"/>
      <c r="R72" s="564"/>
      <c r="S72" s="567"/>
      <c r="T72" s="567"/>
      <c r="U72" s="568"/>
    </row>
    <row r="73" spans="1:22" ht="30" customHeight="1">
      <c r="E73" s="456"/>
      <c r="F73" s="560"/>
      <c r="G73" s="573"/>
      <c r="H73" s="575"/>
      <c r="I73" s="575"/>
      <c r="J73" s="561"/>
      <c r="K73" s="562"/>
      <c r="L73" s="562"/>
      <c r="M73" s="562"/>
      <c r="N73" s="562"/>
      <c r="O73" s="564"/>
      <c r="P73" s="566"/>
      <c r="Q73" s="566"/>
      <c r="R73" s="564"/>
      <c r="S73" s="567"/>
      <c r="T73" s="567"/>
    </row>
    <row r="74" spans="1:22" ht="30" customHeight="1">
      <c r="E74" s="456"/>
      <c r="F74" s="560"/>
      <c r="G74" s="573"/>
      <c r="H74" s="575"/>
      <c r="I74" s="575"/>
      <c r="J74" s="561"/>
      <c r="K74" s="562"/>
      <c r="L74" s="562"/>
      <c r="M74" s="562"/>
      <c r="N74" s="562"/>
      <c r="O74" s="579"/>
      <c r="P74" s="579"/>
      <c r="Q74" s="579"/>
      <c r="R74" s="579"/>
      <c r="S74" s="579"/>
      <c r="T74" s="579"/>
      <c r="U74" s="579"/>
      <c r="V74" s="579"/>
    </row>
    <row r="75" spans="1:22" ht="30" customHeight="1">
      <c r="O75" s="533"/>
      <c r="P75" s="570"/>
      <c r="Q75" s="564"/>
      <c r="R75" s="571"/>
      <c r="T75" s="456"/>
    </row>
    <row r="76" spans="1:22" ht="30" customHeight="1">
      <c r="O76" s="533"/>
      <c r="P76" s="570"/>
      <c r="Q76" s="564"/>
      <c r="R76" s="571"/>
      <c r="T76" s="456"/>
    </row>
    <row r="77" spans="1:22" ht="30" customHeight="1">
      <c r="O77" s="533"/>
      <c r="Q77" s="533"/>
      <c r="R77" s="571"/>
      <c r="T77" s="456"/>
    </row>
    <row r="78" spans="1:22" ht="30" customHeight="1">
      <c r="O78" s="533"/>
      <c r="Q78" s="533"/>
      <c r="R78" s="571"/>
      <c r="T78" s="456"/>
    </row>
    <row r="79" spans="1:22" ht="30" customHeight="1">
      <c r="O79" s="533"/>
      <c r="Q79" s="533"/>
      <c r="R79" s="571"/>
      <c r="T79" s="456"/>
    </row>
    <row r="80" spans="1:22" ht="30" customHeight="1">
      <c r="Q80" s="456"/>
      <c r="R80" s="571"/>
      <c r="T80" s="456"/>
    </row>
    <row r="81" spans="17:20" ht="30" customHeight="1">
      <c r="Q81" s="456"/>
      <c r="R81" s="571"/>
      <c r="T81" s="456"/>
    </row>
    <row r="82" spans="17:20" ht="30" customHeight="1">
      <c r="Q82" s="456"/>
      <c r="R82" s="571"/>
      <c r="T82" s="456"/>
    </row>
    <row r="83" spans="17:20" ht="30" customHeight="1">
      <c r="Q83" s="456"/>
      <c r="R83" s="571"/>
      <c r="T83" s="456"/>
    </row>
    <row r="84" spans="17:20" ht="30" customHeight="1">
      <c r="Q84" s="456"/>
      <c r="R84" s="571"/>
      <c r="T84" s="456"/>
    </row>
    <row r="85" spans="17:20" ht="30" customHeight="1"/>
    <row r="86" spans="17:20" ht="30" customHeight="1"/>
    <row r="87" spans="17:20" ht="30" customHeight="1"/>
    <row r="88" spans="17:20" ht="30" customHeight="1"/>
    <row r="89" spans="17:20" ht="30" customHeight="1"/>
    <row r="90" spans="17:20" ht="30" customHeight="1"/>
    <row r="91" spans="17:20" ht="30" customHeight="1"/>
    <row r="92" spans="17:20" ht="30" customHeight="1"/>
    <row r="93" spans="17:20" ht="30" customHeight="1"/>
    <row r="94" spans="17:20" ht="30" customHeight="1"/>
    <row r="95" spans="17:20" ht="30" customHeight="1"/>
    <row r="96" spans="17:20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24.95" customHeight="1"/>
    <row r="218" ht="24.95" customHeight="1"/>
    <row r="219" ht="24.95" customHeight="1"/>
    <row r="220" ht="24.95" customHeight="1"/>
    <row r="221" ht="24.95" customHeight="1"/>
    <row r="222" ht="24.95" customHeight="1"/>
    <row r="223" ht="24.95" customHeight="1"/>
    <row r="224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工作表14">
    <tabColor rgb="FFFFC000"/>
  </sheetPr>
  <dimension ref="A1:AB236"/>
  <sheetViews>
    <sheetView zoomScale="75" workbookViewId="0">
      <pane xSplit="4" ySplit="3" topLeftCell="E60" activePane="bottomRight" state="frozen"/>
      <selection activeCell="W23" sqref="W23"/>
      <selection pane="topRight" activeCell="W23" sqref="W23"/>
      <selection pane="bottomLeft" activeCell="W23" sqref="W23"/>
      <selection pane="bottomRight" activeCell="C71" sqref="C71:C72"/>
    </sheetView>
  </sheetViews>
  <sheetFormatPr defaultRowHeight="15.75"/>
  <cols>
    <col min="1" max="4" width="4.375" style="456" customWidth="1"/>
    <col min="5" max="5" width="5.625" style="569" customWidth="1"/>
    <col min="6" max="6" width="7.75" style="569" customWidth="1"/>
    <col min="7" max="7" width="13.75" style="574" customWidth="1"/>
    <col min="8" max="8" width="12.375" style="574" customWidth="1"/>
    <col min="9" max="9" width="11.5" style="574" customWidth="1"/>
    <col min="10" max="10" width="16" style="569" customWidth="1"/>
    <col min="11" max="11" width="13.625" style="569" customWidth="1"/>
    <col min="12" max="12" width="14.125" style="569" customWidth="1"/>
    <col min="13" max="13" width="5.25" style="569" bestFit="1" customWidth="1"/>
    <col min="14" max="14" width="5.625" style="569" customWidth="1"/>
    <col min="15" max="15" width="10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2.37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456" customWidth="1"/>
    <col min="29" max="16384" width="9" style="533"/>
  </cols>
  <sheetData>
    <row r="1" spans="1:28" s="555" customFormat="1" ht="24.95" customHeight="1">
      <c r="A1" s="1788" t="s">
        <v>589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  <c r="AB1" s="603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42" customHeight="1" thickBo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 thickBot="1">
      <c r="A4" s="581">
        <v>11</v>
      </c>
      <c r="B4" s="581">
        <v>1</v>
      </c>
      <c r="C4" s="581" t="s">
        <v>632</v>
      </c>
      <c r="D4" s="581" t="s">
        <v>0</v>
      </c>
      <c r="E4" s="581" t="s">
        <v>42</v>
      </c>
      <c r="F4" s="582">
        <v>1.38</v>
      </c>
      <c r="G4" s="583">
        <v>0.5</v>
      </c>
      <c r="H4" s="584">
        <f>1100*4</f>
        <v>4400</v>
      </c>
      <c r="I4" s="584">
        <f>610+880+990+761+610+1040+1002+1037+1038</f>
        <v>7968</v>
      </c>
      <c r="J4" s="585">
        <v>805</v>
      </c>
      <c r="K4" s="585">
        <f>1090+1095+1097+1096+1093+1092+1095*2+1090*2+1092*2</f>
        <v>13117</v>
      </c>
      <c r="L4" s="586"/>
      <c r="M4" s="586">
        <v>3</v>
      </c>
      <c r="N4" s="586">
        <v>3</v>
      </c>
      <c r="O4" s="587">
        <v>1185</v>
      </c>
      <c r="P4" s="576">
        <f>K4/(O4*12)</f>
        <v>0.92243319268635726</v>
      </c>
      <c r="Q4" s="588">
        <f>L4/(K4+L4)</f>
        <v>0</v>
      </c>
      <c r="R4" s="589">
        <f t="shared" ref="R4:R9" si="0">S4+T4/60</f>
        <v>11.9</v>
      </c>
      <c r="S4" s="577">
        <v>11</v>
      </c>
      <c r="T4" s="577">
        <v>54</v>
      </c>
      <c r="U4" s="559" t="s">
        <v>698</v>
      </c>
      <c r="V4" s="534" t="s">
        <v>715</v>
      </c>
      <c r="X4" s="602" t="s">
        <v>583</v>
      </c>
      <c r="Z4" s="598" t="s">
        <v>597</v>
      </c>
      <c r="AA4" s="599" t="s">
        <v>598</v>
      </c>
      <c r="AB4" s="600" t="s">
        <v>595</v>
      </c>
    </row>
    <row r="5" spans="1:28" ht="24.95" customHeight="1" thickBot="1">
      <c r="A5" s="581">
        <v>11</v>
      </c>
      <c r="B5" s="581">
        <v>1</v>
      </c>
      <c r="C5" s="581" t="s">
        <v>632</v>
      </c>
      <c r="D5" s="581" t="s">
        <v>707</v>
      </c>
      <c r="E5" s="581" t="s">
        <v>42</v>
      </c>
      <c r="F5" s="582">
        <v>1.38</v>
      </c>
      <c r="G5" s="583">
        <v>0.5</v>
      </c>
      <c r="H5" s="584">
        <f>1100*5</f>
        <v>5500</v>
      </c>
      <c r="I5" s="584">
        <f>875+1035+1041+952+850+982+796+1055+826</f>
        <v>8412</v>
      </c>
      <c r="J5" s="585">
        <v>805</v>
      </c>
      <c r="K5" s="585">
        <f>1090+1095+1094+1096+1095+1097+1096+1094+1092+1093+1091+1092</f>
        <v>13125</v>
      </c>
      <c r="L5" s="586"/>
      <c r="M5" s="586">
        <v>3</v>
      </c>
      <c r="N5" s="586">
        <v>3</v>
      </c>
      <c r="O5" s="587">
        <v>1185</v>
      </c>
      <c r="P5" s="576">
        <f t="shared" ref="P5:P58" si="1">K5/(O5*12)</f>
        <v>0.9229957805907173</v>
      </c>
      <c r="Q5" s="588">
        <f t="shared" ref="Q5:Q58" si="2">L5/(K5+L5)</f>
        <v>0</v>
      </c>
      <c r="R5" s="589">
        <f t="shared" si="0"/>
        <v>11.85</v>
      </c>
      <c r="S5" s="577">
        <v>11</v>
      </c>
      <c r="T5" s="577">
        <v>51</v>
      </c>
      <c r="U5" s="559" t="s">
        <v>710</v>
      </c>
      <c r="V5" s="534" t="s">
        <v>716</v>
      </c>
      <c r="X5" s="602" t="s">
        <v>583</v>
      </c>
      <c r="Z5" s="598" t="s">
        <v>597</v>
      </c>
      <c r="AA5" s="599" t="s">
        <v>598</v>
      </c>
      <c r="AB5" s="600" t="s">
        <v>595</v>
      </c>
    </row>
    <row r="6" spans="1:28" ht="48.75" customHeight="1" thickBot="1">
      <c r="A6" s="581">
        <v>11</v>
      </c>
      <c r="B6" s="581">
        <v>2</v>
      </c>
      <c r="C6" s="581" t="s">
        <v>755</v>
      </c>
      <c r="D6" s="581" t="s">
        <v>0</v>
      </c>
      <c r="E6" s="581" t="s">
        <v>42</v>
      </c>
      <c r="F6" s="582">
        <v>1.38</v>
      </c>
      <c r="G6" s="583">
        <v>0.6</v>
      </c>
      <c r="H6" s="584">
        <f>1100*3</f>
        <v>3300</v>
      </c>
      <c r="I6" s="584">
        <f>1051+560+1042+991+800</f>
        <v>4444</v>
      </c>
      <c r="J6" s="585">
        <v>805</v>
      </c>
      <c r="K6" s="585">
        <f>1090*2+1095+1094*2+1092+1095+1090</f>
        <v>8740</v>
      </c>
      <c r="L6" s="586">
        <f>104</f>
        <v>104</v>
      </c>
      <c r="M6" s="586">
        <v>3</v>
      </c>
      <c r="N6" s="586">
        <v>3</v>
      </c>
      <c r="O6" s="587">
        <v>1185</v>
      </c>
      <c r="P6" s="576">
        <f>K6/(O6*12)</f>
        <v>0.61462728551336143</v>
      </c>
      <c r="Q6" s="588">
        <f>L6/(K6+L6)</f>
        <v>1.1759384893713252E-2</v>
      </c>
      <c r="R6" s="589">
        <f t="shared" si="0"/>
        <v>8.0666666666666664</v>
      </c>
      <c r="S6" s="577">
        <v>8</v>
      </c>
      <c r="T6" s="577">
        <v>4</v>
      </c>
      <c r="U6" s="559" t="s">
        <v>767</v>
      </c>
      <c r="V6" s="534" t="s">
        <v>715</v>
      </c>
      <c r="X6" s="602" t="s">
        <v>583</v>
      </c>
      <c r="Z6" s="598" t="s">
        <v>597</v>
      </c>
      <c r="AA6" s="599" t="s">
        <v>598</v>
      </c>
      <c r="AB6" s="600" t="s">
        <v>595</v>
      </c>
    </row>
    <row r="7" spans="1:28" ht="34.5" customHeight="1" thickBot="1">
      <c r="A7" s="581">
        <v>11</v>
      </c>
      <c r="B7" s="581">
        <v>2</v>
      </c>
      <c r="C7" s="581" t="s">
        <v>755</v>
      </c>
      <c r="D7" s="581" t="s">
        <v>43</v>
      </c>
      <c r="E7" s="581" t="s">
        <v>42</v>
      </c>
      <c r="F7" s="582">
        <v>1.38</v>
      </c>
      <c r="G7" s="583">
        <v>0.6</v>
      </c>
      <c r="H7" s="584">
        <f>1100*4</f>
        <v>4400</v>
      </c>
      <c r="I7" s="584">
        <f>920+1051+946+1038+903+1046+1027+888+859</f>
        <v>8678</v>
      </c>
      <c r="J7" s="585">
        <v>805</v>
      </c>
      <c r="K7" s="585">
        <f>1090+1091+1095+1096+1094+1096+1097+1095+1093+1091+1092+1095</f>
        <v>13125</v>
      </c>
      <c r="L7" s="586"/>
      <c r="M7" s="586">
        <v>3</v>
      </c>
      <c r="N7" s="586">
        <v>3</v>
      </c>
      <c r="O7" s="587">
        <v>1185</v>
      </c>
      <c r="P7" s="576">
        <f>K7/(O7*12)</f>
        <v>0.9229957805907173</v>
      </c>
      <c r="Q7" s="588">
        <f>L7/(K7+L7)</f>
        <v>0</v>
      </c>
      <c r="R7" s="589">
        <f t="shared" si="0"/>
        <v>11.766666666666667</v>
      </c>
      <c r="S7" s="577">
        <v>11</v>
      </c>
      <c r="T7" s="577">
        <v>46</v>
      </c>
      <c r="U7" s="559" t="s">
        <v>768</v>
      </c>
      <c r="V7" s="585" t="s">
        <v>769</v>
      </c>
      <c r="X7" s="602" t="s">
        <v>583</v>
      </c>
      <c r="Z7" s="598" t="s">
        <v>597</v>
      </c>
      <c r="AA7" s="599" t="s">
        <v>598</v>
      </c>
      <c r="AB7" s="600" t="s">
        <v>595</v>
      </c>
    </row>
    <row r="8" spans="1:28" ht="24.95" customHeight="1">
      <c r="A8" s="581">
        <v>11</v>
      </c>
      <c r="B8" s="581">
        <v>3</v>
      </c>
      <c r="C8" s="581" t="s">
        <v>784</v>
      </c>
      <c r="D8" s="581" t="s">
        <v>0</v>
      </c>
      <c r="E8" s="581" t="s">
        <v>42</v>
      </c>
      <c r="F8" s="582">
        <v>1.38</v>
      </c>
      <c r="G8" s="583">
        <v>0.6</v>
      </c>
      <c r="H8" s="584">
        <f>1100*5</f>
        <v>5500</v>
      </c>
      <c r="I8" s="584">
        <f>1002+890+1036+866+1076+1041+606+1038+1045</f>
        <v>8600</v>
      </c>
      <c r="J8" s="585">
        <v>805</v>
      </c>
      <c r="K8" s="585">
        <f>1090+1092*2+1095+1092+1096+1095+1090+1096+1090+1092+1090</f>
        <v>13110</v>
      </c>
      <c r="L8" s="586"/>
      <c r="M8" s="586">
        <v>3</v>
      </c>
      <c r="N8" s="586">
        <v>3</v>
      </c>
      <c r="O8" s="587">
        <v>1185</v>
      </c>
      <c r="P8" s="576">
        <f>K8/(O8*12)</f>
        <v>0.92194092827004215</v>
      </c>
      <c r="Q8" s="588">
        <f>L8/(K8+L8)</f>
        <v>0</v>
      </c>
      <c r="R8" s="589">
        <f t="shared" si="0"/>
        <v>12.066666666666666</v>
      </c>
      <c r="S8" s="577">
        <v>12</v>
      </c>
      <c r="T8" s="577">
        <v>4</v>
      </c>
      <c r="U8" s="559" t="s">
        <v>793</v>
      </c>
      <c r="V8" s="534" t="s">
        <v>715</v>
      </c>
      <c r="X8" s="601" t="s">
        <v>590</v>
      </c>
      <c r="Z8" s="608">
        <f>SUMIF(D4:D81,"A",K4:K81)</f>
        <v>252567</v>
      </c>
      <c r="AA8" s="609">
        <f>SUMIF(D4:D81,"B",K4:K81)</f>
        <v>267978</v>
      </c>
      <c r="AB8" s="607" t="s">
        <v>587</v>
      </c>
    </row>
    <row r="9" spans="1:28" ht="24.95" customHeight="1" thickBot="1">
      <c r="A9" s="581">
        <v>11</v>
      </c>
      <c r="B9" s="581">
        <v>3</v>
      </c>
      <c r="C9" s="581" t="s">
        <v>784</v>
      </c>
      <c r="D9" s="581" t="s">
        <v>43</v>
      </c>
      <c r="E9" s="581" t="s">
        <v>42</v>
      </c>
      <c r="F9" s="582">
        <v>1.38</v>
      </c>
      <c r="G9" s="583">
        <v>0.6</v>
      </c>
      <c r="H9" s="584">
        <f>1100*5</f>
        <v>5500</v>
      </c>
      <c r="I9" s="584">
        <f>1081+710+1015+1008+1061+1063+900+609+1041</f>
        <v>8488</v>
      </c>
      <c r="J9" s="585">
        <v>805</v>
      </c>
      <c r="K9" s="585">
        <f>1090+1091+1094+1095+1096*2+1097+1095+1093+1092+1091+1092</f>
        <v>13122</v>
      </c>
      <c r="L9" s="586"/>
      <c r="M9" s="586">
        <v>3</v>
      </c>
      <c r="N9" s="586">
        <v>3</v>
      </c>
      <c r="O9" s="587">
        <v>1185</v>
      </c>
      <c r="P9" s="576">
        <f t="shared" si="1"/>
        <v>0.92278481012658231</v>
      </c>
      <c r="Q9" s="588">
        <f t="shared" si="2"/>
        <v>0</v>
      </c>
      <c r="R9" s="589">
        <f t="shared" si="0"/>
        <v>11.933333333333334</v>
      </c>
      <c r="S9" s="577">
        <v>11</v>
      </c>
      <c r="T9" s="577">
        <v>56</v>
      </c>
      <c r="U9" s="559" t="s">
        <v>795</v>
      </c>
      <c r="V9" s="534" t="s">
        <v>794</v>
      </c>
      <c r="X9" s="601" t="s">
        <v>590</v>
      </c>
      <c r="Z9" s="608">
        <f>SUMIF(D5:D81,"A",K5:K81)</f>
        <v>239450</v>
      </c>
      <c r="AA9" s="609">
        <f>SUMIF(D5:D81,"B",K5:K81)</f>
        <v>267978</v>
      </c>
      <c r="AB9" s="607" t="s">
        <v>587</v>
      </c>
    </row>
    <row r="10" spans="1:28" ht="24.95" customHeight="1" thickBot="1">
      <c r="A10" s="581">
        <v>11</v>
      </c>
      <c r="B10" s="581">
        <v>4</v>
      </c>
      <c r="C10" s="581" t="s">
        <v>805</v>
      </c>
      <c r="D10" s="581" t="s">
        <v>0</v>
      </c>
      <c r="E10" s="581" t="s">
        <v>42</v>
      </c>
      <c r="F10" s="582">
        <v>1.38</v>
      </c>
      <c r="G10" s="583">
        <v>0.6</v>
      </c>
      <c r="H10" s="584">
        <f>1100*4</f>
        <v>4400</v>
      </c>
      <c r="I10" s="584">
        <f>550+880+1035+846+1061+735+1038+1036+882+550</f>
        <v>8613</v>
      </c>
      <c r="J10" s="585">
        <v>805</v>
      </c>
      <c r="K10" s="585">
        <f>1091+1092+1090+1095+1090+1096*2+1092*2+1095*2+1090</f>
        <v>13114</v>
      </c>
      <c r="L10" s="586"/>
      <c r="M10" s="586">
        <v>3</v>
      </c>
      <c r="N10" s="586">
        <v>3</v>
      </c>
      <c r="O10" s="587">
        <v>1185</v>
      </c>
      <c r="P10" s="576">
        <f>K10/(O10*12)</f>
        <v>0.92222222222222228</v>
      </c>
      <c r="Q10" s="588">
        <f>L10/(K10+L10)</f>
        <v>0</v>
      </c>
      <c r="R10" s="589">
        <f t="shared" ref="R10:R15" si="3">S10+T10/60</f>
        <v>11.966666666666667</v>
      </c>
      <c r="S10" s="577">
        <v>11</v>
      </c>
      <c r="T10" s="577">
        <v>58</v>
      </c>
      <c r="U10" s="559" t="s">
        <v>819</v>
      </c>
      <c r="V10" s="534" t="s">
        <v>715</v>
      </c>
      <c r="X10" s="534" t="s">
        <v>591</v>
      </c>
      <c r="Z10" s="598" t="s">
        <v>593</v>
      </c>
      <c r="AA10" s="599" t="s">
        <v>594</v>
      </c>
      <c r="AB10" s="600" t="s">
        <v>595</v>
      </c>
    </row>
    <row r="11" spans="1:28" ht="36.75" customHeight="1" thickBot="1">
      <c r="A11" s="581">
        <v>11</v>
      </c>
      <c r="B11" s="581">
        <v>4</v>
      </c>
      <c r="C11" s="581" t="s">
        <v>805</v>
      </c>
      <c r="D11" s="581" t="s">
        <v>43</v>
      </c>
      <c r="E11" s="581" t="s">
        <v>42</v>
      </c>
      <c r="F11" s="582">
        <v>1.38</v>
      </c>
      <c r="G11" s="583">
        <v>0.6</v>
      </c>
      <c r="H11" s="584">
        <f>1100*5</f>
        <v>5500</v>
      </c>
      <c r="I11" s="584">
        <f>734+1050+1008+1050+949+1022+1039+610+910</f>
        <v>8372</v>
      </c>
      <c r="J11" s="585">
        <v>805</v>
      </c>
      <c r="K11" s="585">
        <f>1090+1092+1095+1096+1097+1095+1096+1094+1093+1091+1092+1091</f>
        <v>13122</v>
      </c>
      <c r="L11" s="586"/>
      <c r="M11" s="586">
        <v>3</v>
      </c>
      <c r="N11" s="586">
        <v>3</v>
      </c>
      <c r="O11" s="587">
        <v>1185</v>
      </c>
      <c r="P11" s="576">
        <f>K11/(O11*12)</f>
        <v>0.92278481012658231</v>
      </c>
      <c r="Q11" s="588">
        <f>L11/(K11+L11)</f>
        <v>0</v>
      </c>
      <c r="R11" s="589">
        <f t="shared" si="3"/>
        <v>11.85</v>
      </c>
      <c r="S11" s="577">
        <v>11</v>
      </c>
      <c r="T11" s="577">
        <v>51</v>
      </c>
      <c r="U11" s="559" t="s">
        <v>820</v>
      </c>
      <c r="V11" s="585" t="s">
        <v>823</v>
      </c>
      <c r="X11" s="534" t="s">
        <v>591</v>
      </c>
      <c r="Z11" s="598" t="s">
        <v>593</v>
      </c>
      <c r="AA11" s="599" t="s">
        <v>594</v>
      </c>
      <c r="AB11" s="600" t="s">
        <v>595</v>
      </c>
    </row>
    <row r="12" spans="1:28" ht="24.95" customHeight="1">
      <c r="A12" s="581">
        <v>11</v>
      </c>
      <c r="B12" s="581">
        <v>5</v>
      </c>
      <c r="C12" s="581" t="s">
        <v>834</v>
      </c>
      <c r="D12" s="581" t="s">
        <v>0</v>
      </c>
      <c r="E12" s="581" t="s">
        <v>42</v>
      </c>
      <c r="F12" s="582">
        <v>1.38</v>
      </c>
      <c r="G12" s="583">
        <v>0.6</v>
      </c>
      <c r="H12" s="584">
        <f>1100*4</f>
        <v>4400</v>
      </c>
      <c r="I12" s="584">
        <f>1061+985+1035+1012+880+923+607+1043+580</f>
        <v>8126</v>
      </c>
      <c r="J12" s="585">
        <v>805</v>
      </c>
      <c r="K12" s="585">
        <f>1090+1094*3+1096+1099+1097+1095+1096*2+1097*2</f>
        <v>13145</v>
      </c>
      <c r="L12" s="586"/>
      <c r="M12" s="586">
        <v>3</v>
      </c>
      <c r="N12" s="586">
        <v>3</v>
      </c>
      <c r="O12" s="587">
        <v>1185</v>
      </c>
      <c r="P12" s="576">
        <f>K12/(O12*12)</f>
        <v>0.92440225035161749</v>
      </c>
      <c r="Q12" s="588">
        <f>L12/(K12+L12)</f>
        <v>0</v>
      </c>
      <c r="R12" s="589">
        <f t="shared" si="3"/>
        <v>11.983333333333333</v>
      </c>
      <c r="S12" s="577">
        <v>11</v>
      </c>
      <c r="T12" s="577">
        <v>59</v>
      </c>
      <c r="U12" s="559" t="s">
        <v>844</v>
      </c>
      <c r="V12" s="534" t="s">
        <v>843</v>
      </c>
      <c r="X12" s="534" t="s">
        <v>429</v>
      </c>
      <c r="Z12" s="604"/>
      <c r="AA12" s="605"/>
      <c r="AB12" s="606" t="s">
        <v>596</v>
      </c>
    </row>
    <row r="13" spans="1:28" ht="24.95" customHeight="1">
      <c r="A13" s="581">
        <v>11</v>
      </c>
      <c r="B13" s="581">
        <v>5</v>
      </c>
      <c r="C13" s="581" t="s">
        <v>834</v>
      </c>
      <c r="D13" s="581" t="s">
        <v>43</v>
      </c>
      <c r="E13" s="581" t="s">
        <v>42</v>
      </c>
      <c r="F13" s="582">
        <v>1.38</v>
      </c>
      <c r="G13" s="583">
        <v>0.6</v>
      </c>
      <c r="H13" s="584">
        <f>1100*5</f>
        <v>5500</v>
      </c>
      <c r="I13" s="584">
        <f>682+900+911+982+1109+1089+1025+1098</f>
        <v>7796</v>
      </c>
      <c r="J13" s="585">
        <v>805</v>
      </c>
      <c r="K13" s="585">
        <f>1090+1093+1090+1091+1095+1096+1094+1090+1096+1095+1090+1093</f>
        <v>13113</v>
      </c>
      <c r="L13" s="586"/>
      <c r="M13" s="586">
        <v>3</v>
      </c>
      <c r="N13" s="586">
        <v>3</v>
      </c>
      <c r="O13" s="587">
        <v>1185</v>
      </c>
      <c r="P13" s="576">
        <f>K13/(O13*12)</f>
        <v>0.92215189873417724</v>
      </c>
      <c r="Q13" s="588">
        <f>L13/(K13+L13)</f>
        <v>0</v>
      </c>
      <c r="R13" s="589">
        <f t="shared" si="3"/>
        <v>11.883333333333333</v>
      </c>
      <c r="S13" s="577">
        <v>11</v>
      </c>
      <c r="T13" s="577">
        <v>53</v>
      </c>
      <c r="U13" s="559" t="s">
        <v>845</v>
      </c>
      <c r="V13" s="534" t="s">
        <v>846</v>
      </c>
      <c r="X13" s="534" t="s">
        <v>429</v>
      </c>
      <c r="Z13" s="604"/>
      <c r="AA13" s="605"/>
      <c r="AB13" s="606" t="s">
        <v>596</v>
      </c>
    </row>
    <row r="14" spans="1:28" ht="24.95" customHeight="1">
      <c r="A14" s="581">
        <v>11</v>
      </c>
      <c r="B14" s="581">
        <v>6</v>
      </c>
      <c r="C14" s="581" t="s">
        <v>859</v>
      </c>
      <c r="D14" s="581" t="s">
        <v>0</v>
      </c>
      <c r="E14" s="581" t="s">
        <v>42</v>
      </c>
      <c r="F14" s="582">
        <v>1.38</v>
      </c>
      <c r="G14" s="583">
        <v>0.6</v>
      </c>
      <c r="H14" s="584"/>
      <c r="I14" s="584"/>
      <c r="J14" s="585">
        <v>805</v>
      </c>
      <c r="K14" s="585">
        <f>1090*2</f>
        <v>2180</v>
      </c>
      <c r="L14" s="586"/>
      <c r="M14" s="586">
        <v>3</v>
      </c>
      <c r="N14" s="586">
        <v>3</v>
      </c>
      <c r="O14" s="587">
        <v>1185</v>
      </c>
      <c r="P14" s="576">
        <f>K14/(O14*12)</f>
        <v>0.15330520393811534</v>
      </c>
      <c r="Q14" s="588">
        <f>L14/(K14+L14)</f>
        <v>0</v>
      </c>
      <c r="R14" s="589">
        <f t="shared" si="3"/>
        <v>2.0499999999999998</v>
      </c>
      <c r="S14" s="577">
        <v>2</v>
      </c>
      <c r="T14" s="577">
        <v>3</v>
      </c>
      <c r="U14" s="590" t="s">
        <v>864</v>
      </c>
      <c r="V14" s="534" t="s">
        <v>715</v>
      </c>
      <c r="X14" s="534" t="s">
        <v>429</v>
      </c>
      <c r="Z14" s="604"/>
      <c r="AA14" s="605"/>
      <c r="AB14" s="606" t="s">
        <v>596</v>
      </c>
    </row>
    <row r="15" spans="1:28" ht="24.95" customHeight="1">
      <c r="A15" s="581">
        <v>11</v>
      </c>
      <c r="B15" s="581">
        <v>6</v>
      </c>
      <c r="C15" s="581" t="s">
        <v>859</v>
      </c>
      <c r="D15" s="581" t="s">
        <v>0</v>
      </c>
      <c r="E15" s="581" t="s">
        <v>42</v>
      </c>
      <c r="F15" s="582">
        <v>1.55</v>
      </c>
      <c r="G15" s="583">
        <v>0.6</v>
      </c>
      <c r="H15" s="584">
        <f>1100*5</f>
        <v>5500</v>
      </c>
      <c r="I15" s="584">
        <f>1039+1038+856+620+735+1012+720+1035+880</f>
        <v>7935</v>
      </c>
      <c r="J15" s="585">
        <v>805</v>
      </c>
      <c r="K15" s="585">
        <f>1092+1095*2+1096+1092+1093+1090+1091+1092</f>
        <v>9836</v>
      </c>
      <c r="L15" s="586"/>
      <c r="M15" s="586">
        <v>3</v>
      </c>
      <c r="N15" s="586">
        <v>3</v>
      </c>
      <c r="O15" s="587">
        <v>1185</v>
      </c>
      <c r="P15" s="576">
        <f t="shared" si="1"/>
        <v>0.69170182841068917</v>
      </c>
      <c r="Q15" s="588">
        <f t="shared" si="2"/>
        <v>0</v>
      </c>
      <c r="R15" s="589">
        <f t="shared" si="3"/>
        <v>8.8333333333333339</v>
      </c>
      <c r="S15" s="577">
        <v>8</v>
      </c>
      <c r="T15" s="577">
        <v>50</v>
      </c>
      <c r="U15" s="590" t="s">
        <v>865</v>
      </c>
      <c r="V15" s="534" t="s">
        <v>715</v>
      </c>
      <c r="X15" s="534" t="s">
        <v>429</v>
      </c>
      <c r="Z15" s="604"/>
      <c r="AA15" s="605"/>
      <c r="AB15" s="606" t="s">
        <v>596</v>
      </c>
    </row>
    <row r="16" spans="1:28" ht="24.95" customHeight="1">
      <c r="A16" s="581">
        <v>11</v>
      </c>
      <c r="B16" s="581">
        <v>6</v>
      </c>
      <c r="C16" s="581" t="s">
        <v>859</v>
      </c>
      <c r="D16" s="581" t="s">
        <v>0</v>
      </c>
      <c r="E16" s="581" t="s">
        <v>42</v>
      </c>
      <c r="F16" s="582">
        <v>1.65</v>
      </c>
      <c r="G16" s="583">
        <v>0.6</v>
      </c>
      <c r="H16" s="584"/>
      <c r="I16" s="584"/>
      <c r="J16" s="585">
        <v>805</v>
      </c>
      <c r="K16" s="585">
        <f>1091</f>
        <v>1091</v>
      </c>
      <c r="L16" s="586"/>
      <c r="M16" s="586">
        <v>3</v>
      </c>
      <c r="N16" s="586">
        <v>3</v>
      </c>
      <c r="O16" s="587">
        <v>1185</v>
      </c>
      <c r="P16" s="576">
        <f t="shared" si="1"/>
        <v>7.6722925457102673E-2</v>
      </c>
      <c r="Q16" s="588">
        <f t="shared" si="2"/>
        <v>0</v>
      </c>
      <c r="R16" s="589">
        <f t="shared" ref="R16:R22" si="4">S16+T16/60</f>
        <v>0.98333333333333328</v>
      </c>
      <c r="S16" s="577">
        <v>0</v>
      </c>
      <c r="T16" s="577">
        <v>59</v>
      </c>
      <c r="U16" s="559" t="s">
        <v>866</v>
      </c>
      <c r="V16" s="534" t="s">
        <v>715</v>
      </c>
      <c r="X16" s="534" t="s">
        <v>429</v>
      </c>
      <c r="Z16" s="604"/>
      <c r="AA16" s="605"/>
      <c r="AB16" s="606" t="s">
        <v>596</v>
      </c>
    </row>
    <row r="17" spans="1:28" ht="24.95" customHeight="1">
      <c r="A17" s="581">
        <v>11</v>
      </c>
      <c r="B17" s="581">
        <v>6</v>
      </c>
      <c r="C17" s="581" t="s">
        <v>859</v>
      </c>
      <c r="D17" s="581" t="s">
        <v>43</v>
      </c>
      <c r="E17" s="581" t="s">
        <v>42</v>
      </c>
      <c r="F17" s="582">
        <v>1.65</v>
      </c>
      <c r="G17" s="583">
        <v>0.6</v>
      </c>
      <c r="H17" s="584">
        <f>1100*5</f>
        <v>5500</v>
      </c>
      <c r="I17" s="584">
        <f>1060+920+1051+902+1028+840+1045+1010+600+966</f>
        <v>9422</v>
      </c>
      <c r="J17" s="585">
        <v>805</v>
      </c>
      <c r="K17" s="585">
        <f>1090+1095+1094+1093+1092+1095+1096+1094+1092+1091+1092+1095+1096</f>
        <v>14215</v>
      </c>
      <c r="L17" s="586"/>
      <c r="M17" s="586">
        <v>3</v>
      </c>
      <c r="N17" s="586">
        <v>3</v>
      </c>
      <c r="O17" s="587">
        <v>1185</v>
      </c>
      <c r="P17" s="576">
        <f>K17/(O17*12)</f>
        <v>0.99964838255977495</v>
      </c>
      <c r="Q17" s="588">
        <f>L17/(K17+L17)</f>
        <v>0</v>
      </c>
      <c r="R17" s="589">
        <f t="shared" si="4"/>
        <v>12.283333333333333</v>
      </c>
      <c r="S17" s="577">
        <v>12</v>
      </c>
      <c r="T17" s="577">
        <v>17</v>
      </c>
      <c r="U17" s="559" t="s">
        <v>867</v>
      </c>
      <c r="V17" s="534" t="s">
        <v>868</v>
      </c>
      <c r="X17" s="534" t="s">
        <v>429</v>
      </c>
      <c r="Z17" s="604"/>
      <c r="AA17" s="605"/>
      <c r="AB17" s="606" t="s">
        <v>596</v>
      </c>
    </row>
    <row r="18" spans="1:28" ht="24.95" customHeight="1">
      <c r="A18" s="581">
        <v>11</v>
      </c>
      <c r="B18" s="581">
        <v>7</v>
      </c>
      <c r="C18" s="581" t="s">
        <v>888</v>
      </c>
      <c r="D18" s="581" t="s">
        <v>0</v>
      </c>
      <c r="E18" s="581" t="s">
        <v>42</v>
      </c>
      <c r="F18" s="582">
        <v>1.65</v>
      </c>
      <c r="G18" s="583">
        <v>0.6</v>
      </c>
      <c r="H18" s="584"/>
      <c r="I18" s="584"/>
      <c r="J18" s="585">
        <v>805</v>
      </c>
      <c r="K18" s="585">
        <f>1090+1092+1095+1094+1096</f>
        <v>5467</v>
      </c>
      <c r="L18" s="586"/>
      <c r="M18" s="586">
        <v>3</v>
      </c>
      <c r="N18" s="586">
        <v>3</v>
      </c>
      <c r="O18" s="587">
        <v>1185</v>
      </c>
      <c r="P18" s="576">
        <f>K18/(O18*12)</f>
        <v>0.38445850914205343</v>
      </c>
      <c r="Q18" s="588">
        <f>L18/(K18+L18)</f>
        <v>0</v>
      </c>
      <c r="R18" s="589">
        <f t="shared" si="4"/>
        <v>4.833333333333333</v>
      </c>
      <c r="S18" s="577">
        <v>4</v>
      </c>
      <c r="T18" s="577">
        <v>50</v>
      </c>
      <c r="U18" s="559" t="s">
        <v>893</v>
      </c>
      <c r="V18" s="534" t="s">
        <v>715</v>
      </c>
      <c r="X18" s="534" t="s">
        <v>429</v>
      </c>
      <c r="Z18" s="604"/>
      <c r="AA18" s="605"/>
      <c r="AB18" s="606" t="s">
        <v>596</v>
      </c>
    </row>
    <row r="19" spans="1:28" ht="24.95" customHeight="1">
      <c r="A19" s="581">
        <v>11</v>
      </c>
      <c r="B19" s="581">
        <v>7</v>
      </c>
      <c r="C19" s="581" t="s">
        <v>888</v>
      </c>
      <c r="D19" s="581" t="s">
        <v>0</v>
      </c>
      <c r="E19" s="581" t="s">
        <v>42</v>
      </c>
      <c r="F19" s="582">
        <v>1.55</v>
      </c>
      <c r="G19" s="583">
        <v>0.5</v>
      </c>
      <c r="H19" s="584">
        <f>1100*5</f>
        <v>5500</v>
      </c>
      <c r="I19" s="584">
        <f>1035+826+1036+1051+1002+622+1050+687+880</f>
        <v>8189</v>
      </c>
      <c r="J19" s="585">
        <v>805</v>
      </c>
      <c r="K19" s="585">
        <f>1090+1095*2+1096*2+1090*2</f>
        <v>7652</v>
      </c>
      <c r="L19" s="586"/>
      <c r="M19" s="586">
        <v>3</v>
      </c>
      <c r="N19" s="586">
        <v>3</v>
      </c>
      <c r="O19" s="587">
        <v>1185</v>
      </c>
      <c r="P19" s="576">
        <f>K19/(O19*12)</f>
        <v>0.53811533052039384</v>
      </c>
      <c r="Q19" s="588">
        <f>L19/(K19+L19)</f>
        <v>0</v>
      </c>
      <c r="R19" s="589">
        <f t="shared" si="4"/>
        <v>6.8</v>
      </c>
      <c r="S19" s="577">
        <v>6</v>
      </c>
      <c r="T19" s="577">
        <v>48</v>
      </c>
      <c r="U19" s="559" t="s">
        <v>894</v>
      </c>
      <c r="V19" s="534" t="s">
        <v>715</v>
      </c>
      <c r="X19" s="534" t="s">
        <v>429</v>
      </c>
      <c r="Z19" s="604"/>
      <c r="AA19" s="605"/>
      <c r="AB19" s="606" t="s">
        <v>596</v>
      </c>
    </row>
    <row r="20" spans="1:28" ht="24.95" customHeight="1">
      <c r="A20" s="581">
        <v>11</v>
      </c>
      <c r="B20" s="581">
        <v>7</v>
      </c>
      <c r="C20" s="581" t="s">
        <v>888</v>
      </c>
      <c r="D20" s="581" t="s">
        <v>43</v>
      </c>
      <c r="E20" s="581" t="s">
        <v>42</v>
      </c>
      <c r="F20" s="582">
        <v>1.55</v>
      </c>
      <c r="G20" s="583">
        <v>0.5</v>
      </c>
      <c r="H20" s="584">
        <f>1100*5</f>
        <v>5500</v>
      </c>
      <c r="I20" s="584">
        <f>1022+620+1030+650+967+1057+1008+1045+850</f>
        <v>8249</v>
      </c>
      <c r="J20" s="585">
        <v>805</v>
      </c>
      <c r="K20" s="585">
        <f>1090+1094+1092+1091+1093+1095+1096+1095+1093+1090+1091+1092</f>
        <v>13112</v>
      </c>
      <c r="L20" s="586"/>
      <c r="M20" s="586">
        <v>3</v>
      </c>
      <c r="N20" s="586">
        <v>3</v>
      </c>
      <c r="O20" s="587">
        <v>1185</v>
      </c>
      <c r="P20" s="576">
        <f t="shared" si="1"/>
        <v>0.92208157524613221</v>
      </c>
      <c r="Q20" s="588">
        <f t="shared" si="2"/>
        <v>0</v>
      </c>
      <c r="R20" s="589">
        <f t="shared" si="4"/>
        <v>12.466666666666667</v>
      </c>
      <c r="S20" s="577">
        <v>12</v>
      </c>
      <c r="T20" s="577">
        <v>28</v>
      </c>
      <c r="U20" s="559" t="s">
        <v>895</v>
      </c>
      <c r="V20" s="534" t="s">
        <v>716</v>
      </c>
      <c r="X20" s="534" t="s">
        <v>429</v>
      </c>
      <c r="Z20" s="604"/>
      <c r="AA20" s="605"/>
      <c r="AB20" s="606" t="s">
        <v>596</v>
      </c>
    </row>
    <row r="21" spans="1:28" ht="50.25" customHeight="1">
      <c r="A21" s="581">
        <v>11</v>
      </c>
      <c r="B21" s="581">
        <v>8</v>
      </c>
      <c r="C21" s="581" t="s">
        <v>908</v>
      </c>
      <c r="D21" s="581" t="s">
        <v>0</v>
      </c>
      <c r="E21" s="581" t="s">
        <v>42</v>
      </c>
      <c r="F21" s="582">
        <v>1.55</v>
      </c>
      <c r="G21" s="583">
        <v>0.5</v>
      </c>
      <c r="H21" s="584">
        <f>1100*4</f>
        <v>4400</v>
      </c>
      <c r="I21" s="584">
        <f>1036+1040+1037+860+1002+1039</f>
        <v>6014</v>
      </c>
      <c r="J21" s="585">
        <v>805</v>
      </c>
      <c r="K21" s="585">
        <f>1090+1092*2+1095*2+1099+1098*2+1097</f>
        <v>9856</v>
      </c>
      <c r="L21" s="586">
        <f>92</f>
        <v>92</v>
      </c>
      <c r="M21" s="586">
        <v>3</v>
      </c>
      <c r="N21" s="586">
        <v>3</v>
      </c>
      <c r="O21" s="587">
        <v>1185</v>
      </c>
      <c r="P21" s="576">
        <f t="shared" si="1"/>
        <v>0.69310829817158937</v>
      </c>
      <c r="Q21" s="588">
        <f t="shared" si="2"/>
        <v>9.2480900683554485E-3</v>
      </c>
      <c r="R21" s="589">
        <f t="shared" si="4"/>
        <v>8.7333333333333325</v>
      </c>
      <c r="S21" s="577">
        <v>8</v>
      </c>
      <c r="T21" s="577">
        <v>44</v>
      </c>
      <c r="U21" s="559" t="s">
        <v>915</v>
      </c>
      <c r="V21" s="534" t="s">
        <v>715</v>
      </c>
      <c r="X21" s="534" t="s">
        <v>429</v>
      </c>
      <c r="Z21" s="604"/>
      <c r="AA21" s="605"/>
      <c r="AB21" s="606" t="s">
        <v>596</v>
      </c>
    </row>
    <row r="22" spans="1:28" ht="24.95" customHeight="1">
      <c r="A22" s="581">
        <v>11</v>
      </c>
      <c r="B22" s="581">
        <v>8</v>
      </c>
      <c r="C22" s="581" t="s">
        <v>908</v>
      </c>
      <c r="D22" s="581" t="s">
        <v>43</v>
      </c>
      <c r="E22" s="581" t="s">
        <v>42</v>
      </c>
      <c r="F22" s="582">
        <v>1.55</v>
      </c>
      <c r="G22" s="583">
        <v>0.5</v>
      </c>
      <c r="H22" s="584">
        <f>1100*5</f>
        <v>5500</v>
      </c>
      <c r="I22" s="584">
        <f>623+620+1052+1033+809+1001+1042+950</f>
        <v>7130</v>
      </c>
      <c r="J22" s="585">
        <v>805</v>
      </c>
      <c r="K22" s="534">
        <f>1090+1091+1095+1096+1094+1097+1095+1093+1092+1090+1092+1091</f>
        <v>13116</v>
      </c>
      <c r="L22" s="586"/>
      <c r="M22" s="586">
        <v>3</v>
      </c>
      <c r="N22" s="586">
        <v>3</v>
      </c>
      <c r="O22" s="587">
        <v>1185</v>
      </c>
      <c r="P22" s="576">
        <f t="shared" si="1"/>
        <v>0.92236286919831223</v>
      </c>
      <c r="Q22" s="588">
        <f t="shared" si="2"/>
        <v>0</v>
      </c>
      <c r="R22" s="589">
        <f t="shared" si="4"/>
        <v>11.566666666666666</v>
      </c>
      <c r="S22" s="577">
        <v>11</v>
      </c>
      <c r="T22" s="577">
        <v>34</v>
      </c>
      <c r="U22" s="559" t="s">
        <v>916</v>
      </c>
      <c r="V22" s="534" t="s">
        <v>716</v>
      </c>
      <c r="X22" s="534" t="s">
        <v>592</v>
      </c>
    </row>
    <row r="23" spans="1:28" ht="24.95" customHeight="1">
      <c r="A23" s="581">
        <v>11</v>
      </c>
      <c r="B23" s="581">
        <v>9</v>
      </c>
      <c r="C23" s="581" t="s">
        <v>929</v>
      </c>
      <c r="D23" s="581" t="s">
        <v>0</v>
      </c>
      <c r="E23" s="581" t="s">
        <v>42</v>
      </c>
      <c r="F23" s="582">
        <v>1.55</v>
      </c>
      <c r="G23" s="583">
        <v>0.5</v>
      </c>
      <c r="H23" s="584">
        <f>1100*6</f>
        <v>6600</v>
      </c>
      <c r="I23" s="584">
        <f>1035+621+1069+1039+605+880+680+1035</f>
        <v>6964</v>
      </c>
      <c r="J23" s="585">
        <v>805</v>
      </c>
      <c r="K23" s="534">
        <f>1090+1094+1095+1093+1094*2+1092+1095+1092+1095*2+1092</f>
        <v>13121</v>
      </c>
      <c r="L23" s="586"/>
      <c r="M23" s="586">
        <v>3</v>
      </c>
      <c r="N23" s="586">
        <v>3</v>
      </c>
      <c r="O23" s="587">
        <v>1185</v>
      </c>
      <c r="P23" s="576">
        <f>K23/(O23*12)</f>
        <v>0.92271448663853728</v>
      </c>
      <c r="Q23" s="588">
        <f>L23/(K23+L23)</f>
        <v>0</v>
      </c>
      <c r="R23" s="589">
        <f t="shared" ref="R23:R28" si="5">S23+T23/60</f>
        <v>11.766666666666667</v>
      </c>
      <c r="S23" s="577">
        <v>11</v>
      </c>
      <c r="T23" s="577">
        <v>46</v>
      </c>
      <c r="U23" s="559" t="s">
        <v>934</v>
      </c>
      <c r="V23" s="534" t="s">
        <v>715</v>
      </c>
    </row>
    <row r="24" spans="1:28" ht="24.95" customHeight="1">
      <c r="A24" s="581">
        <v>11</v>
      </c>
      <c r="B24" s="581">
        <v>9</v>
      </c>
      <c r="C24" s="581" t="s">
        <v>929</v>
      </c>
      <c r="D24" s="581" t="s">
        <v>43</v>
      </c>
      <c r="E24" s="581" t="s">
        <v>42</v>
      </c>
      <c r="F24" s="582">
        <v>1.55</v>
      </c>
      <c r="G24" s="583">
        <v>0.5</v>
      </c>
      <c r="H24" s="584">
        <f>1100*5</f>
        <v>5500</v>
      </c>
      <c r="I24" s="584">
        <f>832+1035+945+1052+1040+824+1040+850</f>
        <v>7618</v>
      </c>
      <c r="J24" s="585">
        <v>805</v>
      </c>
      <c r="K24" s="534">
        <f>1090+1092+1091+1093+1096+1095+1097+1096+1094+1092+1090+1091+1092</f>
        <v>14209</v>
      </c>
      <c r="L24" s="586"/>
      <c r="M24" s="586">
        <v>3</v>
      </c>
      <c r="N24" s="586">
        <v>3</v>
      </c>
      <c r="O24" s="587">
        <v>1185</v>
      </c>
      <c r="P24" s="576">
        <f t="shared" si="1"/>
        <v>0.99922644163150487</v>
      </c>
      <c r="Q24" s="588">
        <f t="shared" si="2"/>
        <v>0</v>
      </c>
      <c r="R24" s="589">
        <f t="shared" si="5"/>
        <v>12.4</v>
      </c>
      <c r="S24" s="577">
        <v>12</v>
      </c>
      <c r="T24" s="577">
        <v>24</v>
      </c>
      <c r="U24" s="559" t="s">
        <v>935</v>
      </c>
      <c r="V24" s="534" t="s">
        <v>716</v>
      </c>
    </row>
    <row r="25" spans="1:28" ht="24.95" customHeight="1">
      <c r="A25" s="581">
        <v>11</v>
      </c>
      <c r="B25" s="581">
        <v>10</v>
      </c>
      <c r="C25" s="581" t="s">
        <v>954</v>
      </c>
      <c r="D25" s="581" t="s">
        <v>0</v>
      </c>
      <c r="E25" s="581" t="s">
        <v>42</v>
      </c>
      <c r="F25" s="582">
        <v>1.55</v>
      </c>
      <c r="G25" s="583">
        <v>0.5</v>
      </c>
      <c r="H25" s="584">
        <f>1100*6</f>
        <v>6600</v>
      </c>
      <c r="I25" s="584">
        <f>983+1040+723+1042+1065+1036+1001+1040+880</f>
        <v>8810</v>
      </c>
      <c r="J25" s="585">
        <v>805</v>
      </c>
      <c r="K25" s="534">
        <f>1090+1092*2+1095*2+1096*2+1090+1091+1095+1090+1095</f>
        <v>13117</v>
      </c>
      <c r="L25" s="586"/>
      <c r="M25" s="586">
        <v>3</v>
      </c>
      <c r="N25" s="586">
        <v>3</v>
      </c>
      <c r="O25" s="587">
        <v>1185</v>
      </c>
      <c r="P25" s="576">
        <f t="shared" si="1"/>
        <v>0.92243319268635726</v>
      </c>
      <c r="Q25" s="588">
        <f t="shared" si="2"/>
        <v>0</v>
      </c>
      <c r="R25" s="589">
        <f t="shared" si="5"/>
        <v>11.833333333333334</v>
      </c>
      <c r="S25" s="577">
        <v>11</v>
      </c>
      <c r="T25" s="577">
        <v>50</v>
      </c>
      <c r="U25" s="559" t="s">
        <v>959</v>
      </c>
      <c r="V25" s="534" t="s">
        <v>715</v>
      </c>
    </row>
    <row r="26" spans="1:28" ht="37.5" customHeight="1">
      <c r="A26" s="581">
        <v>11</v>
      </c>
      <c r="B26" s="581">
        <v>10</v>
      </c>
      <c r="C26" s="581" t="s">
        <v>954</v>
      </c>
      <c r="D26" s="581" t="s">
        <v>43</v>
      </c>
      <c r="E26" s="581" t="s">
        <v>42</v>
      </c>
      <c r="F26" s="582">
        <v>1.55</v>
      </c>
      <c r="G26" s="583">
        <v>0.5</v>
      </c>
      <c r="H26" s="584">
        <f>1100*4</f>
        <v>4400</v>
      </c>
      <c r="I26" s="584">
        <f>1045+1000+1040+610+1046+1016+618+821</f>
        <v>7196</v>
      </c>
      <c r="J26" s="585">
        <v>805</v>
      </c>
      <c r="K26" s="534">
        <f>1090+1092+1091+1093+1095+1096+1094+1095+1092+1091+1092+1095+1092</f>
        <v>14208</v>
      </c>
      <c r="L26" s="586"/>
      <c r="M26" s="586">
        <v>3</v>
      </c>
      <c r="N26" s="586">
        <v>3</v>
      </c>
      <c r="O26" s="587">
        <v>1185</v>
      </c>
      <c r="P26" s="576">
        <f>K26/(O26*12)</f>
        <v>0.99915611814345995</v>
      </c>
      <c r="Q26" s="588">
        <f>L26/(K26+L26)</f>
        <v>0</v>
      </c>
      <c r="R26" s="589">
        <f t="shared" si="5"/>
        <v>12.166666666666666</v>
      </c>
      <c r="S26" s="577">
        <v>12</v>
      </c>
      <c r="T26" s="577">
        <v>10</v>
      </c>
      <c r="U26" s="559" t="s">
        <v>935</v>
      </c>
      <c r="V26" s="585" t="s">
        <v>986</v>
      </c>
    </row>
    <row r="27" spans="1:28" ht="24.95" customHeight="1">
      <c r="A27" s="434">
        <v>11</v>
      </c>
      <c r="B27" s="434">
        <v>11</v>
      </c>
      <c r="C27" s="581" t="s">
        <v>670</v>
      </c>
      <c r="D27" s="581" t="s">
        <v>0</v>
      </c>
      <c r="E27" s="581" t="s">
        <v>42</v>
      </c>
      <c r="F27" s="582"/>
      <c r="G27" s="583" t="s">
        <v>633</v>
      </c>
      <c r="H27" s="584"/>
      <c r="I27" s="584"/>
      <c r="J27" s="585"/>
      <c r="K27" s="534"/>
      <c r="L27" s="586"/>
      <c r="M27" s="586"/>
      <c r="N27" s="586"/>
      <c r="O27" s="587">
        <v>1185</v>
      </c>
      <c r="P27" s="576">
        <f>K27/(O27*12)</f>
        <v>0</v>
      </c>
      <c r="Q27" s="588" t="e">
        <f>L27/(K27+L27)</f>
        <v>#DIV/0!</v>
      </c>
      <c r="R27" s="589">
        <f t="shared" si="5"/>
        <v>0</v>
      </c>
      <c r="S27" s="577"/>
      <c r="T27" s="577"/>
      <c r="U27" s="590"/>
      <c r="V27" s="534"/>
    </row>
    <row r="28" spans="1:28" ht="24.95" customHeight="1">
      <c r="A28" s="434">
        <v>11</v>
      </c>
      <c r="B28" s="434">
        <v>11</v>
      </c>
      <c r="C28" s="581" t="s">
        <v>670</v>
      </c>
      <c r="D28" s="581" t="s">
        <v>43</v>
      </c>
      <c r="E28" s="581" t="s">
        <v>42</v>
      </c>
      <c r="F28" s="582"/>
      <c r="G28" s="583" t="s">
        <v>633</v>
      </c>
      <c r="H28" s="584"/>
      <c r="I28" s="584"/>
      <c r="J28" s="585"/>
      <c r="K28" s="534"/>
      <c r="L28" s="586"/>
      <c r="M28" s="586"/>
      <c r="N28" s="586"/>
      <c r="O28" s="587">
        <v>1185</v>
      </c>
      <c r="P28" s="576">
        <f t="shared" si="1"/>
        <v>0</v>
      </c>
      <c r="Q28" s="588" t="e">
        <f t="shared" si="2"/>
        <v>#DIV/0!</v>
      </c>
      <c r="R28" s="589">
        <f t="shared" si="5"/>
        <v>0</v>
      </c>
      <c r="S28" s="577"/>
      <c r="T28" s="577"/>
      <c r="U28" s="590"/>
      <c r="V28" s="534"/>
    </row>
    <row r="29" spans="1:28" ht="24.95" customHeight="1">
      <c r="A29" s="434">
        <v>11</v>
      </c>
      <c r="B29" s="434">
        <v>12</v>
      </c>
      <c r="C29" s="581" t="s">
        <v>671</v>
      </c>
      <c r="D29" s="581" t="s">
        <v>0</v>
      </c>
      <c r="E29" s="581" t="s">
        <v>42</v>
      </c>
      <c r="F29" s="582"/>
      <c r="G29" s="583" t="s">
        <v>633</v>
      </c>
      <c r="H29" s="584"/>
      <c r="I29" s="584"/>
      <c r="J29" s="585"/>
      <c r="K29" s="534"/>
      <c r="L29" s="586"/>
      <c r="M29" s="586"/>
      <c r="N29" s="586"/>
      <c r="O29" s="587">
        <v>1185</v>
      </c>
      <c r="P29" s="576">
        <f t="shared" si="1"/>
        <v>0</v>
      </c>
      <c r="Q29" s="588" t="e">
        <f t="shared" si="2"/>
        <v>#DIV/0!</v>
      </c>
      <c r="R29" s="589">
        <f t="shared" ref="R29:R59" si="6">S29+T29/60</f>
        <v>0</v>
      </c>
      <c r="S29" s="577"/>
      <c r="T29" s="577"/>
      <c r="U29" s="590"/>
      <c r="V29" s="534"/>
    </row>
    <row r="30" spans="1:28" ht="24.95" customHeight="1">
      <c r="A30" s="434">
        <v>11</v>
      </c>
      <c r="B30" s="434">
        <v>12</v>
      </c>
      <c r="C30" s="581" t="s">
        <v>671</v>
      </c>
      <c r="D30" s="581" t="s">
        <v>43</v>
      </c>
      <c r="E30" s="581" t="s">
        <v>42</v>
      </c>
      <c r="F30" s="582"/>
      <c r="G30" s="583" t="s">
        <v>633</v>
      </c>
      <c r="H30" s="584"/>
      <c r="I30" s="584"/>
      <c r="J30" s="584"/>
      <c r="K30" s="585"/>
      <c r="L30" s="534"/>
      <c r="M30" s="586"/>
      <c r="N30" s="586"/>
      <c r="O30" s="587">
        <v>1185</v>
      </c>
      <c r="P30" s="576">
        <f t="shared" si="1"/>
        <v>0</v>
      </c>
      <c r="Q30" s="588" t="e">
        <f>L30/(K30+L30)</f>
        <v>#DIV/0!</v>
      </c>
      <c r="R30" s="589">
        <f t="shared" si="6"/>
        <v>0</v>
      </c>
      <c r="S30" s="577"/>
      <c r="T30" s="577"/>
      <c r="U30" s="590"/>
      <c r="V30" s="534"/>
    </row>
    <row r="31" spans="1:28" ht="31.5" customHeight="1">
      <c r="A31" s="434">
        <v>11</v>
      </c>
      <c r="B31" s="434">
        <v>13</v>
      </c>
      <c r="C31" s="581" t="s">
        <v>974</v>
      </c>
      <c r="D31" s="581" t="s">
        <v>0</v>
      </c>
      <c r="E31" s="581" t="s">
        <v>42</v>
      </c>
      <c r="F31" s="582">
        <v>1.5</v>
      </c>
      <c r="G31" s="583">
        <v>0.5</v>
      </c>
      <c r="H31" s="584">
        <f>1100*4</f>
        <v>4400</v>
      </c>
      <c r="I31" s="584">
        <f>654+1056+100+1006+634+798+880</f>
        <v>5128</v>
      </c>
      <c r="J31" s="585">
        <v>805</v>
      </c>
      <c r="K31" s="534">
        <f>1090+1095+1092*2+1095+1096+1093+1090*2</f>
        <v>9833</v>
      </c>
      <c r="L31" s="586">
        <f>93</f>
        <v>93</v>
      </c>
      <c r="M31" s="586">
        <v>3</v>
      </c>
      <c r="N31" s="586">
        <v>3</v>
      </c>
      <c r="O31" s="587">
        <v>1185</v>
      </c>
      <c r="P31" s="576">
        <f t="shared" si="1"/>
        <v>0.69149085794655418</v>
      </c>
      <c r="Q31" s="588">
        <f t="shared" si="2"/>
        <v>9.3693330646786224E-3</v>
      </c>
      <c r="R31" s="589">
        <f t="shared" si="6"/>
        <v>8.6</v>
      </c>
      <c r="S31" s="577">
        <v>8</v>
      </c>
      <c r="T31" s="577">
        <v>36</v>
      </c>
      <c r="U31" s="559" t="s">
        <v>984</v>
      </c>
      <c r="V31" s="534" t="s">
        <v>715</v>
      </c>
    </row>
    <row r="32" spans="1:28" ht="24.95" customHeight="1">
      <c r="A32" s="434">
        <v>11</v>
      </c>
      <c r="B32" s="434">
        <v>13</v>
      </c>
      <c r="C32" s="581" t="s">
        <v>974</v>
      </c>
      <c r="D32" s="581" t="s">
        <v>43</v>
      </c>
      <c r="E32" s="581" t="s">
        <v>42</v>
      </c>
      <c r="F32" s="582">
        <v>1.5</v>
      </c>
      <c r="G32" s="583">
        <v>0.5</v>
      </c>
      <c r="H32" s="584"/>
      <c r="I32" s="584"/>
      <c r="J32" s="585">
        <v>805</v>
      </c>
      <c r="K32" s="534">
        <f>1090+1091</f>
        <v>2181</v>
      </c>
      <c r="L32" s="586"/>
      <c r="M32" s="586">
        <v>3</v>
      </c>
      <c r="N32" s="586">
        <v>3</v>
      </c>
      <c r="O32" s="587">
        <v>1185</v>
      </c>
      <c r="P32" s="576">
        <f t="shared" si="1"/>
        <v>0.15337552742616034</v>
      </c>
      <c r="Q32" s="588">
        <f t="shared" si="2"/>
        <v>0</v>
      </c>
      <c r="R32" s="589">
        <f t="shared" si="6"/>
        <v>2.0833333333333335</v>
      </c>
      <c r="S32" s="577">
        <v>2</v>
      </c>
      <c r="T32" s="577">
        <v>5</v>
      </c>
      <c r="U32" s="590" t="s">
        <v>985</v>
      </c>
      <c r="V32" s="534" t="s">
        <v>987</v>
      </c>
    </row>
    <row r="33" spans="1:28" ht="24.95" customHeight="1">
      <c r="A33" s="434">
        <v>11</v>
      </c>
      <c r="B33" s="434">
        <v>13</v>
      </c>
      <c r="C33" s="581" t="s">
        <v>974</v>
      </c>
      <c r="D33" s="581" t="s">
        <v>43</v>
      </c>
      <c r="E33" s="581" t="s">
        <v>42</v>
      </c>
      <c r="F33" s="582">
        <v>1.1499999999999999</v>
      </c>
      <c r="G33" s="583">
        <v>0.5</v>
      </c>
      <c r="H33" s="584">
        <f>1100*6</f>
        <v>6600</v>
      </c>
      <c r="I33" s="584">
        <f>900+1011+655+1010+1035+1052+601+1039</f>
        <v>7303</v>
      </c>
      <c r="J33" s="585">
        <v>805</v>
      </c>
      <c r="K33" s="534">
        <f>1092+1093+1095+1094+1096+1095+1092+1090+1091+1092</f>
        <v>10930</v>
      </c>
      <c r="L33" s="586"/>
      <c r="M33" s="586">
        <v>3</v>
      </c>
      <c r="N33" s="586">
        <v>3</v>
      </c>
      <c r="O33" s="587">
        <v>1185</v>
      </c>
      <c r="P33" s="576">
        <f>K33/(O33*12)</f>
        <v>0.76863572433192684</v>
      </c>
      <c r="Q33" s="588">
        <f>L33/(K33+L33)</f>
        <v>0</v>
      </c>
      <c r="R33" s="589">
        <f t="shared" si="6"/>
        <v>9.9499999999999993</v>
      </c>
      <c r="S33" s="577">
        <v>9</v>
      </c>
      <c r="T33" s="577">
        <v>57</v>
      </c>
      <c r="U33" s="559" t="s">
        <v>988</v>
      </c>
      <c r="V33" s="534" t="s">
        <v>987</v>
      </c>
      <c r="AB33" s="533"/>
    </row>
    <row r="34" spans="1:28" ht="24.95" customHeight="1">
      <c r="A34" s="434">
        <v>11</v>
      </c>
      <c r="B34" s="434">
        <v>14</v>
      </c>
      <c r="C34" s="581" t="s">
        <v>1001</v>
      </c>
      <c r="D34" s="581" t="s">
        <v>0</v>
      </c>
      <c r="E34" s="581" t="s">
        <v>42</v>
      </c>
      <c r="F34" s="582">
        <v>1.1499999999999999</v>
      </c>
      <c r="G34" s="583">
        <v>0.5</v>
      </c>
      <c r="H34" s="584">
        <f>1100*5</f>
        <v>5500</v>
      </c>
      <c r="I34" s="584">
        <f>670+1041+945+990+1045+1023+1041+623+890+1046</f>
        <v>9314</v>
      </c>
      <c r="J34" s="585">
        <v>805</v>
      </c>
      <c r="K34" s="534">
        <f>1090+1092*2+1095*2+1096+1092+1090+1092*2+1095*2</f>
        <v>13116</v>
      </c>
      <c r="L34" s="586"/>
      <c r="M34" s="586">
        <v>3</v>
      </c>
      <c r="N34" s="586">
        <v>3</v>
      </c>
      <c r="O34" s="587">
        <v>1185</v>
      </c>
      <c r="P34" s="576">
        <f t="shared" si="1"/>
        <v>0.92236286919831223</v>
      </c>
      <c r="Q34" s="588">
        <f t="shared" si="2"/>
        <v>0</v>
      </c>
      <c r="R34" s="589">
        <f t="shared" si="6"/>
        <v>12.016666666666667</v>
      </c>
      <c r="S34" s="577">
        <v>12</v>
      </c>
      <c r="T34" s="577">
        <v>1</v>
      </c>
      <c r="U34" s="590" t="s">
        <v>1008</v>
      </c>
      <c r="V34" s="534" t="s">
        <v>715</v>
      </c>
      <c r="AB34" s="533"/>
    </row>
    <row r="35" spans="1:28" ht="24.95" customHeight="1">
      <c r="A35" s="434">
        <v>11</v>
      </c>
      <c r="B35" s="434">
        <v>14</v>
      </c>
      <c r="C35" s="581" t="s">
        <v>1001</v>
      </c>
      <c r="D35" s="581" t="s">
        <v>43</v>
      </c>
      <c r="E35" s="581" t="s">
        <v>42</v>
      </c>
      <c r="F35" s="582">
        <v>1.1499999999999999</v>
      </c>
      <c r="G35" s="583">
        <v>0.5</v>
      </c>
      <c r="H35" s="584"/>
      <c r="I35" s="584"/>
      <c r="J35" s="585">
        <v>805</v>
      </c>
      <c r="K35" s="534">
        <f>1090+1095+1097</f>
        <v>3282</v>
      </c>
      <c r="L35" s="586"/>
      <c r="M35" s="586">
        <v>3</v>
      </c>
      <c r="N35" s="586">
        <v>3</v>
      </c>
      <c r="O35" s="587">
        <v>1185</v>
      </c>
      <c r="P35" s="576">
        <f t="shared" si="1"/>
        <v>0.23080168776371307</v>
      </c>
      <c r="Q35" s="588">
        <f t="shared" si="2"/>
        <v>0</v>
      </c>
      <c r="R35" s="589">
        <f t="shared" si="6"/>
        <v>3.0166666666666666</v>
      </c>
      <c r="S35" s="577">
        <v>3</v>
      </c>
      <c r="T35" s="577">
        <v>1</v>
      </c>
      <c r="U35" s="590" t="s">
        <v>1009</v>
      </c>
      <c r="V35" s="534" t="s">
        <v>794</v>
      </c>
      <c r="AB35" s="533"/>
    </row>
    <row r="36" spans="1:28" ht="24.95" customHeight="1">
      <c r="A36" s="434">
        <v>11</v>
      </c>
      <c r="B36" s="434">
        <v>14</v>
      </c>
      <c r="C36" s="581" t="s">
        <v>1001</v>
      </c>
      <c r="D36" s="581" t="s">
        <v>43</v>
      </c>
      <c r="E36" s="581" t="s">
        <v>42</v>
      </c>
      <c r="F36" s="582">
        <v>1.5</v>
      </c>
      <c r="G36" s="583">
        <v>0.5</v>
      </c>
      <c r="H36" s="584">
        <f>1100*4</f>
        <v>4400</v>
      </c>
      <c r="I36" s="584">
        <f>1046+1066+1027+610+695+1034+950+840+1052</f>
        <v>8320</v>
      </c>
      <c r="J36" s="585">
        <v>805</v>
      </c>
      <c r="K36" s="534">
        <f>1096+1098+1096+1094+1092+1093+1095+1096+1095</f>
        <v>9855</v>
      </c>
      <c r="L36" s="586"/>
      <c r="M36" s="586">
        <v>3</v>
      </c>
      <c r="N36" s="586">
        <v>3</v>
      </c>
      <c r="O36" s="587">
        <v>1185</v>
      </c>
      <c r="P36" s="576">
        <f>K36/(O36*12)</f>
        <v>0.69303797468354433</v>
      </c>
      <c r="Q36" s="588">
        <f>L36/(K36+L36)</f>
        <v>0</v>
      </c>
      <c r="R36" s="589">
        <f t="shared" si="6"/>
        <v>8.8833333333333329</v>
      </c>
      <c r="S36" s="577">
        <v>8</v>
      </c>
      <c r="T36" s="577">
        <v>53</v>
      </c>
      <c r="U36" s="559" t="s">
        <v>1010</v>
      </c>
      <c r="V36" s="534" t="s">
        <v>794</v>
      </c>
      <c r="AB36" s="533"/>
    </row>
    <row r="37" spans="1:28" ht="24.95" customHeight="1">
      <c r="A37" s="434">
        <v>11</v>
      </c>
      <c r="B37" s="434">
        <v>15</v>
      </c>
      <c r="C37" s="581" t="s">
        <v>1022</v>
      </c>
      <c r="D37" s="581" t="s">
        <v>0</v>
      </c>
      <c r="E37" s="581" t="s">
        <v>42</v>
      </c>
      <c r="F37" s="582">
        <v>1.5</v>
      </c>
      <c r="G37" s="583">
        <v>0.5</v>
      </c>
      <c r="H37" s="584">
        <f>1100*4</f>
        <v>4400</v>
      </c>
      <c r="I37" s="584">
        <f>694+880+1070+1035*2+1040+706+1045+1042</f>
        <v>8547</v>
      </c>
      <c r="J37" s="585">
        <v>805</v>
      </c>
      <c r="K37" s="534">
        <f>1092+1095*2+1096*2+1090+1093+1094*2+1095+1093+1092</f>
        <v>13125</v>
      </c>
      <c r="L37" s="586"/>
      <c r="M37" s="586">
        <v>3</v>
      </c>
      <c r="N37" s="586">
        <v>3</v>
      </c>
      <c r="O37" s="587">
        <v>1185</v>
      </c>
      <c r="P37" s="576">
        <f>K37/(O37*12)</f>
        <v>0.9229957805907173</v>
      </c>
      <c r="Q37" s="588">
        <f>L37/(K37+L37)</f>
        <v>0</v>
      </c>
      <c r="R37" s="589">
        <f t="shared" si="6"/>
        <v>11.8</v>
      </c>
      <c r="S37" s="577">
        <v>11</v>
      </c>
      <c r="T37" s="577">
        <v>48</v>
      </c>
      <c r="U37" s="590" t="s">
        <v>1030</v>
      </c>
      <c r="V37" s="534" t="s">
        <v>715</v>
      </c>
      <c r="AB37" s="533"/>
    </row>
    <row r="38" spans="1:28" ht="24.95" customHeight="1">
      <c r="A38" s="434">
        <v>11</v>
      </c>
      <c r="B38" s="434">
        <v>15</v>
      </c>
      <c r="C38" s="581" t="s">
        <v>1022</v>
      </c>
      <c r="D38" s="581" t="s">
        <v>43</v>
      </c>
      <c r="E38" s="581" t="s">
        <v>42</v>
      </c>
      <c r="F38" s="582">
        <v>1.5</v>
      </c>
      <c r="G38" s="583">
        <v>0.5</v>
      </c>
      <c r="H38" s="584">
        <f>1100*5</f>
        <v>5500</v>
      </c>
      <c r="I38" s="584">
        <f>910+620+1049+610+1042+1057+827+1030+1040</f>
        <v>8185</v>
      </c>
      <c r="J38" s="585">
        <v>805</v>
      </c>
      <c r="K38" s="534">
        <f>1095+1096+1098+1097+1096+1095+1097+1094+1092+1093+1095+1096+1092</f>
        <v>14236</v>
      </c>
      <c r="L38" s="586"/>
      <c r="M38" s="586">
        <v>3</v>
      </c>
      <c r="N38" s="586">
        <v>3</v>
      </c>
      <c r="O38" s="587">
        <v>1185</v>
      </c>
      <c r="P38" s="576">
        <f t="shared" si="1"/>
        <v>1.0011251758087201</v>
      </c>
      <c r="Q38" s="588">
        <f t="shared" si="2"/>
        <v>0</v>
      </c>
      <c r="R38" s="589">
        <f t="shared" si="6"/>
        <v>12.416666666666666</v>
      </c>
      <c r="S38" s="577">
        <v>12</v>
      </c>
      <c r="T38" s="577">
        <v>25</v>
      </c>
      <c r="U38" s="559" t="s">
        <v>1031</v>
      </c>
      <c r="V38" s="534" t="s">
        <v>794</v>
      </c>
      <c r="AB38" s="533"/>
    </row>
    <row r="39" spans="1:28" ht="24.95" customHeight="1">
      <c r="A39" s="434">
        <v>11</v>
      </c>
      <c r="B39" s="434">
        <v>16</v>
      </c>
      <c r="C39" s="581" t="s">
        <v>1049</v>
      </c>
      <c r="D39" s="581" t="s">
        <v>0</v>
      </c>
      <c r="E39" s="581" t="s">
        <v>42</v>
      </c>
      <c r="F39" s="582">
        <v>1.5</v>
      </c>
      <c r="G39" s="583">
        <v>0.5</v>
      </c>
      <c r="H39" s="584">
        <f>1100*4</f>
        <v>4400</v>
      </c>
      <c r="I39" s="584">
        <f>670+1084+1026+680+960+1040+1038+882+662+1100</f>
        <v>9142</v>
      </c>
      <c r="J39" s="585">
        <v>805</v>
      </c>
      <c r="K39" s="584">
        <f>1096+1094+1095*2+1092*2+1093+1090*2</f>
        <v>9837</v>
      </c>
      <c r="L39" s="586"/>
      <c r="M39" s="586">
        <v>3</v>
      </c>
      <c r="N39" s="586">
        <v>3</v>
      </c>
      <c r="O39" s="587">
        <v>1185</v>
      </c>
      <c r="P39" s="576">
        <f t="shared" si="1"/>
        <v>0.6917721518987342</v>
      </c>
      <c r="Q39" s="588">
        <f t="shared" si="2"/>
        <v>0</v>
      </c>
      <c r="R39" s="589">
        <f t="shared" si="6"/>
        <v>8.85</v>
      </c>
      <c r="S39" s="577">
        <v>8</v>
      </c>
      <c r="T39" s="577">
        <v>51</v>
      </c>
      <c r="U39" s="590" t="s">
        <v>1057</v>
      </c>
      <c r="V39" s="534" t="s">
        <v>715</v>
      </c>
      <c r="AB39" s="533"/>
    </row>
    <row r="40" spans="1:28" ht="24.95" customHeight="1">
      <c r="A40" s="434">
        <v>11</v>
      </c>
      <c r="B40" s="434">
        <v>16</v>
      </c>
      <c r="C40" s="581" t="s">
        <v>1049</v>
      </c>
      <c r="D40" s="581" t="s">
        <v>0</v>
      </c>
      <c r="E40" s="581" t="s">
        <v>42</v>
      </c>
      <c r="F40" s="582">
        <v>1.65</v>
      </c>
      <c r="G40" s="583">
        <v>0.5</v>
      </c>
      <c r="H40" s="584"/>
      <c r="I40" s="584"/>
      <c r="J40" s="585">
        <v>805</v>
      </c>
      <c r="K40" s="534">
        <f>1095+1092+1096</f>
        <v>3283</v>
      </c>
      <c r="L40" s="586"/>
      <c r="M40" s="586">
        <v>3</v>
      </c>
      <c r="N40" s="586">
        <v>3</v>
      </c>
      <c r="O40" s="587">
        <v>1185</v>
      </c>
      <c r="P40" s="576">
        <f t="shared" si="1"/>
        <v>0.23087201125175807</v>
      </c>
      <c r="Q40" s="588">
        <f t="shared" si="2"/>
        <v>0</v>
      </c>
      <c r="R40" s="589">
        <f t="shared" si="6"/>
        <v>2.8666666666666667</v>
      </c>
      <c r="S40" s="577">
        <v>2</v>
      </c>
      <c r="T40" s="577">
        <v>52</v>
      </c>
      <c r="U40" s="590" t="s">
        <v>1058</v>
      </c>
      <c r="V40" s="534" t="s">
        <v>715</v>
      </c>
      <c r="AB40" s="533"/>
    </row>
    <row r="41" spans="1:28" ht="24.95" customHeight="1">
      <c r="A41" s="434">
        <v>11</v>
      </c>
      <c r="B41" s="434">
        <v>16</v>
      </c>
      <c r="C41" s="581" t="s">
        <v>1049</v>
      </c>
      <c r="D41" s="581" t="s">
        <v>43</v>
      </c>
      <c r="E41" s="581" t="s">
        <v>42</v>
      </c>
      <c r="F41" s="582">
        <v>1.65</v>
      </c>
      <c r="G41" s="583">
        <v>0.5</v>
      </c>
      <c r="H41" s="584">
        <f>1100*5</f>
        <v>5500</v>
      </c>
      <c r="I41" s="584">
        <f>700+1042+680+1053+1041+801+1054+860</f>
        <v>7231</v>
      </c>
      <c r="J41" s="585">
        <v>805</v>
      </c>
      <c r="K41" s="534">
        <f>1090+1091+1094+1095+1096+1093+1092+1090+1091+1093+1095+1092+1091</f>
        <v>14203</v>
      </c>
      <c r="L41" s="586"/>
      <c r="M41" s="586">
        <v>3</v>
      </c>
      <c r="N41" s="586">
        <v>3</v>
      </c>
      <c r="O41" s="587">
        <v>1185</v>
      </c>
      <c r="P41" s="576">
        <f t="shared" si="1"/>
        <v>0.9988045007032349</v>
      </c>
      <c r="Q41" s="588">
        <f t="shared" si="2"/>
        <v>0</v>
      </c>
      <c r="R41" s="589">
        <f t="shared" si="6"/>
        <v>12.466666666666667</v>
      </c>
      <c r="S41" s="577">
        <v>12</v>
      </c>
      <c r="T41" s="577">
        <v>28</v>
      </c>
      <c r="U41" s="559" t="s">
        <v>1060</v>
      </c>
      <c r="V41" s="534" t="s">
        <v>1059</v>
      </c>
      <c r="AB41" s="533"/>
    </row>
    <row r="42" spans="1:28" ht="33" customHeight="1">
      <c r="A42" s="434">
        <v>11</v>
      </c>
      <c r="B42" s="434">
        <v>17</v>
      </c>
      <c r="C42" s="581" t="s">
        <v>1073</v>
      </c>
      <c r="D42" s="581" t="s">
        <v>0</v>
      </c>
      <c r="E42" s="581" t="s">
        <v>42</v>
      </c>
      <c r="F42" s="582">
        <v>1.65</v>
      </c>
      <c r="G42" s="583">
        <v>0.5</v>
      </c>
      <c r="H42" s="584">
        <f>1100*5</f>
        <v>5500</v>
      </c>
      <c r="I42" s="584">
        <f>670+927+1050+1036+612+931+1044+860+750</f>
        <v>7880</v>
      </c>
      <c r="J42" s="585">
        <v>805</v>
      </c>
      <c r="K42" s="534">
        <f>1090+1092*2+1095*3+1092+1090+1096+1092+1090</f>
        <v>12019</v>
      </c>
      <c r="L42" s="586">
        <f>70</f>
        <v>70</v>
      </c>
      <c r="M42" s="586">
        <v>3</v>
      </c>
      <c r="N42" s="586">
        <v>3</v>
      </c>
      <c r="O42" s="587">
        <v>1185</v>
      </c>
      <c r="P42" s="576">
        <f t="shared" si="1"/>
        <v>0.84521800281293957</v>
      </c>
      <c r="Q42" s="588">
        <f t="shared" si="2"/>
        <v>5.7903879559930514E-3</v>
      </c>
      <c r="R42" s="589">
        <f t="shared" si="6"/>
        <v>11.983333333333333</v>
      </c>
      <c r="S42" s="577">
        <v>11</v>
      </c>
      <c r="T42" s="577">
        <v>59</v>
      </c>
      <c r="U42" s="590" t="s">
        <v>1080</v>
      </c>
      <c r="V42" s="534" t="s">
        <v>1079</v>
      </c>
      <c r="AB42" s="533"/>
    </row>
    <row r="43" spans="1:28" ht="24.95" customHeight="1">
      <c r="A43" s="434">
        <v>11</v>
      </c>
      <c r="B43" s="434">
        <v>17</v>
      </c>
      <c r="C43" s="581" t="s">
        <v>1073</v>
      </c>
      <c r="D43" s="581" t="s">
        <v>43</v>
      </c>
      <c r="E43" s="581" t="s">
        <v>42</v>
      </c>
      <c r="F43" s="582">
        <v>1.65</v>
      </c>
      <c r="G43" s="583">
        <v>0.5</v>
      </c>
      <c r="H43" s="584">
        <f>1100*5</f>
        <v>5500</v>
      </c>
      <c r="I43" s="584">
        <f>1038+1040+1030+829+948+1041+900+946</f>
        <v>7772</v>
      </c>
      <c r="J43" s="585">
        <v>805</v>
      </c>
      <c r="K43" s="534">
        <f>1090+1094+1092+1091+1093+1095+574+1095+1092+1091+1090+1092</f>
        <v>12589</v>
      </c>
      <c r="L43" s="586"/>
      <c r="M43" s="586">
        <v>3</v>
      </c>
      <c r="N43" s="586">
        <v>3</v>
      </c>
      <c r="O43" s="587">
        <v>1185</v>
      </c>
      <c r="P43" s="576">
        <f t="shared" si="1"/>
        <v>0.88530239099859354</v>
      </c>
      <c r="Q43" s="588">
        <f t="shared" si="2"/>
        <v>0</v>
      </c>
      <c r="R43" s="589">
        <f t="shared" si="6"/>
        <v>11.166666666666666</v>
      </c>
      <c r="S43" s="577">
        <v>11</v>
      </c>
      <c r="T43" s="577">
        <v>10</v>
      </c>
      <c r="U43" s="559" t="s">
        <v>1075</v>
      </c>
      <c r="V43" s="534" t="s">
        <v>716</v>
      </c>
      <c r="AB43" s="533"/>
    </row>
    <row r="44" spans="1:28" ht="24.95" customHeight="1">
      <c r="A44" s="434">
        <v>11</v>
      </c>
      <c r="B44" s="434">
        <v>18</v>
      </c>
      <c r="C44" s="581" t="s">
        <v>1088</v>
      </c>
      <c r="D44" s="581" t="s">
        <v>0</v>
      </c>
      <c r="E44" s="581" t="s">
        <v>42</v>
      </c>
      <c r="F44" s="582">
        <v>1.65</v>
      </c>
      <c r="G44" s="583">
        <v>0.5</v>
      </c>
      <c r="H44" s="584">
        <f>1100*5</f>
        <v>5500</v>
      </c>
      <c r="I44" s="584">
        <f>1036+1025+1052+1038+1000+780+882+1048</f>
        <v>7861</v>
      </c>
      <c r="J44" s="585">
        <v>805</v>
      </c>
      <c r="K44" s="585">
        <f>1090*2+1092*2+1095+1096*2+1095+1090+1092+1093+1094+1092</f>
        <v>14207</v>
      </c>
      <c r="L44" s="586"/>
      <c r="M44" s="586">
        <v>3</v>
      </c>
      <c r="N44" s="586">
        <v>3</v>
      </c>
      <c r="O44" s="587">
        <v>1185</v>
      </c>
      <c r="P44" s="576">
        <f>K44/(O44*12)</f>
        <v>0.99908579465541492</v>
      </c>
      <c r="Q44" s="588">
        <f>L44/(K44+L44)</f>
        <v>0</v>
      </c>
      <c r="R44" s="589">
        <f t="shared" si="6"/>
        <v>12.65</v>
      </c>
      <c r="S44" s="577">
        <v>12</v>
      </c>
      <c r="T44" s="577">
        <v>39</v>
      </c>
      <c r="U44" s="590" t="s">
        <v>1095</v>
      </c>
      <c r="V44" s="534" t="s">
        <v>1094</v>
      </c>
      <c r="AB44" s="533"/>
    </row>
    <row r="45" spans="1:28" ht="24.95" customHeight="1">
      <c r="A45" s="434">
        <v>11</v>
      </c>
      <c r="B45" s="434">
        <v>18</v>
      </c>
      <c r="C45" s="581" t="s">
        <v>1088</v>
      </c>
      <c r="D45" s="581" t="s">
        <v>43</v>
      </c>
      <c r="E45" s="581" t="s">
        <v>42</v>
      </c>
      <c r="F45" s="582">
        <v>1.65</v>
      </c>
      <c r="G45" s="583">
        <v>0.5</v>
      </c>
      <c r="H45" s="584">
        <f>1100*5</f>
        <v>5500</v>
      </c>
      <c r="I45" s="584">
        <f>1048+1043+700+625+1052+1055+1046+910</f>
        <v>7479</v>
      </c>
      <c r="J45" s="585">
        <v>805</v>
      </c>
      <c r="K45" s="585">
        <f>1090+1091+1092+1095+1093+1096+1094+1095+1093+1091+1090+1092</f>
        <v>13112</v>
      </c>
      <c r="L45" s="586"/>
      <c r="M45" s="586">
        <v>3</v>
      </c>
      <c r="N45" s="586">
        <v>3</v>
      </c>
      <c r="O45" s="587">
        <v>1185</v>
      </c>
      <c r="P45" s="576">
        <f>K45/(O45*12)</f>
        <v>0.92208157524613221</v>
      </c>
      <c r="Q45" s="588">
        <f>L45/(K45+L45)</f>
        <v>0</v>
      </c>
      <c r="R45" s="589">
        <f t="shared" si="6"/>
        <v>11.466666666666667</v>
      </c>
      <c r="S45" s="577">
        <v>11</v>
      </c>
      <c r="T45" s="577">
        <v>28</v>
      </c>
      <c r="U45" s="559" t="s">
        <v>1096</v>
      </c>
      <c r="V45" s="534" t="s">
        <v>716</v>
      </c>
      <c r="AB45" s="533"/>
    </row>
    <row r="46" spans="1:28" ht="24.95" customHeight="1">
      <c r="A46" s="434">
        <v>11</v>
      </c>
      <c r="B46" s="434">
        <v>19</v>
      </c>
      <c r="C46" s="581" t="s">
        <v>1102</v>
      </c>
      <c r="D46" s="581" t="s">
        <v>0</v>
      </c>
      <c r="E46" s="581" t="s">
        <v>42</v>
      </c>
      <c r="F46" s="582">
        <v>1.65</v>
      </c>
      <c r="G46" s="583">
        <v>0.5</v>
      </c>
      <c r="H46" s="584">
        <f>1100*4</f>
        <v>4400</v>
      </c>
      <c r="I46" s="584">
        <f>1055+1061+1112+965+1045+1009+1036+880</f>
        <v>8163</v>
      </c>
      <c r="J46" s="585">
        <v>805</v>
      </c>
      <c r="K46" s="585">
        <f>1090+1096*2+1095+1099*2+1097+1096+1097*2+1095+1090+1092</f>
        <v>14239</v>
      </c>
      <c r="L46" s="586"/>
      <c r="M46" s="586">
        <v>3</v>
      </c>
      <c r="N46" s="586">
        <v>3</v>
      </c>
      <c r="O46" s="587">
        <v>1185</v>
      </c>
      <c r="P46" s="576">
        <f>K46/(O46*12)</f>
        <v>1.0013361462728552</v>
      </c>
      <c r="Q46" s="588">
        <f>L46/(K46+L46)</f>
        <v>0</v>
      </c>
      <c r="R46" s="589">
        <f t="shared" si="6"/>
        <v>12.666666666666666</v>
      </c>
      <c r="S46" s="577">
        <v>12</v>
      </c>
      <c r="T46" s="577">
        <v>40</v>
      </c>
      <c r="U46" s="590" t="s">
        <v>1108</v>
      </c>
      <c r="V46" s="534" t="s">
        <v>843</v>
      </c>
      <c r="AB46" s="533"/>
    </row>
    <row r="47" spans="1:28" ht="24.95" customHeight="1">
      <c r="A47" s="434">
        <v>11</v>
      </c>
      <c r="B47" s="434">
        <v>19</v>
      </c>
      <c r="C47" s="581" t="s">
        <v>1102</v>
      </c>
      <c r="D47" s="581" t="s">
        <v>43</v>
      </c>
      <c r="E47" s="581" t="s">
        <v>42</v>
      </c>
      <c r="F47" s="582">
        <v>1.65</v>
      </c>
      <c r="G47" s="583">
        <v>0.5</v>
      </c>
      <c r="H47" s="584">
        <f>1100*5</f>
        <v>5500</v>
      </c>
      <c r="I47" s="584">
        <f>1057+1052+1061+1044+1031+1047+1046+902</f>
        <v>8240</v>
      </c>
      <c r="J47" s="585">
        <v>805</v>
      </c>
      <c r="K47" s="585">
        <f>1090+1091+1095+1093+1092+1094+1096+1095+1096+1092+1090+1091</f>
        <v>13115</v>
      </c>
      <c r="L47" s="586"/>
      <c r="M47" s="586">
        <v>3</v>
      </c>
      <c r="N47" s="586">
        <v>3</v>
      </c>
      <c r="O47" s="587">
        <v>1185</v>
      </c>
      <c r="P47" s="576">
        <f t="shared" si="1"/>
        <v>0.9222925457102672</v>
      </c>
      <c r="Q47" s="588">
        <f t="shared" si="2"/>
        <v>0</v>
      </c>
      <c r="R47" s="589">
        <f t="shared" si="6"/>
        <v>11.566666666666666</v>
      </c>
      <c r="S47" s="577">
        <v>11</v>
      </c>
      <c r="T47" s="577">
        <v>34</v>
      </c>
      <c r="U47" s="559" t="s">
        <v>1109</v>
      </c>
      <c r="V47" s="534" t="s">
        <v>716</v>
      </c>
      <c r="AB47" s="533"/>
    </row>
    <row r="48" spans="1:28" ht="31.5" customHeight="1">
      <c r="A48" s="434">
        <v>11</v>
      </c>
      <c r="B48" s="434">
        <v>20</v>
      </c>
      <c r="C48" s="581" t="s">
        <v>1115</v>
      </c>
      <c r="D48" s="581" t="s">
        <v>0</v>
      </c>
      <c r="E48" s="581" t="s">
        <v>42</v>
      </c>
      <c r="F48" s="582">
        <v>1.65</v>
      </c>
      <c r="G48" s="583">
        <v>0.5</v>
      </c>
      <c r="H48" s="584">
        <f>1100*4</f>
        <v>4400</v>
      </c>
      <c r="I48" s="584">
        <f>880+907+1019+1009+1061+1056+1031+1009+1037</f>
        <v>9009</v>
      </c>
      <c r="J48" s="585">
        <v>805</v>
      </c>
      <c r="K48" s="534">
        <f>1090+1095+1096+1092+1094+1095*2+1096+1092+1093+1090+1092</f>
        <v>13120</v>
      </c>
      <c r="L48" s="586"/>
      <c r="M48" s="586">
        <v>3</v>
      </c>
      <c r="N48" s="586">
        <v>3</v>
      </c>
      <c r="O48" s="587">
        <v>1185</v>
      </c>
      <c r="P48" s="576">
        <f t="shared" si="1"/>
        <v>0.92264416315049225</v>
      </c>
      <c r="Q48" s="588">
        <f t="shared" si="2"/>
        <v>0</v>
      </c>
      <c r="R48" s="589">
        <f t="shared" si="6"/>
        <v>11.8</v>
      </c>
      <c r="S48" s="577">
        <v>11</v>
      </c>
      <c r="T48" s="577">
        <v>48</v>
      </c>
      <c r="U48" s="590" t="s">
        <v>1122</v>
      </c>
      <c r="V48" s="534" t="s">
        <v>715</v>
      </c>
      <c r="AB48" s="533"/>
    </row>
    <row r="49" spans="1:28" ht="24.95" customHeight="1">
      <c r="A49" s="434">
        <v>11</v>
      </c>
      <c r="B49" s="434">
        <v>20</v>
      </c>
      <c r="C49" s="581" t="s">
        <v>1115</v>
      </c>
      <c r="D49" s="581" t="s">
        <v>43</v>
      </c>
      <c r="E49" s="581" t="s">
        <v>42</v>
      </c>
      <c r="F49" s="582">
        <v>1.34</v>
      </c>
      <c r="G49" s="583">
        <v>0.5</v>
      </c>
      <c r="H49" s="584">
        <f>1100*5</f>
        <v>5500</v>
      </c>
      <c r="I49" s="584">
        <f>1035+680+1057+740+1048+1042+863+1055+950</f>
        <v>8470</v>
      </c>
      <c r="J49" s="585">
        <v>805</v>
      </c>
      <c r="K49" s="534">
        <f>722+1090+1092+1091+1093+1095+1096+1095+1097+1094+1091+1092+1091</f>
        <v>13839</v>
      </c>
      <c r="L49" s="586"/>
      <c r="M49" s="586">
        <v>3</v>
      </c>
      <c r="N49" s="586">
        <v>3</v>
      </c>
      <c r="O49" s="587">
        <v>1185</v>
      </c>
      <c r="P49" s="576">
        <f>K49/(O49*12)</f>
        <v>0.97320675105485233</v>
      </c>
      <c r="Q49" s="588">
        <f>L49/(K49+L49)</f>
        <v>0</v>
      </c>
      <c r="R49" s="589">
        <f t="shared" si="6"/>
        <v>12.1</v>
      </c>
      <c r="S49" s="577">
        <v>12</v>
      </c>
      <c r="T49" s="577">
        <v>6</v>
      </c>
      <c r="U49" s="559" t="s">
        <v>1123</v>
      </c>
      <c r="V49" s="534" t="s">
        <v>794</v>
      </c>
      <c r="AB49" s="533"/>
    </row>
    <row r="50" spans="1:28" ht="24.95" customHeight="1">
      <c r="A50" s="434">
        <v>11</v>
      </c>
      <c r="B50" s="434">
        <v>21</v>
      </c>
      <c r="C50" s="581" t="s">
        <v>1143</v>
      </c>
      <c r="D50" s="581" t="s">
        <v>0</v>
      </c>
      <c r="E50" s="581" t="s">
        <v>42</v>
      </c>
      <c r="F50" s="582">
        <v>1.34</v>
      </c>
      <c r="G50" s="583">
        <v>0.5</v>
      </c>
      <c r="H50" s="584">
        <f>1100*5</f>
        <v>5500</v>
      </c>
      <c r="I50" s="584">
        <f>930+1040+1008+570+1035+1038+916+886+1045</f>
        <v>8468</v>
      </c>
      <c r="J50" s="585">
        <v>805</v>
      </c>
      <c r="K50" s="534">
        <f>1090+1092+1095*2+1096*2+1092+1093+1090+1095+1094+1095</f>
        <v>13123</v>
      </c>
      <c r="L50" s="586"/>
      <c r="M50" s="586">
        <v>3</v>
      </c>
      <c r="N50" s="586">
        <v>3</v>
      </c>
      <c r="O50" s="587">
        <v>1185</v>
      </c>
      <c r="P50" s="576">
        <f t="shared" si="1"/>
        <v>0.92285513361462723</v>
      </c>
      <c r="Q50" s="588">
        <f t="shared" si="2"/>
        <v>0</v>
      </c>
      <c r="R50" s="589">
        <f t="shared" si="6"/>
        <v>11.833333333333334</v>
      </c>
      <c r="S50" s="577">
        <v>11</v>
      </c>
      <c r="T50" s="577">
        <v>50</v>
      </c>
      <c r="U50" s="590" t="s">
        <v>1150</v>
      </c>
      <c r="V50" s="534" t="s">
        <v>715</v>
      </c>
      <c r="AB50" s="533"/>
    </row>
    <row r="51" spans="1:28" ht="24.95" customHeight="1">
      <c r="A51" s="434">
        <v>11</v>
      </c>
      <c r="B51" s="434">
        <v>21</v>
      </c>
      <c r="C51" s="581" t="s">
        <v>1143</v>
      </c>
      <c r="D51" s="581" t="s">
        <v>43</v>
      </c>
      <c r="E51" s="581" t="s">
        <v>42</v>
      </c>
      <c r="F51" s="582">
        <v>1.34</v>
      </c>
      <c r="G51" s="583">
        <v>0.5</v>
      </c>
      <c r="H51" s="584">
        <f>1100*5</f>
        <v>5500</v>
      </c>
      <c r="I51" s="584">
        <f>1055+800+1035+620+844+1036+1042+920+836</f>
        <v>8188</v>
      </c>
      <c r="J51" s="585">
        <v>805</v>
      </c>
      <c r="K51" s="534">
        <f>1090+1092+1091+1093+1095+1091+1090</f>
        <v>7642</v>
      </c>
      <c r="L51" s="586"/>
      <c r="M51" s="586">
        <v>3</v>
      </c>
      <c r="N51" s="586">
        <v>3</v>
      </c>
      <c r="O51" s="587">
        <v>1185</v>
      </c>
      <c r="P51" s="576">
        <f>K51/(O51*12)</f>
        <v>0.53741209563994374</v>
      </c>
      <c r="Q51" s="588">
        <f>L51/(K51+L51)</f>
        <v>0</v>
      </c>
      <c r="R51" s="589">
        <f t="shared" si="6"/>
        <v>6.833333333333333</v>
      </c>
      <c r="S51" s="577">
        <v>6</v>
      </c>
      <c r="T51" s="577">
        <v>50</v>
      </c>
      <c r="U51" s="590" t="s">
        <v>1151</v>
      </c>
      <c r="V51" s="534" t="s">
        <v>794</v>
      </c>
      <c r="AB51" s="533"/>
    </row>
    <row r="52" spans="1:28" ht="24.95" customHeight="1">
      <c r="A52" s="434">
        <v>11</v>
      </c>
      <c r="B52" s="434">
        <v>21</v>
      </c>
      <c r="C52" s="581" t="s">
        <v>1143</v>
      </c>
      <c r="D52" s="581" t="s">
        <v>43</v>
      </c>
      <c r="E52" s="581" t="s">
        <v>42</v>
      </c>
      <c r="F52" s="582">
        <v>1.2</v>
      </c>
      <c r="G52" s="583">
        <v>0.5</v>
      </c>
      <c r="H52" s="584"/>
      <c r="I52" s="584"/>
      <c r="J52" s="585">
        <v>805</v>
      </c>
      <c r="K52" s="534">
        <f>1091+1092+1093+1091+1092</f>
        <v>5459</v>
      </c>
      <c r="L52" s="586"/>
      <c r="M52" s="586">
        <v>3</v>
      </c>
      <c r="N52" s="586">
        <v>3</v>
      </c>
      <c r="O52" s="587">
        <v>1185</v>
      </c>
      <c r="P52" s="576">
        <f t="shared" si="1"/>
        <v>0.38389592123769339</v>
      </c>
      <c r="Q52" s="588">
        <f t="shared" si="2"/>
        <v>0</v>
      </c>
      <c r="R52" s="589">
        <f t="shared" si="6"/>
        <v>4.9666666666666668</v>
      </c>
      <c r="S52" s="577">
        <v>4</v>
      </c>
      <c r="T52" s="577">
        <v>58</v>
      </c>
      <c r="U52" s="559" t="s">
        <v>1152</v>
      </c>
      <c r="V52" s="534" t="s">
        <v>794</v>
      </c>
      <c r="AB52" s="533"/>
    </row>
    <row r="53" spans="1:28" ht="24.95" customHeight="1">
      <c r="A53" s="434">
        <v>11</v>
      </c>
      <c r="B53" s="434">
        <v>22</v>
      </c>
      <c r="C53" s="581" t="s">
        <v>1161</v>
      </c>
      <c r="D53" s="581" t="s">
        <v>0</v>
      </c>
      <c r="E53" s="581" t="s">
        <v>42</v>
      </c>
      <c r="F53" s="582">
        <v>1.2</v>
      </c>
      <c r="G53" s="583">
        <v>0.5</v>
      </c>
      <c r="H53" s="584">
        <f>1100*5</f>
        <v>5500</v>
      </c>
      <c r="I53" s="584">
        <f>1031+630+910+1051+1037+880+1006+1039</f>
        <v>7584</v>
      </c>
      <c r="J53" s="585">
        <v>805</v>
      </c>
      <c r="K53" s="534">
        <f>1090+1092+1095*2+1096+1092+1090*2+1092+1095+1096*2</f>
        <v>13119</v>
      </c>
      <c r="L53" s="586"/>
      <c r="M53" s="586">
        <v>3</v>
      </c>
      <c r="N53" s="586">
        <v>3</v>
      </c>
      <c r="O53" s="587">
        <v>1185</v>
      </c>
      <c r="P53" s="576">
        <f t="shared" si="1"/>
        <v>0.92257383966244721</v>
      </c>
      <c r="Q53" s="588">
        <f t="shared" si="2"/>
        <v>0</v>
      </c>
      <c r="R53" s="589">
        <f t="shared" si="6"/>
        <v>12.166666666666666</v>
      </c>
      <c r="S53" s="577">
        <v>12</v>
      </c>
      <c r="T53" s="577">
        <v>10</v>
      </c>
      <c r="U53" s="590" t="s">
        <v>1167</v>
      </c>
      <c r="V53" s="534" t="s">
        <v>715</v>
      </c>
      <c r="AB53" s="533"/>
    </row>
    <row r="54" spans="1:28" ht="24.95" customHeight="1">
      <c r="A54" s="434">
        <v>11</v>
      </c>
      <c r="B54" s="434">
        <v>22</v>
      </c>
      <c r="C54" s="581" t="s">
        <v>1161</v>
      </c>
      <c r="D54" s="581" t="s">
        <v>43</v>
      </c>
      <c r="E54" s="581" t="s">
        <v>42</v>
      </c>
      <c r="F54" s="582">
        <v>1.2</v>
      </c>
      <c r="G54" s="583">
        <v>0.5</v>
      </c>
      <c r="H54" s="584"/>
      <c r="I54" s="584"/>
      <c r="J54" s="585">
        <v>805</v>
      </c>
      <c r="K54" s="534">
        <f>1090+1092</f>
        <v>2182</v>
      </c>
      <c r="L54" s="586"/>
      <c r="M54" s="586">
        <v>3</v>
      </c>
      <c r="N54" s="586">
        <v>3</v>
      </c>
      <c r="O54" s="587">
        <v>1185</v>
      </c>
      <c r="P54" s="576">
        <f>K54/(O54*12)</f>
        <v>0.15344585091420535</v>
      </c>
      <c r="Q54" s="588">
        <f>L54/(K54+L54)</f>
        <v>0</v>
      </c>
      <c r="R54" s="589">
        <f t="shared" si="6"/>
        <v>2.1166666666666667</v>
      </c>
      <c r="S54" s="577">
        <v>2</v>
      </c>
      <c r="T54" s="577">
        <v>7</v>
      </c>
      <c r="U54" s="590" t="s">
        <v>1168</v>
      </c>
      <c r="V54" s="534" t="s">
        <v>794</v>
      </c>
      <c r="AB54" s="533"/>
    </row>
    <row r="55" spans="1:28" ht="24.95" customHeight="1">
      <c r="A55" s="434">
        <v>11</v>
      </c>
      <c r="B55" s="434">
        <v>22</v>
      </c>
      <c r="C55" s="581" t="s">
        <v>1161</v>
      </c>
      <c r="D55" s="581" t="s">
        <v>43</v>
      </c>
      <c r="E55" s="581" t="s">
        <v>42</v>
      </c>
      <c r="F55" s="582">
        <v>1.38</v>
      </c>
      <c r="G55" s="583">
        <v>0.5</v>
      </c>
      <c r="H55" s="584"/>
      <c r="I55" s="584"/>
      <c r="J55" s="585">
        <v>805</v>
      </c>
      <c r="K55" s="534">
        <f>1091+600</f>
        <v>1691</v>
      </c>
      <c r="L55" s="586"/>
      <c r="M55" s="586">
        <v>3</v>
      </c>
      <c r="N55" s="586">
        <v>3</v>
      </c>
      <c r="O55" s="587">
        <v>1185</v>
      </c>
      <c r="P55" s="576">
        <f t="shared" si="1"/>
        <v>0.11891701828410689</v>
      </c>
      <c r="Q55" s="588">
        <f t="shared" si="2"/>
        <v>0</v>
      </c>
      <c r="R55" s="589">
        <f t="shared" si="6"/>
        <v>1.45</v>
      </c>
      <c r="S55" s="577">
        <v>1</v>
      </c>
      <c r="T55" s="577">
        <v>27</v>
      </c>
      <c r="U55" s="590" t="s">
        <v>1169</v>
      </c>
      <c r="V55" s="534" t="s">
        <v>794</v>
      </c>
      <c r="AB55" s="533"/>
    </row>
    <row r="56" spans="1:28" ht="24.95" customHeight="1">
      <c r="A56" s="434">
        <v>11</v>
      </c>
      <c r="B56" s="434">
        <v>22</v>
      </c>
      <c r="C56" s="581" t="s">
        <v>1161</v>
      </c>
      <c r="D56" s="581" t="s">
        <v>43</v>
      </c>
      <c r="E56" s="581" t="s">
        <v>42</v>
      </c>
      <c r="F56" s="582">
        <v>1.2</v>
      </c>
      <c r="G56" s="583">
        <v>0.5</v>
      </c>
      <c r="H56" s="584">
        <f>1100*5</f>
        <v>5500</v>
      </c>
      <c r="I56" s="584">
        <f>865+1005+1035+635+852+1038+900+1041</f>
        <v>7371</v>
      </c>
      <c r="J56" s="585">
        <v>805</v>
      </c>
      <c r="K56" s="534">
        <f>1096+1095+1092+1091+1092+453+1090+1091+1095</f>
        <v>9195</v>
      </c>
      <c r="L56" s="586"/>
      <c r="M56" s="586">
        <v>3</v>
      </c>
      <c r="N56" s="586">
        <v>3</v>
      </c>
      <c r="O56" s="587">
        <v>1185</v>
      </c>
      <c r="P56" s="576">
        <f t="shared" si="1"/>
        <v>0.6466244725738397</v>
      </c>
      <c r="Q56" s="588">
        <f t="shared" si="2"/>
        <v>0</v>
      </c>
      <c r="R56" s="589">
        <f t="shared" si="6"/>
        <v>8.4166666666666661</v>
      </c>
      <c r="S56" s="577">
        <v>8</v>
      </c>
      <c r="T56" s="577">
        <v>25</v>
      </c>
      <c r="U56" s="559" t="s">
        <v>1170</v>
      </c>
      <c r="V56" s="534" t="s">
        <v>794</v>
      </c>
      <c r="AB56" s="533"/>
    </row>
    <row r="57" spans="1:28" ht="24.95" customHeight="1">
      <c r="A57" s="581">
        <v>11</v>
      </c>
      <c r="B57" s="581">
        <v>23</v>
      </c>
      <c r="C57" s="581" t="s">
        <v>667</v>
      </c>
      <c r="D57" s="581" t="s">
        <v>0</v>
      </c>
      <c r="E57" s="581" t="s">
        <v>42</v>
      </c>
      <c r="F57" s="582"/>
      <c r="G57" s="583" t="s">
        <v>633</v>
      </c>
      <c r="H57" s="584"/>
      <c r="I57" s="584"/>
      <c r="J57" s="585"/>
      <c r="K57" s="584"/>
      <c r="L57" s="586"/>
      <c r="M57" s="586"/>
      <c r="N57" s="586"/>
      <c r="O57" s="587">
        <v>1185</v>
      </c>
      <c r="P57" s="576">
        <f t="shared" si="1"/>
        <v>0</v>
      </c>
      <c r="Q57" s="588" t="e">
        <f t="shared" si="2"/>
        <v>#DIV/0!</v>
      </c>
      <c r="R57" s="589">
        <f t="shared" si="6"/>
        <v>0</v>
      </c>
      <c r="S57" s="577"/>
      <c r="T57" s="577"/>
      <c r="U57" s="590"/>
      <c r="V57" s="534"/>
      <c r="AB57" s="533"/>
    </row>
    <row r="58" spans="1:28" ht="24.95" customHeight="1">
      <c r="A58" s="581">
        <v>11</v>
      </c>
      <c r="B58" s="581">
        <v>23</v>
      </c>
      <c r="C58" s="581" t="s">
        <v>667</v>
      </c>
      <c r="D58" s="581" t="s">
        <v>43</v>
      </c>
      <c r="E58" s="581" t="s">
        <v>42</v>
      </c>
      <c r="F58" s="582"/>
      <c r="G58" s="583" t="s">
        <v>633</v>
      </c>
      <c r="H58" s="584"/>
      <c r="I58" s="584"/>
      <c r="J58" s="585"/>
      <c r="K58" s="534"/>
      <c r="L58" s="586"/>
      <c r="M58" s="586"/>
      <c r="N58" s="586"/>
      <c r="O58" s="587">
        <v>1185</v>
      </c>
      <c r="P58" s="576">
        <f t="shared" si="1"/>
        <v>0</v>
      </c>
      <c r="Q58" s="588" t="e">
        <f t="shared" si="2"/>
        <v>#DIV/0!</v>
      </c>
      <c r="R58" s="589">
        <f t="shared" si="6"/>
        <v>0</v>
      </c>
      <c r="S58" s="577"/>
      <c r="T58" s="577"/>
      <c r="U58" s="590"/>
      <c r="V58" s="534"/>
      <c r="AB58" s="533"/>
    </row>
    <row r="59" spans="1:28" ht="24.95" customHeight="1">
      <c r="A59" s="581">
        <v>11</v>
      </c>
      <c r="B59" s="581">
        <v>24</v>
      </c>
      <c r="C59" s="581" t="s">
        <v>1192</v>
      </c>
      <c r="D59" s="581" t="s">
        <v>0</v>
      </c>
      <c r="E59" s="581" t="s">
        <v>42</v>
      </c>
      <c r="F59" s="582"/>
      <c r="G59" s="583" t="s">
        <v>633</v>
      </c>
      <c r="H59" s="584"/>
      <c r="I59" s="584"/>
      <c r="J59" s="585"/>
      <c r="K59" s="534"/>
      <c r="L59" s="586"/>
      <c r="M59" s="586"/>
      <c r="N59" s="586"/>
      <c r="O59" s="587">
        <v>1185</v>
      </c>
      <c r="P59" s="576">
        <f>K59/(O59*12)</f>
        <v>0</v>
      </c>
      <c r="Q59" s="588" t="e">
        <f>L59/(K59+L59)</f>
        <v>#DIV/0!</v>
      </c>
      <c r="R59" s="589">
        <f t="shared" si="6"/>
        <v>0</v>
      </c>
      <c r="S59" s="577"/>
      <c r="T59" s="577"/>
      <c r="U59" s="590"/>
      <c r="V59" s="534"/>
      <c r="AB59" s="533"/>
    </row>
    <row r="60" spans="1:28" ht="24.95" customHeight="1">
      <c r="A60" s="581">
        <v>11</v>
      </c>
      <c r="B60" s="581">
        <v>24</v>
      </c>
      <c r="C60" s="581" t="s">
        <v>1192</v>
      </c>
      <c r="D60" s="581" t="s">
        <v>43</v>
      </c>
      <c r="E60" s="581" t="s">
        <v>42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>
        <v>1185</v>
      </c>
      <c r="P60" s="576">
        <f t="shared" ref="P60:P67" si="7">K60/(O60*12)</f>
        <v>0</v>
      </c>
      <c r="Q60" s="588" t="e">
        <f t="shared" ref="Q60:Q67" si="8">L60/(K60+L60)</f>
        <v>#DIV/0!</v>
      </c>
      <c r="R60" s="589">
        <f t="shared" ref="R60:R67" si="9">S60+T60/60</f>
        <v>0</v>
      </c>
      <c r="S60" s="577"/>
      <c r="T60" s="577"/>
      <c r="U60" s="590"/>
      <c r="V60" s="534"/>
      <c r="AB60" s="533"/>
    </row>
    <row r="61" spans="1:28" ht="24.95" customHeight="1">
      <c r="A61" s="581">
        <v>11</v>
      </c>
      <c r="B61" s="581">
        <v>25</v>
      </c>
      <c r="C61" s="581" t="s">
        <v>670</v>
      </c>
      <c r="D61" s="581" t="s">
        <v>0</v>
      </c>
      <c r="E61" s="581" t="s">
        <v>42</v>
      </c>
      <c r="F61" s="582"/>
      <c r="G61" s="583" t="s">
        <v>633</v>
      </c>
      <c r="H61" s="584"/>
      <c r="I61" s="584"/>
      <c r="J61" s="585"/>
      <c r="K61" s="534"/>
      <c r="L61" s="586"/>
      <c r="M61" s="586"/>
      <c r="N61" s="586"/>
      <c r="O61" s="587">
        <v>1185</v>
      </c>
      <c r="P61" s="576">
        <f t="shared" si="7"/>
        <v>0</v>
      </c>
      <c r="Q61" s="588" t="e">
        <f t="shared" si="8"/>
        <v>#DIV/0!</v>
      </c>
      <c r="R61" s="589">
        <f t="shared" si="9"/>
        <v>0</v>
      </c>
      <c r="S61" s="577"/>
      <c r="T61" s="577"/>
      <c r="U61" s="590"/>
      <c r="V61" s="534"/>
      <c r="AB61" s="533"/>
    </row>
    <row r="62" spans="1:28" ht="24.95" customHeight="1">
      <c r="A62" s="581">
        <v>11</v>
      </c>
      <c r="B62" s="581">
        <v>25</v>
      </c>
      <c r="C62" s="581" t="s">
        <v>670</v>
      </c>
      <c r="D62" s="581" t="s">
        <v>43</v>
      </c>
      <c r="E62" s="581" t="s">
        <v>42</v>
      </c>
      <c r="F62" s="582"/>
      <c r="G62" s="583" t="s">
        <v>633</v>
      </c>
      <c r="H62" s="584"/>
      <c r="I62" s="584"/>
      <c r="J62" s="585"/>
      <c r="K62" s="534"/>
      <c r="L62" s="586"/>
      <c r="M62" s="586"/>
      <c r="N62" s="586"/>
      <c r="O62" s="587">
        <v>1185</v>
      </c>
      <c r="P62" s="576">
        <f>K62/(O62*12)</f>
        <v>0</v>
      </c>
      <c r="Q62" s="588" t="e">
        <f>L62/(K62+L62)</f>
        <v>#DIV/0!</v>
      </c>
      <c r="R62" s="589">
        <f>S62+T62/60</f>
        <v>0</v>
      </c>
      <c r="S62" s="577"/>
      <c r="T62" s="577"/>
      <c r="U62" s="590"/>
      <c r="V62" s="534"/>
      <c r="AB62" s="533"/>
    </row>
    <row r="63" spans="1:28" ht="24.95" customHeight="1">
      <c r="A63" s="581">
        <v>11</v>
      </c>
      <c r="B63" s="581">
        <v>26</v>
      </c>
      <c r="C63" s="581" t="s">
        <v>671</v>
      </c>
      <c r="D63" s="581" t="s">
        <v>0</v>
      </c>
      <c r="E63" s="581" t="s">
        <v>42</v>
      </c>
      <c r="F63" s="582"/>
      <c r="G63" s="583" t="s">
        <v>633</v>
      </c>
      <c r="H63" s="584"/>
      <c r="I63" s="584"/>
      <c r="J63" s="585"/>
      <c r="K63" s="534"/>
      <c r="L63" s="586"/>
      <c r="M63" s="586"/>
      <c r="N63" s="586"/>
      <c r="O63" s="587">
        <v>1185</v>
      </c>
      <c r="P63" s="576">
        <f t="shared" si="7"/>
        <v>0</v>
      </c>
      <c r="Q63" s="588" t="e">
        <f t="shared" si="8"/>
        <v>#DIV/0!</v>
      </c>
      <c r="R63" s="589">
        <f t="shared" si="9"/>
        <v>0</v>
      </c>
      <c r="S63" s="577"/>
      <c r="T63" s="577"/>
      <c r="U63" s="590"/>
      <c r="V63" s="534"/>
      <c r="AB63" s="533"/>
    </row>
    <row r="64" spans="1:28" ht="24.95" customHeight="1">
      <c r="A64" s="581">
        <v>11</v>
      </c>
      <c r="B64" s="581">
        <v>26</v>
      </c>
      <c r="C64" s="581" t="s">
        <v>671</v>
      </c>
      <c r="D64" s="581" t="s">
        <v>43</v>
      </c>
      <c r="E64" s="581" t="s">
        <v>42</v>
      </c>
      <c r="F64" s="582"/>
      <c r="G64" s="583" t="s">
        <v>633</v>
      </c>
      <c r="H64" s="584"/>
      <c r="I64" s="584"/>
      <c r="J64" s="585"/>
      <c r="K64" s="534"/>
      <c r="L64" s="586"/>
      <c r="M64" s="586"/>
      <c r="N64" s="586"/>
      <c r="O64" s="587">
        <v>1185</v>
      </c>
      <c r="P64" s="576">
        <f t="shared" si="7"/>
        <v>0</v>
      </c>
      <c r="Q64" s="588" t="e">
        <f t="shared" si="8"/>
        <v>#DIV/0!</v>
      </c>
      <c r="R64" s="589">
        <f t="shared" si="9"/>
        <v>0</v>
      </c>
      <c r="S64" s="577"/>
      <c r="T64" s="577"/>
      <c r="U64" s="590"/>
      <c r="V64" s="534"/>
      <c r="AB64" s="533"/>
    </row>
    <row r="65" spans="1:28" ht="24.95" customHeight="1">
      <c r="A65" s="581">
        <v>11</v>
      </c>
      <c r="B65" s="581">
        <v>27</v>
      </c>
      <c r="C65" s="581" t="s">
        <v>672</v>
      </c>
      <c r="D65" s="581" t="s">
        <v>0</v>
      </c>
      <c r="E65" s="581" t="s">
        <v>42</v>
      </c>
      <c r="F65" s="582"/>
      <c r="G65" s="583" t="s">
        <v>633</v>
      </c>
      <c r="H65" s="584"/>
      <c r="I65" s="584"/>
      <c r="J65" s="585"/>
      <c r="K65" s="534"/>
      <c r="L65" s="586"/>
      <c r="M65" s="586"/>
      <c r="N65" s="586"/>
      <c r="O65" s="587">
        <v>1185</v>
      </c>
      <c r="P65" s="576">
        <f t="shared" si="7"/>
        <v>0</v>
      </c>
      <c r="Q65" s="588" t="e">
        <f t="shared" si="8"/>
        <v>#DIV/0!</v>
      </c>
      <c r="R65" s="589">
        <f t="shared" si="9"/>
        <v>0</v>
      </c>
      <c r="S65" s="577"/>
      <c r="T65" s="577"/>
      <c r="U65" s="590"/>
      <c r="V65" s="534"/>
      <c r="AB65" s="533"/>
    </row>
    <row r="66" spans="1:28" ht="24.95" customHeight="1">
      <c r="A66" s="581">
        <v>11</v>
      </c>
      <c r="B66" s="581">
        <v>27</v>
      </c>
      <c r="C66" s="581" t="s">
        <v>672</v>
      </c>
      <c r="D66" s="581" t="s">
        <v>43</v>
      </c>
      <c r="E66" s="581" t="s">
        <v>42</v>
      </c>
      <c r="F66" s="582"/>
      <c r="G66" s="583" t="s">
        <v>633</v>
      </c>
      <c r="H66" s="584"/>
      <c r="I66" s="584"/>
      <c r="J66" s="585"/>
      <c r="K66" s="534"/>
      <c r="L66" s="586"/>
      <c r="M66" s="586"/>
      <c r="N66" s="586"/>
      <c r="O66" s="587">
        <v>1185</v>
      </c>
      <c r="P66" s="576">
        <f>K66/(O66*12)</f>
        <v>0</v>
      </c>
      <c r="Q66" s="588" t="e">
        <f>L66/(K66+L66)</f>
        <v>#DIV/0!</v>
      </c>
      <c r="R66" s="589">
        <f>S66+T66/60</f>
        <v>0</v>
      </c>
      <c r="S66" s="577"/>
      <c r="T66" s="577"/>
      <c r="U66" s="590"/>
      <c r="V66" s="534"/>
      <c r="AB66" s="533"/>
    </row>
    <row r="67" spans="1:28" ht="24.95" customHeight="1">
      <c r="A67" s="581">
        <v>11</v>
      </c>
      <c r="B67" s="581">
        <v>28</v>
      </c>
      <c r="C67" s="581" t="s">
        <v>673</v>
      </c>
      <c r="D67" s="581" t="s">
        <v>0</v>
      </c>
      <c r="E67" s="581" t="s">
        <v>42</v>
      </c>
      <c r="F67" s="582"/>
      <c r="G67" s="583" t="s">
        <v>633</v>
      </c>
      <c r="H67" s="584"/>
      <c r="I67" s="584"/>
      <c r="J67" s="585"/>
      <c r="K67" s="534"/>
      <c r="L67" s="586"/>
      <c r="M67" s="586"/>
      <c r="N67" s="586"/>
      <c r="O67" s="587">
        <v>1185</v>
      </c>
      <c r="P67" s="576">
        <f t="shared" si="7"/>
        <v>0</v>
      </c>
      <c r="Q67" s="588" t="e">
        <f t="shared" si="8"/>
        <v>#DIV/0!</v>
      </c>
      <c r="R67" s="589">
        <f t="shared" si="9"/>
        <v>0</v>
      </c>
      <c r="S67" s="577"/>
      <c r="T67" s="577"/>
      <c r="U67" s="590"/>
      <c r="V67" s="534"/>
      <c r="AB67" s="533"/>
    </row>
    <row r="68" spans="1:28" ht="24.95" customHeight="1">
      <c r="A68" s="581">
        <v>11</v>
      </c>
      <c r="B68" s="581">
        <v>28</v>
      </c>
      <c r="C68" s="581" t="s">
        <v>673</v>
      </c>
      <c r="D68" s="581" t="s">
        <v>43</v>
      </c>
      <c r="E68" s="581" t="s">
        <v>42</v>
      </c>
      <c r="F68" s="582"/>
      <c r="G68" s="583" t="s">
        <v>633</v>
      </c>
      <c r="H68" s="584"/>
      <c r="I68" s="584"/>
      <c r="J68" s="585"/>
      <c r="K68" s="534"/>
      <c r="L68" s="586"/>
      <c r="M68" s="586"/>
      <c r="N68" s="586"/>
      <c r="O68" s="587">
        <v>1185</v>
      </c>
      <c r="P68" s="576">
        <f t="shared" ref="P68:P80" si="10">K68/(O68*12)</f>
        <v>0</v>
      </c>
      <c r="Q68" s="588" t="e">
        <f t="shared" ref="Q68:Q80" si="11">L68/(K68+L68)</f>
        <v>#DIV/0!</v>
      </c>
      <c r="R68" s="589">
        <f t="shared" ref="R68:R80" si="12">S68+T68/60</f>
        <v>0</v>
      </c>
      <c r="S68" s="577"/>
      <c r="T68" s="577"/>
      <c r="U68" s="590"/>
      <c r="V68" s="534"/>
      <c r="AB68" s="533"/>
    </row>
    <row r="69" spans="1:28" ht="24.95" customHeight="1">
      <c r="A69" s="581">
        <v>11</v>
      </c>
      <c r="B69" s="581">
        <v>29</v>
      </c>
      <c r="C69" s="581" t="s">
        <v>632</v>
      </c>
      <c r="D69" s="581" t="s">
        <v>0</v>
      </c>
      <c r="E69" s="581" t="s">
        <v>42</v>
      </c>
      <c r="F69" s="582"/>
      <c r="G69" s="583" t="s">
        <v>633</v>
      </c>
      <c r="H69" s="584"/>
      <c r="I69" s="584"/>
      <c r="J69" s="585"/>
      <c r="K69" s="534"/>
      <c r="L69" s="586"/>
      <c r="M69" s="586"/>
      <c r="N69" s="586"/>
      <c r="O69" s="587">
        <v>1185</v>
      </c>
      <c r="P69" s="576">
        <f t="shared" si="10"/>
        <v>0</v>
      </c>
      <c r="Q69" s="588" t="e">
        <f t="shared" si="11"/>
        <v>#DIV/0!</v>
      </c>
      <c r="R69" s="589">
        <f t="shared" si="12"/>
        <v>0</v>
      </c>
      <c r="S69" s="577"/>
      <c r="T69" s="577"/>
      <c r="U69" s="590"/>
      <c r="V69" s="534"/>
      <c r="AB69" s="533"/>
    </row>
    <row r="70" spans="1:28" ht="24.95" customHeight="1">
      <c r="A70" s="581">
        <v>11</v>
      </c>
      <c r="B70" s="581">
        <v>29</v>
      </c>
      <c r="C70" s="581" t="s">
        <v>632</v>
      </c>
      <c r="D70" s="581" t="s">
        <v>43</v>
      </c>
      <c r="E70" s="581" t="s">
        <v>42</v>
      </c>
      <c r="F70" s="582"/>
      <c r="G70" s="583" t="s">
        <v>633</v>
      </c>
      <c r="H70" s="584"/>
      <c r="I70" s="584"/>
      <c r="J70" s="585"/>
      <c r="K70" s="534"/>
      <c r="L70" s="586"/>
      <c r="M70" s="586"/>
      <c r="N70" s="586"/>
      <c r="O70" s="587">
        <v>1185</v>
      </c>
      <c r="P70" s="576">
        <f t="shared" si="10"/>
        <v>0</v>
      </c>
      <c r="Q70" s="588" t="e">
        <f t="shared" si="11"/>
        <v>#DIV/0!</v>
      </c>
      <c r="R70" s="589">
        <f t="shared" si="12"/>
        <v>0</v>
      </c>
      <c r="S70" s="577"/>
      <c r="T70" s="577"/>
      <c r="U70" s="590"/>
      <c r="V70" s="534"/>
      <c r="AB70" s="533"/>
    </row>
    <row r="71" spans="1:28" ht="24.95" customHeight="1">
      <c r="A71" s="581">
        <v>11</v>
      </c>
      <c r="B71" s="581">
        <v>30</v>
      </c>
      <c r="C71" s="581" t="s">
        <v>667</v>
      </c>
      <c r="D71" s="581" t="s">
        <v>0</v>
      </c>
      <c r="E71" s="581" t="s">
        <v>42</v>
      </c>
      <c r="F71" s="582"/>
      <c r="G71" s="583" t="s">
        <v>633</v>
      </c>
      <c r="H71" s="584"/>
      <c r="I71" s="584"/>
      <c r="J71" s="585"/>
      <c r="K71" s="534"/>
      <c r="L71" s="586"/>
      <c r="M71" s="586"/>
      <c r="N71" s="586"/>
      <c r="O71" s="587">
        <v>1185</v>
      </c>
      <c r="P71" s="576">
        <f>K71/(O71*12)</f>
        <v>0</v>
      </c>
      <c r="Q71" s="588" t="e">
        <f>L71/(K71+L71)</f>
        <v>#DIV/0!</v>
      </c>
      <c r="R71" s="589">
        <f>S71+T71/60</f>
        <v>0</v>
      </c>
      <c r="S71" s="577"/>
      <c r="T71" s="577"/>
      <c r="U71" s="590"/>
      <c r="V71" s="534"/>
      <c r="AB71" s="533"/>
    </row>
    <row r="72" spans="1:28" ht="24.95" customHeight="1">
      <c r="A72" s="581">
        <v>11</v>
      </c>
      <c r="B72" s="581">
        <v>30</v>
      </c>
      <c r="C72" s="581" t="s">
        <v>667</v>
      </c>
      <c r="D72" s="581" t="s">
        <v>43</v>
      </c>
      <c r="E72" s="581" t="s">
        <v>42</v>
      </c>
      <c r="F72" s="582"/>
      <c r="G72" s="583" t="s">
        <v>633</v>
      </c>
      <c r="H72" s="584"/>
      <c r="I72" s="584"/>
      <c r="J72" s="585"/>
      <c r="K72" s="534"/>
      <c r="L72" s="586"/>
      <c r="M72" s="586"/>
      <c r="N72" s="586"/>
      <c r="O72" s="587">
        <v>1185</v>
      </c>
      <c r="P72" s="576">
        <f>K72/(O72*12)</f>
        <v>0</v>
      </c>
      <c r="Q72" s="588" t="e">
        <f>L72/(K72+L72)</f>
        <v>#DIV/0!</v>
      </c>
      <c r="R72" s="589">
        <f>S72+T72/60</f>
        <v>0</v>
      </c>
      <c r="S72" s="577"/>
      <c r="T72" s="577"/>
      <c r="U72" s="590"/>
      <c r="V72" s="534"/>
      <c r="AB72" s="533"/>
    </row>
    <row r="73" spans="1:28" ht="24.95" customHeight="1">
      <c r="A73" s="434"/>
      <c r="B73" s="434"/>
      <c r="C73" s="434"/>
      <c r="D73" s="581"/>
      <c r="E73" s="581"/>
      <c r="F73" s="582"/>
      <c r="G73" s="583"/>
      <c r="H73" s="584"/>
      <c r="I73" s="584"/>
      <c r="J73" s="585"/>
      <c r="K73" s="534"/>
      <c r="L73" s="586"/>
      <c r="M73" s="586"/>
      <c r="N73" s="586"/>
      <c r="O73" s="587">
        <v>1185</v>
      </c>
      <c r="P73" s="576">
        <f>K73/(O73*12)</f>
        <v>0</v>
      </c>
      <c r="Q73" s="588" t="e">
        <f>L73/(K73+L73)</f>
        <v>#DIV/0!</v>
      </c>
      <c r="R73" s="589">
        <f>S73+T73/60</f>
        <v>0</v>
      </c>
      <c r="S73" s="577"/>
      <c r="T73" s="577"/>
      <c r="U73" s="590"/>
      <c r="V73" s="534"/>
      <c r="AB73" s="533"/>
    </row>
    <row r="74" spans="1:28" ht="24.95" customHeight="1">
      <c r="A74" s="434"/>
      <c r="B74" s="434"/>
      <c r="C74" s="434"/>
      <c r="D74" s="581"/>
      <c r="E74" s="581"/>
      <c r="F74" s="582"/>
      <c r="G74" s="583"/>
      <c r="H74" s="584"/>
      <c r="I74" s="584"/>
      <c r="J74" s="585"/>
      <c r="K74" s="534"/>
      <c r="L74" s="586"/>
      <c r="M74" s="586"/>
      <c r="N74" s="586"/>
      <c r="O74" s="587">
        <v>1185</v>
      </c>
      <c r="P74" s="576">
        <f t="shared" si="10"/>
        <v>0</v>
      </c>
      <c r="Q74" s="588" t="e">
        <f t="shared" si="11"/>
        <v>#DIV/0!</v>
      </c>
      <c r="R74" s="589">
        <f t="shared" si="12"/>
        <v>0</v>
      </c>
      <c r="S74" s="577"/>
      <c r="T74" s="577"/>
      <c r="U74" s="590"/>
      <c r="V74" s="534"/>
      <c r="AB74" s="533"/>
    </row>
    <row r="75" spans="1:28" ht="24.95" customHeight="1">
      <c r="A75" s="434"/>
      <c r="B75" s="434"/>
      <c r="C75" s="581"/>
      <c r="D75" s="581"/>
      <c r="E75" s="581"/>
      <c r="F75" s="582"/>
      <c r="G75" s="583"/>
      <c r="H75" s="584"/>
      <c r="I75" s="584"/>
      <c r="J75" s="585"/>
      <c r="K75" s="534"/>
      <c r="L75" s="586"/>
      <c r="M75" s="586"/>
      <c r="N75" s="586"/>
      <c r="O75" s="587">
        <v>1185</v>
      </c>
      <c r="P75" s="576">
        <f>K75/(O75*12)</f>
        <v>0</v>
      </c>
      <c r="Q75" s="588" t="e">
        <f>L75/(K75+L75)</f>
        <v>#DIV/0!</v>
      </c>
      <c r="R75" s="589">
        <f>S75+T75/60</f>
        <v>0</v>
      </c>
      <c r="S75" s="577"/>
      <c r="T75" s="577"/>
      <c r="U75" s="590"/>
      <c r="V75" s="534"/>
      <c r="AB75" s="533"/>
    </row>
    <row r="76" spans="1:28" ht="24.95" customHeight="1">
      <c r="A76" s="434"/>
      <c r="B76" s="434"/>
      <c r="C76" s="581"/>
      <c r="D76" s="581"/>
      <c r="E76" s="581"/>
      <c r="F76" s="582"/>
      <c r="G76" s="583"/>
      <c r="H76" s="584"/>
      <c r="I76" s="584"/>
      <c r="J76" s="585"/>
      <c r="K76" s="534"/>
      <c r="L76" s="586"/>
      <c r="M76" s="586"/>
      <c r="N76" s="586"/>
      <c r="O76" s="587">
        <v>1185</v>
      </c>
      <c r="P76" s="576">
        <f>K76/(O76*12)</f>
        <v>0</v>
      </c>
      <c r="Q76" s="588" t="e">
        <f>L76/(K76+L76)</f>
        <v>#DIV/0!</v>
      </c>
      <c r="R76" s="589">
        <f>S76+T76/60</f>
        <v>0</v>
      </c>
      <c r="S76" s="577"/>
      <c r="T76" s="577"/>
      <c r="U76" s="590"/>
      <c r="V76" s="534"/>
      <c r="AB76" s="533"/>
    </row>
    <row r="77" spans="1:28" ht="24.95" customHeight="1">
      <c r="A77" s="434"/>
      <c r="B77" s="434"/>
      <c r="C77" s="581"/>
      <c r="D77" s="581"/>
      <c r="E77" s="581"/>
      <c r="F77" s="582"/>
      <c r="G77" s="583"/>
      <c r="H77" s="584"/>
      <c r="I77" s="584"/>
      <c r="J77" s="585"/>
      <c r="K77" s="534"/>
      <c r="L77" s="586"/>
      <c r="M77" s="586"/>
      <c r="N77" s="586"/>
      <c r="O77" s="587">
        <v>1185</v>
      </c>
      <c r="P77" s="576">
        <f t="shared" si="10"/>
        <v>0</v>
      </c>
      <c r="Q77" s="588" t="e">
        <f t="shared" si="11"/>
        <v>#DIV/0!</v>
      </c>
      <c r="R77" s="589">
        <f t="shared" si="12"/>
        <v>0</v>
      </c>
      <c r="S77" s="577"/>
      <c r="T77" s="577"/>
      <c r="U77" s="590"/>
      <c r="V77" s="534"/>
      <c r="AB77" s="533"/>
    </row>
    <row r="78" spans="1:28" ht="24.95" customHeight="1">
      <c r="A78" s="434"/>
      <c r="B78" s="434"/>
      <c r="C78" s="581"/>
      <c r="D78" s="581"/>
      <c r="E78" s="581"/>
      <c r="F78" s="582"/>
      <c r="G78" s="583"/>
      <c r="H78" s="584"/>
      <c r="I78" s="584"/>
      <c r="J78" s="585"/>
      <c r="K78" s="534"/>
      <c r="L78" s="586"/>
      <c r="M78" s="586"/>
      <c r="N78" s="586"/>
      <c r="O78" s="587">
        <v>1185</v>
      </c>
      <c r="P78" s="576">
        <f t="shared" si="10"/>
        <v>0</v>
      </c>
      <c r="Q78" s="588" t="e">
        <f t="shared" si="11"/>
        <v>#DIV/0!</v>
      </c>
      <c r="R78" s="589">
        <f t="shared" si="12"/>
        <v>0</v>
      </c>
      <c r="S78" s="577"/>
      <c r="T78" s="577"/>
      <c r="U78" s="590"/>
      <c r="V78" s="534"/>
      <c r="AB78" s="533"/>
    </row>
    <row r="79" spans="1:28" ht="24.95" customHeight="1">
      <c r="A79" s="434"/>
      <c r="B79" s="434"/>
      <c r="C79" s="434"/>
      <c r="D79" s="581"/>
      <c r="E79" s="581"/>
      <c r="F79" s="582"/>
      <c r="G79" s="583"/>
      <c r="H79" s="584"/>
      <c r="I79" s="584"/>
      <c r="J79" s="585"/>
      <c r="K79" s="534"/>
      <c r="L79" s="586"/>
      <c r="M79" s="586"/>
      <c r="N79" s="586"/>
      <c r="O79" s="587">
        <v>1185</v>
      </c>
      <c r="P79" s="576">
        <f t="shared" si="10"/>
        <v>0</v>
      </c>
      <c r="Q79" s="588" t="e">
        <f t="shared" si="11"/>
        <v>#DIV/0!</v>
      </c>
      <c r="R79" s="589">
        <f t="shared" si="12"/>
        <v>0</v>
      </c>
      <c r="S79" s="577"/>
      <c r="T79" s="577"/>
      <c r="U79" s="590"/>
      <c r="V79" s="534"/>
      <c r="AB79" s="533"/>
    </row>
    <row r="80" spans="1:28" ht="24.95" customHeight="1">
      <c r="A80" s="434"/>
      <c r="B80" s="434"/>
      <c r="C80" s="434"/>
      <c r="D80" s="581"/>
      <c r="E80" s="581"/>
      <c r="F80" s="582"/>
      <c r="G80" s="583"/>
      <c r="H80" s="584"/>
      <c r="I80" s="584"/>
      <c r="J80" s="585"/>
      <c r="K80" s="534"/>
      <c r="L80" s="586"/>
      <c r="M80" s="586"/>
      <c r="N80" s="586"/>
      <c r="O80" s="587">
        <v>1185</v>
      </c>
      <c r="P80" s="576">
        <f t="shared" si="10"/>
        <v>0</v>
      </c>
      <c r="Q80" s="588" t="e">
        <f t="shared" si="11"/>
        <v>#DIV/0!</v>
      </c>
      <c r="R80" s="589">
        <f t="shared" si="12"/>
        <v>0</v>
      </c>
      <c r="S80" s="577"/>
      <c r="T80" s="577"/>
      <c r="U80" s="590"/>
      <c r="V80" s="534"/>
      <c r="AB80" s="533"/>
    </row>
    <row r="81" spans="1:28" ht="24.95" customHeight="1">
      <c r="A81" s="434"/>
      <c r="B81" s="434"/>
      <c r="C81" s="434"/>
      <c r="D81" s="581"/>
      <c r="E81" s="581"/>
      <c r="F81" s="582"/>
      <c r="G81" s="583"/>
      <c r="H81" s="584"/>
      <c r="I81" s="584"/>
      <c r="J81" s="585"/>
      <c r="K81" s="534"/>
      <c r="L81" s="586"/>
      <c r="M81" s="586"/>
      <c r="N81" s="586"/>
      <c r="O81" s="587">
        <v>1185</v>
      </c>
      <c r="P81" s="576">
        <f>K81/(O81*12)</f>
        <v>0</v>
      </c>
      <c r="Q81" s="588" t="e">
        <f>L81/(K81+L81)</f>
        <v>#DIV/0!</v>
      </c>
      <c r="R81" s="589">
        <f>S81+T81/60</f>
        <v>0</v>
      </c>
      <c r="S81" s="577"/>
      <c r="T81" s="577"/>
      <c r="U81" s="590"/>
      <c r="V81" s="534"/>
      <c r="AB81" s="533"/>
    </row>
    <row r="82" spans="1:28" ht="30" customHeight="1">
      <c r="E82" s="456"/>
      <c r="F82" s="560"/>
      <c r="G82" s="573"/>
      <c r="H82" s="575"/>
      <c r="I82" s="575"/>
      <c r="J82" s="561"/>
      <c r="K82" s="533"/>
      <c r="L82" s="562"/>
      <c r="M82" s="562"/>
      <c r="N82" s="562"/>
      <c r="O82" s="563"/>
      <c r="P82" s="566"/>
      <c r="Q82" s="566"/>
      <c r="R82" s="564"/>
      <c r="S82" s="567"/>
      <c r="T82" s="567"/>
      <c r="U82" s="565"/>
      <c r="V82" s="533"/>
      <c r="AB82" s="533"/>
    </row>
    <row r="83" spans="1:28" ht="30" customHeight="1" thickBot="1">
      <c r="E83" s="456"/>
      <c r="F83" s="560"/>
      <c r="G83" s="573"/>
      <c r="H83" s="575"/>
      <c r="I83" s="575"/>
      <c r="J83" s="561"/>
      <c r="K83" s="533"/>
      <c r="L83" s="562"/>
      <c r="M83" s="562"/>
      <c r="N83" s="562"/>
      <c r="O83" s="563"/>
      <c r="P83" s="566"/>
      <c r="Q83" s="566"/>
      <c r="R83" s="564"/>
      <c r="S83" s="567"/>
      <c r="T83" s="567"/>
      <c r="U83" s="565"/>
      <c r="V83" s="533"/>
      <c r="AB83" s="533"/>
    </row>
    <row r="84" spans="1:28" ht="38.25" customHeight="1" thickBot="1">
      <c r="E84" s="456"/>
      <c r="F84" s="560"/>
      <c r="G84" s="592" t="s">
        <v>585</v>
      </c>
      <c r="H84" s="591">
        <f>SUM(H5:H81)</f>
        <v>203500</v>
      </c>
      <c r="I84" s="594">
        <f>SUM(I5:I81)</f>
        <v>308711</v>
      </c>
      <c r="J84" s="596" t="s">
        <v>586</v>
      </c>
      <c r="K84" s="595">
        <f>SUM(K5:K83)</f>
        <v>507428</v>
      </c>
      <c r="L84" s="593">
        <f>SUM(L5:L83)</f>
        <v>359</v>
      </c>
      <c r="M84" s="597" t="s">
        <v>588</v>
      </c>
      <c r="N84" s="562"/>
      <c r="O84" s="564"/>
      <c r="P84" s="566"/>
      <c r="Q84" s="566"/>
      <c r="R84" s="564"/>
      <c r="S84" s="567"/>
      <c r="T84" s="567"/>
      <c r="U84" s="568"/>
      <c r="AB84" s="533"/>
    </row>
    <row r="85" spans="1:28" ht="30" customHeight="1">
      <c r="E85" s="456"/>
      <c r="F85" s="560"/>
      <c r="G85" s="573"/>
      <c r="H85" s="575"/>
      <c r="I85" s="575"/>
      <c r="J85" s="561"/>
      <c r="K85" s="562"/>
      <c r="L85" s="562"/>
      <c r="M85" s="562"/>
      <c r="N85" s="562"/>
      <c r="O85" s="564"/>
      <c r="P85" s="566"/>
      <c r="Q85" s="566"/>
      <c r="R85" s="564"/>
      <c r="S85" s="567"/>
      <c r="T85" s="567"/>
      <c r="AB85" s="533"/>
    </row>
    <row r="86" spans="1:28" ht="30" customHeight="1">
      <c r="E86" s="456"/>
      <c r="F86" s="560"/>
      <c r="G86" s="573"/>
      <c r="H86" s="575"/>
      <c r="I86" s="575"/>
      <c r="J86" s="561"/>
      <c r="K86" s="562"/>
      <c r="L86" s="562"/>
      <c r="M86" s="562"/>
      <c r="N86" s="562"/>
      <c r="O86" s="579"/>
      <c r="P86" s="579"/>
      <c r="Q86" s="579"/>
      <c r="R86" s="579"/>
      <c r="S86" s="579"/>
      <c r="T86" s="579"/>
      <c r="U86" s="579"/>
      <c r="V86" s="579"/>
      <c r="AB86" s="533"/>
    </row>
    <row r="87" spans="1:28" ht="30" customHeight="1">
      <c r="O87" s="533"/>
      <c r="P87" s="570"/>
      <c r="Q87" s="564"/>
      <c r="R87" s="571"/>
      <c r="T87" s="456"/>
      <c r="AB87" s="533"/>
    </row>
    <row r="88" spans="1:28" ht="30" customHeight="1">
      <c r="O88" s="533"/>
      <c r="P88" s="570"/>
      <c r="Q88" s="564"/>
      <c r="R88" s="571"/>
      <c r="T88" s="456"/>
      <c r="AB88" s="533"/>
    </row>
    <row r="89" spans="1:28" ht="30" customHeight="1">
      <c r="A89" s="533"/>
      <c r="B89" s="533"/>
      <c r="C89" s="533"/>
      <c r="D89" s="533"/>
      <c r="E89" s="533"/>
      <c r="F89" s="533"/>
      <c r="G89" s="533"/>
      <c r="H89" s="533"/>
      <c r="I89" s="533"/>
      <c r="J89" s="533"/>
      <c r="K89" s="533"/>
      <c r="L89" s="533"/>
      <c r="M89" s="533"/>
      <c r="N89" s="533"/>
      <c r="O89" s="533"/>
      <c r="Q89" s="533"/>
      <c r="R89" s="571"/>
      <c r="T89" s="456"/>
      <c r="U89" s="533"/>
      <c r="V89" s="533"/>
      <c r="AB89" s="533"/>
    </row>
    <row r="90" spans="1:28" ht="30" customHeight="1">
      <c r="A90" s="533"/>
      <c r="B90" s="533"/>
      <c r="C90" s="533"/>
      <c r="D90" s="533"/>
      <c r="E90" s="533"/>
      <c r="F90" s="533"/>
      <c r="G90" s="533"/>
      <c r="H90" s="533"/>
      <c r="I90" s="533"/>
      <c r="J90" s="533"/>
      <c r="K90" s="533"/>
      <c r="L90" s="533"/>
      <c r="M90" s="533"/>
      <c r="N90" s="533"/>
      <c r="O90" s="533"/>
      <c r="Q90" s="533"/>
      <c r="R90" s="571"/>
      <c r="T90" s="456"/>
      <c r="U90" s="533"/>
      <c r="V90" s="533"/>
      <c r="AB90" s="533"/>
    </row>
    <row r="91" spans="1:28" ht="30" customHeight="1">
      <c r="A91" s="533"/>
      <c r="B91" s="533"/>
      <c r="C91" s="533"/>
      <c r="D91" s="533"/>
      <c r="E91" s="533"/>
      <c r="F91" s="533"/>
      <c r="G91" s="533"/>
      <c r="H91" s="533"/>
      <c r="I91" s="533"/>
      <c r="J91" s="533"/>
      <c r="K91" s="533"/>
      <c r="L91" s="533"/>
      <c r="M91" s="533"/>
      <c r="N91" s="533"/>
      <c r="O91" s="533"/>
      <c r="Q91" s="533"/>
      <c r="R91" s="571"/>
      <c r="T91" s="456"/>
      <c r="U91" s="533"/>
      <c r="V91" s="533"/>
      <c r="AB91" s="533"/>
    </row>
    <row r="92" spans="1:28" ht="30" customHeight="1">
      <c r="A92" s="533"/>
      <c r="B92" s="533"/>
      <c r="C92" s="533"/>
      <c r="D92" s="533"/>
      <c r="E92" s="533"/>
      <c r="F92" s="533"/>
      <c r="G92" s="533"/>
      <c r="H92" s="533"/>
      <c r="I92" s="533"/>
      <c r="J92" s="533"/>
      <c r="K92" s="533"/>
      <c r="L92" s="533"/>
      <c r="M92" s="533"/>
      <c r="N92" s="533"/>
      <c r="Q92" s="456"/>
      <c r="R92" s="571"/>
      <c r="T92" s="456"/>
      <c r="U92" s="533"/>
      <c r="V92" s="533"/>
      <c r="AB92" s="533"/>
    </row>
    <row r="93" spans="1:28" ht="30" customHeight="1">
      <c r="A93" s="533"/>
      <c r="B93" s="533"/>
      <c r="C93" s="533"/>
      <c r="D93" s="533"/>
      <c r="E93" s="533"/>
      <c r="F93" s="533"/>
      <c r="G93" s="533"/>
      <c r="H93" s="533"/>
      <c r="I93" s="533"/>
      <c r="J93" s="533"/>
      <c r="K93" s="533"/>
      <c r="L93" s="533"/>
      <c r="M93" s="533"/>
      <c r="N93" s="533"/>
      <c r="Q93" s="456"/>
      <c r="R93" s="571"/>
      <c r="T93" s="456"/>
      <c r="U93" s="533"/>
      <c r="V93" s="533"/>
      <c r="AB93" s="533"/>
    </row>
    <row r="94" spans="1:28" ht="30" customHeight="1">
      <c r="A94" s="533"/>
      <c r="B94" s="533"/>
      <c r="C94" s="533"/>
      <c r="D94" s="533"/>
      <c r="E94" s="533"/>
      <c r="F94" s="533"/>
      <c r="G94" s="533"/>
      <c r="H94" s="533"/>
      <c r="I94" s="533"/>
      <c r="J94" s="533"/>
      <c r="K94" s="533"/>
      <c r="L94" s="533"/>
      <c r="M94" s="533"/>
      <c r="N94" s="533"/>
      <c r="Q94" s="456"/>
      <c r="R94" s="571"/>
      <c r="T94" s="456"/>
      <c r="U94" s="533"/>
      <c r="V94" s="533"/>
      <c r="AB94" s="533"/>
    </row>
    <row r="95" spans="1:28" ht="30" customHeight="1">
      <c r="A95" s="533"/>
      <c r="B95" s="533"/>
      <c r="C95" s="533"/>
      <c r="D95" s="533"/>
      <c r="E95" s="533"/>
      <c r="F95" s="533"/>
      <c r="G95" s="533"/>
      <c r="H95" s="533"/>
      <c r="I95" s="533"/>
      <c r="J95" s="533"/>
      <c r="K95" s="533"/>
      <c r="L95" s="533"/>
      <c r="M95" s="533"/>
      <c r="N95" s="533"/>
      <c r="Q95" s="456"/>
      <c r="R95" s="571"/>
      <c r="T95" s="456"/>
      <c r="U95" s="533"/>
      <c r="V95" s="533"/>
      <c r="AB95" s="533"/>
    </row>
    <row r="96" spans="1:28" ht="30" customHeight="1">
      <c r="A96" s="533"/>
      <c r="B96" s="533"/>
      <c r="C96" s="533"/>
      <c r="D96" s="533"/>
      <c r="E96" s="533"/>
      <c r="F96" s="533"/>
      <c r="G96" s="533"/>
      <c r="H96" s="533"/>
      <c r="I96" s="533"/>
      <c r="J96" s="533"/>
      <c r="K96" s="533"/>
      <c r="L96" s="533"/>
      <c r="M96" s="533"/>
      <c r="N96" s="533"/>
      <c r="Q96" s="456"/>
      <c r="R96" s="571"/>
      <c r="T96" s="456"/>
      <c r="U96" s="533"/>
      <c r="V96" s="533"/>
      <c r="AB96" s="533"/>
    </row>
    <row r="97" spans="15:20" s="533" customFormat="1" ht="30" customHeight="1">
      <c r="O97" s="560"/>
      <c r="P97" s="572"/>
      <c r="Q97" s="572"/>
      <c r="R97" s="456"/>
      <c r="S97" s="571"/>
      <c r="T97" s="571"/>
    </row>
    <row r="98" spans="15:20" s="533" customFormat="1" ht="30" customHeight="1">
      <c r="O98" s="560"/>
      <c r="P98" s="572"/>
      <c r="Q98" s="572"/>
      <c r="R98" s="456"/>
      <c r="S98" s="571"/>
      <c r="T98" s="571"/>
    </row>
    <row r="99" spans="15:20" s="533" customFormat="1" ht="30" customHeight="1">
      <c r="O99" s="560"/>
      <c r="P99" s="572"/>
      <c r="Q99" s="572"/>
      <c r="R99" s="456"/>
      <c r="S99" s="571"/>
      <c r="T99" s="571"/>
    </row>
    <row r="100" spans="15:20" s="533" customFormat="1" ht="30" customHeight="1">
      <c r="O100" s="560"/>
      <c r="P100" s="572"/>
      <c r="Q100" s="572"/>
      <c r="R100" s="456"/>
      <c r="S100" s="571"/>
      <c r="T100" s="571"/>
    </row>
    <row r="101" spans="15:20" s="533" customFormat="1" ht="30" customHeight="1">
      <c r="O101" s="560"/>
      <c r="P101" s="572"/>
      <c r="Q101" s="572"/>
      <c r="R101" s="456"/>
      <c r="S101" s="571"/>
      <c r="T101" s="571"/>
    </row>
    <row r="102" spans="15:20" s="533" customFormat="1" ht="30" customHeight="1">
      <c r="O102" s="560"/>
      <c r="P102" s="572"/>
      <c r="Q102" s="572"/>
      <c r="R102" s="456"/>
      <c r="S102" s="571"/>
      <c r="T102" s="571"/>
    </row>
    <row r="103" spans="15:20" s="533" customFormat="1" ht="30" customHeight="1">
      <c r="O103" s="560"/>
      <c r="P103" s="572"/>
      <c r="Q103" s="572"/>
      <c r="R103" s="456"/>
      <c r="S103" s="571"/>
      <c r="T103" s="571"/>
    </row>
    <row r="104" spans="15:20" s="533" customFormat="1" ht="30" customHeight="1">
      <c r="O104" s="560"/>
      <c r="P104" s="572"/>
      <c r="Q104" s="572"/>
      <c r="R104" s="456"/>
      <c r="S104" s="571"/>
      <c r="T104" s="571"/>
    </row>
    <row r="105" spans="15:20" s="533" customFormat="1" ht="30" customHeight="1"/>
    <row r="106" spans="15:20" s="533" customFormat="1" ht="30" customHeight="1"/>
    <row r="107" spans="15:20" s="533" customFormat="1" ht="30" customHeight="1"/>
    <row r="108" spans="15:20" s="533" customFormat="1" ht="30" customHeight="1"/>
    <row r="109" spans="15:20" s="533" customFormat="1" ht="30" customHeight="1"/>
    <row r="110" spans="15:20" s="533" customFormat="1" ht="30" customHeight="1"/>
    <row r="111" spans="15:20" s="533" customFormat="1" ht="30" customHeight="1"/>
    <row r="112" spans="15:20" s="533" customFormat="1" ht="30" customHeight="1"/>
    <row r="113" s="533" customFormat="1" ht="30" customHeight="1"/>
    <row r="114" s="533" customFormat="1" ht="30" customHeight="1"/>
    <row r="115" s="533" customFormat="1" ht="30" customHeight="1"/>
    <row r="116" s="533" customFormat="1" ht="30" customHeight="1"/>
    <row r="117" s="533" customFormat="1" ht="30" customHeight="1"/>
    <row r="118" s="533" customFormat="1" ht="30" customHeight="1"/>
    <row r="119" s="533" customFormat="1" ht="30" customHeight="1"/>
    <row r="120" s="533" customFormat="1" ht="30" customHeight="1"/>
    <row r="121" s="533" customFormat="1" ht="30" customHeight="1"/>
    <row r="122" s="533" customFormat="1" ht="30" customHeight="1"/>
    <row r="123" s="533" customFormat="1" ht="30" customHeight="1"/>
    <row r="124" s="533" customFormat="1" ht="30" customHeight="1"/>
    <row r="125" s="533" customFormat="1" ht="30" customHeight="1"/>
    <row r="126" s="533" customFormat="1" ht="30" customHeight="1"/>
    <row r="127" s="533" customFormat="1" ht="30" customHeight="1"/>
    <row r="128" s="533" customFormat="1" ht="30" customHeight="1"/>
    <row r="129" s="533" customFormat="1" ht="30" customHeight="1"/>
    <row r="130" s="533" customFormat="1" ht="30" customHeight="1"/>
    <row r="131" s="533" customFormat="1" ht="30" customHeight="1"/>
    <row r="132" s="533" customFormat="1" ht="30" customHeight="1"/>
    <row r="133" s="533" customFormat="1" ht="30" customHeight="1"/>
    <row r="134" s="533" customFormat="1" ht="30" customHeight="1"/>
    <row r="135" s="533" customFormat="1" ht="30" customHeight="1"/>
    <row r="136" s="533" customFormat="1" ht="30" customHeight="1"/>
    <row r="137" s="533" customFormat="1" ht="30" customHeight="1"/>
    <row r="138" s="533" customFormat="1" ht="30" customHeight="1"/>
    <row r="139" s="533" customFormat="1" ht="30" customHeight="1"/>
    <row r="140" s="533" customFormat="1" ht="30" customHeight="1"/>
    <row r="141" s="533" customFormat="1" ht="30" customHeight="1"/>
    <row r="142" s="533" customFormat="1" ht="30" customHeight="1"/>
    <row r="143" s="533" customFormat="1" ht="30" customHeight="1"/>
    <row r="144" s="533" customFormat="1" ht="30" customHeight="1"/>
    <row r="145" s="533" customFormat="1" ht="30" customHeight="1"/>
    <row r="146" s="533" customFormat="1" ht="30" customHeight="1"/>
    <row r="147" s="533" customFormat="1" ht="30" customHeight="1"/>
    <row r="148" s="533" customFormat="1" ht="30" customHeight="1"/>
    <row r="149" s="533" customFormat="1" ht="30" customHeight="1"/>
    <row r="150" s="533" customFormat="1" ht="30" customHeight="1"/>
    <row r="151" s="533" customFormat="1" ht="30" customHeight="1"/>
    <row r="152" s="533" customFormat="1" ht="30" customHeight="1"/>
    <row r="153" s="533" customFormat="1" ht="30" customHeight="1"/>
    <row r="154" s="533" customFormat="1" ht="30" customHeight="1"/>
    <row r="155" s="533" customFormat="1" ht="30" customHeight="1"/>
    <row r="156" s="533" customFormat="1" ht="30" customHeight="1"/>
    <row r="157" s="533" customFormat="1" ht="30" customHeight="1"/>
    <row r="158" s="533" customFormat="1" ht="30" customHeight="1"/>
    <row r="159" s="533" customFormat="1" ht="30" customHeight="1"/>
    <row r="160" s="533" customFormat="1" ht="30" customHeight="1"/>
    <row r="161" s="533" customFormat="1" ht="30" customHeight="1"/>
    <row r="162" s="533" customFormat="1" ht="30" customHeight="1"/>
    <row r="163" s="533" customFormat="1" ht="30" customHeight="1"/>
    <row r="164" s="533" customFormat="1" ht="30" customHeight="1"/>
    <row r="165" s="533" customFormat="1" ht="30" customHeight="1"/>
    <row r="166" s="533" customFormat="1" ht="30" customHeight="1"/>
    <row r="167" s="533" customFormat="1" ht="30" customHeight="1"/>
    <row r="168" s="533" customFormat="1" ht="30" customHeight="1"/>
    <row r="169" s="533" customFormat="1" ht="30" customHeight="1"/>
    <row r="170" s="533" customFormat="1" ht="30" customHeight="1"/>
    <row r="171" s="533" customFormat="1" ht="30" customHeight="1"/>
    <row r="172" s="533" customFormat="1" ht="30" customHeight="1"/>
    <row r="173" s="533" customFormat="1" ht="30" customHeight="1"/>
    <row r="174" s="533" customFormat="1" ht="30" customHeight="1"/>
    <row r="175" s="533" customFormat="1" ht="30" customHeight="1"/>
    <row r="176" s="533" customFormat="1" ht="30" customHeight="1"/>
    <row r="177" s="533" customFormat="1" ht="30" customHeight="1"/>
    <row r="178" s="533" customFormat="1" ht="30" customHeight="1"/>
    <row r="179" s="533" customFormat="1" ht="30" customHeight="1"/>
    <row r="180" s="533" customFormat="1" ht="30" customHeight="1"/>
    <row r="181" s="533" customFormat="1" ht="30" customHeight="1"/>
    <row r="182" s="533" customFormat="1" ht="30" customHeight="1"/>
    <row r="183" s="533" customFormat="1" ht="30" customHeight="1"/>
    <row r="184" s="533" customFormat="1" ht="30" customHeight="1"/>
    <row r="185" s="533" customFormat="1" ht="30" customHeight="1"/>
    <row r="186" s="533" customFormat="1" ht="30" customHeight="1"/>
    <row r="187" s="533" customFormat="1" ht="30" customHeight="1"/>
    <row r="188" s="533" customFormat="1" ht="30" customHeight="1"/>
    <row r="189" s="533" customFormat="1" ht="30" customHeight="1"/>
    <row r="190" s="533" customFormat="1" ht="30" customHeight="1"/>
    <row r="191" s="533" customFormat="1" ht="30" customHeight="1"/>
    <row r="192" s="533" customFormat="1" ht="30" customHeight="1"/>
    <row r="193" s="533" customFormat="1" ht="30" customHeight="1"/>
    <row r="194" s="533" customFormat="1" ht="30" customHeight="1"/>
    <row r="195" s="533" customFormat="1" ht="30" customHeight="1"/>
    <row r="196" s="533" customFormat="1" ht="30" customHeight="1"/>
    <row r="197" s="533" customFormat="1" ht="30" customHeight="1"/>
    <row r="198" s="533" customFormat="1" ht="30" customHeight="1"/>
    <row r="199" s="533" customFormat="1" ht="30" customHeight="1"/>
    <row r="200" s="533" customFormat="1" ht="30" customHeight="1"/>
    <row r="201" s="533" customFormat="1" ht="30" customHeight="1"/>
    <row r="202" s="533" customFormat="1" ht="30" customHeight="1"/>
    <row r="203" s="533" customFormat="1" ht="30" customHeight="1"/>
    <row r="204" s="533" customFormat="1" ht="30" customHeight="1"/>
    <row r="205" s="533" customFormat="1" ht="30" customHeight="1"/>
    <row r="206" s="533" customFormat="1" ht="30" customHeight="1"/>
    <row r="207" s="533" customFormat="1" ht="30" customHeight="1"/>
    <row r="208" s="533" customFormat="1" ht="30" customHeight="1"/>
    <row r="209" s="533" customFormat="1" ht="30" customHeight="1"/>
    <row r="210" s="533" customFormat="1" ht="30" customHeight="1"/>
    <row r="211" s="533" customFormat="1" ht="30" customHeight="1"/>
    <row r="212" s="533" customFormat="1" ht="30" customHeight="1"/>
    <row r="213" s="533" customFormat="1" ht="30" customHeight="1"/>
    <row r="214" s="533" customFormat="1" ht="30" customHeight="1"/>
    <row r="215" s="533" customFormat="1" ht="30" customHeight="1"/>
    <row r="216" s="533" customFormat="1" ht="30" customHeight="1"/>
    <row r="217" s="533" customFormat="1" ht="30" customHeight="1"/>
    <row r="218" s="533" customFormat="1" ht="30" customHeight="1"/>
    <row r="219" s="533" customFormat="1" ht="30" customHeight="1"/>
    <row r="220" s="533" customFormat="1" ht="30" customHeight="1"/>
    <row r="221" s="533" customFormat="1" ht="30" customHeight="1"/>
    <row r="222" s="533" customFormat="1" ht="30" customHeight="1"/>
    <row r="223" s="533" customFormat="1" ht="30" customHeight="1"/>
    <row r="224" s="533" customFormat="1" ht="30" customHeight="1"/>
    <row r="225" s="533" customFormat="1" ht="30" customHeight="1"/>
    <row r="226" s="533" customFormat="1" ht="30" customHeight="1"/>
    <row r="227" s="533" customFormat="1" ht="30" customHeight="1"/>
    <row r="228" s="533" customFormat="1" ht="30" customHeight="1"/>
    <row r="229" s="533" customFormat="1" ht="24.95" customHeight="1"/>
    <row r="230" s="533" customFormat="1" ht="24.95" customHeight="1"/>
    <row r="231" s="533" customFormat="1" ht="24.95" customHeight="1"/>
    <row r="232" s="533" customFormat="1" ht="24.95" customHeight="1"/>
    <row r="233" s="533" customFormat="1" ht="24.95" customHeight="1"/>
    <row r="234" s="533" customFormat="1" ht="24.95" customHeight="1"/>
    <row r="235" s="533" customFormat="1" ht="24.95" customHeight="1"/>
    <row r="236" s="533" customFormat="1" ht="24.95" customHeight="1"/>
  </sheetData>
  <mergeCells count="18">
    <mergeCell ref="O2:O3"/>
    <mergeCell ref="P2:P3"/>
    <mergeCell ref="Q2:Q3"/>
    <mergeCell ref="R2:R3"/>
    <mergeCell ref="S2:T2"/>
    <mergeCell ref="A1:V1"/>
    <mergeCell ref="A2:A3"/>
    <mergeCell ref="B2:B3"/>
    <mergeCell ref="C2:C3"/>
    <mergeCell ref="D2:D3"/>
    <mergeCell ref="E2:E3"/>
    <mergeCell ref="F2:F3"/>
    <mergeCell ref="G2:G3"/>
    <mergeCell ref="H2:I2"/>
    <mergeCell ref="J2:L2"/>
    <mergeCell ref="U2:U3"/>
    <mergeCell ref="V2:V3"/>
    <mergeCell ref="M2:N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工作表9">
    <tabColor rgb="FFFFC000"/>
  </sheetPr>
  <dimension ref="A1:AB230"/>
  <sheetViews>
    <sheetView zoomScale="75" workbookViewId="0">
      <pane xSplit="4" ySplit="3" topLeftCell="E69" activePane="bottomRight" state="frozen"/>
      <selection activeCell="W23" sqref="W23"/>
      <selection pane="topRight" activeCell="W23" sqref="W23"/>
      <selection pane="bottomLeft" activeCell="W23" sqref="W23"/>
      <selection pane="bottomRight" activeCell="E73" sqref="E73"/>
    </sheetView>
  </sheetViews>
  <sheetFormatPr defaultRowHeight="15.75"/>
  <cols>
    <col min="1" max="4" width="4.375" style="456" customWidth="1"/>
    <col min="5" max="5" width="5.625" style="569" customWidth="1"/>
    <col min="6" max="6" width="6.25" style="569" customWidth="1"/>
    <col min="7" max="9" width="9.625" style="574" customWidth="1"/>
    <col min="10" max="12" width="9.625" style="569" customWidth="1"/>
    <col min="13" max="14" width="5.625" style="569" customWidth="1"/>
    <col min="15" max="15" width="9.625" style="560" customWidth="1"/>
    <col min="16" max="17" width="9.625" style="572" customWidth="1"/>
    <col min="18" max="18" width="7.625" style="456" customWidth="1"/>
    <col min="19" max="20" width="7.625" style="571" customWidth="1"/>
    <col min="21" max="21" width="50.625" style="456" customWidth="1"/>
    <col min="22" max="22" width="20.625" style="456" customWidth="1"/>
    <col min="23" max="23" width="9" style="533"/>
    <col min="24" max="24" width="50.625" style="533" customWidth="1"/>
    <col min="25" max="25" width="9" style="533"/>
    <col min="26" max="27" width="15.625" style="533" customWidth="1"/>
    <col min="28" max="28" width="7.625" style="533" customWidth="1"/>
    <col min="29" max="16384" width="9" style="533"/>
  </cols>
  <sheetData>
    <row r="1" spans="1:28" s="555" customFormat="1" ht="24.95" customHeight="1">
      <c r="A1" s="1788" t="s">
        <v>581</v>
      </c>
      <c r="B1" s="1788"/>
      <c r="C1" s="1788"/>
      <c r="D1" s="1788"/>
      <c r="E1" s="1788"/>
      <c r="F1" s="1788"/>
      <c r="G1" s="1788"/>
      <c r="H1" s="1788"/>
      <c r="I1" s="1788"/>
      <c r="J1" s="1788"/>
      <c r="K1" s="1788"/>
      <c r="L1" s="1788"/>
      <c r="M1" s="1788"/>
      <c r="N1" s="1788"/>
      <c r="O1" s="1788"/>
      <c r="P1" s="1788"/>
      <c r="Q1" s="1788"/>
      <c r="R1" s="1788"/>
      <c r="S1" s="1788"/>
      <c r="T1" s="1788"/>
      <c r="U1" s="1788"/>
      <c r="V1" s="1788"/>
    </row>
    <row r="2" spans="1:28" ht="30" customHeight="1">
      <c r="A2" s="1789" t="s">
        <v>330</v>
      </c>
      <c r="B2" s="1789" t="s">
        <v>311</v>
      </c>
      <c r="C2" s="1791" t="s">
        <v>331</v>
      </c>
      <c r="D2" s="1791" t="s">
        <v>332</v>
      </c>
      <c r="E2" s="1789" t="s">
        <v>194</v>
      </c>
      <c r="F2" s="1789" t="s">
        <v>195</v>
      </c>
      <c r="G2" s="1791" t="s">
        <v>354</v>
      </c>
      <c r="H2" s="1793" t="s">
        <v>334</v>
      </c>
      <c r="I2" s="1793"/>
      <c r="J2" s="1791" t="s">
        <v>335</v>
      </c>
      <c r="K2" s="1791"/>
      <c r="L2" s="1791"/>
      <c r="M2" s="1791" t="s">
        <v>336</v>
      </c>
      <c r="N2" s="1791"/>
      <c r="O2" s="1798" t="s">
        <v>337</v>
      </c>
      <c r="P2" s="1800" t="s">
        <v>338</v>
      </c>
      <c r="Q2" s="1783" t="s">
        <v>45</v>
      </c>
      <c r="R2" s="1785" t="s">
        <v>339</v>
      </c>
      <c r="S2" s="1787" t="s">
        <v>340</v>
      </c>
      <c r="T2" s="1787"/>
      <c r="U2" s="1794" t="s">
        <v>342</v>
      </c>
      <c r="V2" s="1796" t="s">
        <v>57</v>
      </c>
    </row>
    <row r="3" spans="1:28" ht="36" customHeight="1">
      <c r="A3" s="1790"/>
      <c r="B3" s="1790"/>
      <c r="C3" s="1790"/>
      <c r="D3" s="1790"/>
      <c r="E3" s="1790"/>
      <c r="F3" s="1790"/>
      <c r="G3" s="1792"/>
      <c r="H3" s="578" t="s">
        <v>343</v>
      </c>
      <c r="I3" s="578" t="s">
        <v>344</v>
      </c>
      <c r="J3" s="556" t="s">
        <v>345</v>
      </c>
      <c r="K3" s="556" t="s">
        <v>346</v>
      </c>
      <c r="L3" s="557" t="s">
        <v>347</v>
      </c>
      <c r="M3" s="556" t="s">
        <v>348</v>
      </c>
      <c r="N3" s="556" t="s">
        <v>349</v>
      </c>
      <c r="O3" s="1799"/>
      <c r="P3" s="1801"/>
      <c r="Q3" s="1784"/>
      <c r="R3" s="1786"/>
      <c r="S3" s="558" t="s">
        <v>350</v>
      </c>
      <c r="T3" s="558" t="s">
        <v>351</v>
      </c>
      <c r="U3" s="1795"/>
      <c r="V3" s="1797"/>
    </row>
    <row r="4" spans="1:28" ht="24.95" customHeight="1" thickBot="1">
      <c r="A4" s="581">
        <v>11</v>
      </c>
      <c r="B4" s="581">
        <v>1</v>
      </c>
      <c r="C4" s="581" t="s">
        <v>632</v>
      </c>
      <c r="D4" s="581" t="s">
        <v>0</v>
      </c>
      <c r="E4" s="581" t="s">
        <v>44</v>
      </c>
      <c r="F4" s="582">
        <v>0.47</v>
      </c>
      <c r="G4" s="583">
        <v>0.6</v>
      </c>
      <c r="H4" s="584">
        <f>1000*3</f>
        <v>3000</v>
      </c>
      <c r="I4" s="584">
        <f>435+946+531+440+520</f>
        <v>2872</v>
      </c>
      <c r="J4" s="585">
        <v>820</v>
      </c>
      <c r="K4" s="585">
        <f>500+503+505+502+506+504+502+500+504+502</f>
        <v>5028</v>
      </c>
      <c r="L4" s="586"/>
      <c r="M4" s="586"/>
      <c r="N4" s="586"/>
      <c r="O4" s="587">
        <v>450</v>
      </c>
      <c r="P4" s="576">
        <f>K4/(O4*12)</f>
        <v>0.93111111111111111</v>
      </c>
      <c r="Q4" s="588">
        <f>L4/(K4+L4)</f>
        <v>0</v>
      </c>
      <c r="R4" s="589">
        <f>S4+T4/60</f>
        <v>11.65</v>
      </c>
      <c r="S4" s="577">
        <v>11</v>
      </c>
      <c r="T4" s="577">
        <v>39</v>
      </c>
      <c r="U4" s="559" t="s">
        <v>717</v>
      </c>
      <c r="V4" s="534" t="s">
        <v>679</v>
      </c>
      <c r="X4" s="601" t="s">
        <v>582</v>
      </c>
      <c r="Z4" s="608">
        <f>SUMIF(D3:D75,"A",K3:K75)</f>
        <v>101335</v>
      </c>
      <c r="AA4" s="609">
        <f>SUMIF(D3:D75,"B",K3:K75)</f>
        <v>102708</v>
      </c>
      <c r="AB4" s="607" t="s">
        <v>587</v>
      </c>
    </row>
    <row r="5" spans="1:28" ht="24.95" customHeight="1" thickBot="1">
      <c r="A5" s="581">
        <v>11</v>
      </c>
      <c r="B5" s="581">
        <v>1</v>
      </c>
      <c r="C5" s="581" t="s">
        <v>632</v>
      </c>
      <c r="D5" s="581" t="s">
        <v>707</v>
      </c>
      <c r="E5" s="581" t="s">
        <v>44</v>
      </c>
      <c r="F5" s="582">
        <v>0.47</v>
      </c>
      <c r="G5" s="583">
        <v>0.6</v>
      </c>
      <c r="H5" s="584">
        <f>1000*3</f>
        <v>3000</v>
      </c>
      <c r="I5" s="584">
        <f>598+509+323+470+490+554</f>
        <v>2944</v>
      </c>
      <c r="J5" s="585">
        <v>820</v>
      </c>
      <c r="K5" s="585">
        <f>501+502+505+504+506+501+507+503+500+504</f>
        <v>5033</v>
      </c>
      <c r="L5" s="586"/>
      <c r="M5" s="586"/>
      <c r="N5" s="586"/>
      <c r="O5" s="587">
        <v>450</v>
      </c>
      <c r="P5" s="576">
        <f t="shared" ref="P5:P58" si="0">K5/(O5*12)</f>
        <v>0.932037037037037</v>
      </c>
      <c r="Q5" s="588">
        <f t="shared" ref="Q5:Q58" si="1">L5/(K5+L5)</f>
        <v>0</v>
      </c>
      <c r="R5" s="589">
        <f t="shared" ref="R5:R58" si="2">S5+T5/60</f>
        <v>11.916666666666666</v>
      </c>
      <c r="S5" s="577">
        <v>11</v>
      </c>
      <c r="T5" s="577">
        <v>55</v>
      </c>
      <c r="U5" s="559" t="s">
        <v>718</v>
      </c>
      <c r="V5" s="534" t="s">
        <v>719</v>
      </c>
      <c r="X5" s="602" t="s">
        <v>583</v>
      </c>
      <c r="Z5" s="598" t="s">
        <v>597</v>
      </c>
      <c r="AA5" s="599" t="s">
        <v>598</v>
      </c>
      <c r="AB5" s="600" t="s">
        <v>595</v>
      </c>
    </row>
    <row r="6" spans="1:28" ht="24.95" customHeight="1" thickBot="1">
      <c r="A6" s="581">
        <v>11</v>
      </c>
      <c r="B6" s="581">
        <v>2</v>
      </c>
      <c r="C6" s="581" t="s">
        <v>755</v>
      </c>
      <c r="D6" s="581" t="s">
        <v>0</v>
      </c>
      <c r="E6" s="581" t="s">
        <v>44</v>
      </c>
      <c r="F6" s="582">
        <v>0.47</v>
      </c>
      <c r="G6" s="583">
        <v>0.8</v>
      </c>
      <c r="H6" s="584">
        <f>1000</f>
        <v>1000</v>
      </c>
      <c r="I6" s="584">
        <f>420+782+703*2+555+831</f>
        <v>3994</v>
      </c>
      <c r="J6" s="585">
        <v>820</v>
      </c>
      <c r="K6" s="585">
        <f>500+503+506+504+502+503+501</f>
        <v>3519</v>
      </c>
      <c r="L6" s="586">
        <f>51</f>
        <v>51</v>
      </c>
      <c r="M6" s="586"/>
      <c r="N6" s="586"/>
      <c r="O6" s="587">
        <v>450</v>
      </c>
      <c r="P6" s="576">
        <f t="shared" si="0"/>
        <v>0.65166666666666662</v>
      </c>
      <c r="Q6" s="588">
        <f t="shared" si="1"/>
        <v>1.4285714285714285E-2</v>
      </c>
      <c r="R6" s="589">
        <f t="shared" si="2"/>
        <v>8.35</v>
      </c>
      <c r="S6" s="577">
        <v>8</v>
      </c>
      <c r="T6" s="577">
        <v>21</v>
      </c>
      <c r="U6" s="559" t="s">
        <v>770</v>
      </c>
      <c r="V6" s="534" t="s">
        <v>679</v>
      </c>
      <c r="X6" s="534" t="s">
        <v>584</v>
      </c>
      <c r="Z6" s="598" t="s">
        <v>593</v>
      </c>
      <c r="AA6" s="599" t="s">
        <v>594</v>
      </c>
      <c r="AB6" s="600" t="s">
        <v>595</v>
      </c>
    </row>
    <row r="7" spans="1:28" ht="24.95" customHeight="1">
      <c r="A7" s="581">
        <v>11</v>
      </c>
      <c r="B7" s="581">
        <v>2</v>
      </c>
      <c r="C7" s="581" t="s">
        <v>755</v>
      </c>
      <c r="D7" s="581" t="s">
        <v>0</v>
      </c>
      <c r="E7" s="581" t="s">
        <v>44</v>
      </c>
      <c r="F7" s="582">
        <v>0.6</v>
      </c>
      <c r="G7" s="583">
        <v>0.8</v>
      </c>
      <c r="H7" s="584"/>
      <c r="I7" s="584"/>
      <c r="J7" s="585">
        <v>830</v>
      </c>
      <c r="K7" s="534">
        <f>500+504+506</f>
        <v>1510</v>
      </c>
      <c r="L7" s="586"/>
      <c r="M7" s="586">
        <v>8</v>
      </c>
      <c r="N7" s="586"/>
      <c r="O7" s="587">
        <v>450</v>
      </c>
      <c r="P7" s="576">
        <f>K7/(O7*12)</f>
        <v>0.27962962962962962</v>
      </c>
      <c r="Q7" s="588">
        <f>L7/(K7+L7)</f>
        <v>0</v>
      </c>
      <c r="R7" s="589">
        <f>S7+T7/60</f>
        <v>3.4333333333333336</v>
      </c>
      <c r="S7" s="577">
        <v>3</v>
      </c>
      <c r="T7" s="577">
        <v>26</v>
      </c>
      <c r="U7" s="559" t="s">
        <v>796</v>
      </c>
      <c r="V7" s="534" t="s">
        <v>679</v>
      </c>
    </row>
    <row r="8" spans="1:28" ht="24.95" customHeight="1">
      <c r="A8" s="581">
        <v>11</v>
      </c>
      <c r="B8" s="581">
        <v>2</v>
      </c>
      <c r="C8" s="581" t="s">
        <v>755</v>
      </c>
      <c r="D8" s="581" t="s">
        <v>43</v>
      </c>
      <c r="E8" s="581" t="s">
        <v>44</v>
      </c>
      <c r="F8" s="582">
        <v>0.6</v>
      </c>
      <c r="G8" s="583">
        <v>0.8</v>
      </c>
      <c r="H8" s="584">
        <f>1000</f>
        <v>1000</v>
      </c>
      <c r="I8" s="584">
        <f>450+673+746+673+782+520+664</f>
        <v>4508</v>
      </c>
      <c r="J8" s="585">
        <v>830</v>
      </c>
      <c r="K8" s="534">
        <f>501+503+506+502+504+507+500+505+503+506</f>
        <v>5037</v>
      </c>
      <c r="L8" s="586"/>
      <c r="M8" s="586">
        <v>8</v>
      </c>
      <c r="N8" s="586"/>
      <c r="O8" s="587">
        <v>450</v>
      </c>
      <c r="P8" s="576">
        <f t="shared" si="0"/>
        <v>0.93277777777777782</v>
      </c>
      <c r="Q8" s="588">
        <f t="shared" si="1"/>
        <v>0</v>
      </c>
      <c r="R8" s="589">
        <f t="shared" si="2"/>
        <v>11.616666666666667</v>
      </c>
      <c r="S8" s="577">
        <v>11</v>
      </c>
      <c r="T8" s="577">
        <v>37</v>
      </c>
      <c r="U8" s="559" t="s">
        <v>771</v>
      </c>
      <c r="V8" s="534" t="s">
        <v>719</v>
      </c>
    </row>
    <row r="9" spans="1:28" ht="24.95" customHeight="1">
      <c r="A9" s="581">
        <v>11</v>
      </c>
      <c r="B9" s="581">
        <v>3</v>
      </c>
      <c r="C9" s="581" t="s">
        <v>784</v>
      </c>
      <c r="D9" s="581" t="s">
        <v>0</v>
      </c>
      <c r="E9" s="581" t="s">
        <v>44</v>
      </c>
      <c r="F9" s="582">
        <v>0.6</v>
      </c>
      <c r="G9" s="583">
        <v>0.8</v>
      </c>
      <c r="H9" s="584">
        <f>1000</f>
        <v>1000</v>
      </c>
      <c r="I9" s="584">
        <f>773+673+650+450+435+837+683</f>
        <v>4501</v>
      </c>
      <c r="J9" s="585">
        <v>830</v>
      </c>
      <c r="K9" s="534">
        <f>502+504+506+503+501+505+503+505+500+504+502</f>
        <v>5535</v>
      </c>
      <c r="L9" s="586"/>
      <c r="M9" s="586">
        <v>8</v>
      </c>
      <c r="N9" s="586"/>
      <c r="O9" s="587">
        <v>450</v>
      </c>
      <c r="P9" s="576">
        <f t="shared" si="0"/>
        <v>1.0249999999999999</v>
      </c>
      <c r="Q9" s="588">
        <f t="shared" si="1"/>
        <v>0</v>
      </c>
      <c r="R9" s="589">
        <f t="shared" si="2"/>
        <v>12.816666666666666</v>
      </c>
      <c r="S9" s="577">
        <v>12</v>
      </c>
      <c r="T9" s="577">
        <v>49</v>
      </c>
      <c r="U9" s="559" t="s">
        <v>793</v>
      </c>
      <c r="V9" s="534" t="s">
        <v>679</v>
      </c>
    </row>
    <row r="10" spans="1:28" ht="24.95" customHeight="1">
      <c r="A10" s="581">
        <v>11</v>
      </c>
      <c r="B10" s="581">
        <v>3</v>
      </c>
      <c r="C10" s="581" t="s">
        <v>784</v>
      </c>
      <c r="D10" s="581" t="s">
        <v>43</v>
      </c>
      <c r="E10" s="581" t="s">
        <v>44</v>
      </c>
      <c r="F10" s="582">
        <v>0.6</v>
      </c>
      <c r="G10" s="583">
        <v>0.8</v>
      </c>
      <c r="H10" s="584">
        <f>1000</f>
        <v>1000</v>
      </c>
      <c r="I10" s="584">
        <f>415+425+703+819+776+715</f>
        <v>3853</v>
      </c>
      <c r="J10" s="585">
        <v>830</v>
      </c>
      <c r="K10" s="534">
        <f>503+505+507+502+506+504+502+503+500+505</f>
        <v>5037</v>
      </c>
      <c r="L10" s="586"/>
      <c r="M10" s="586">
        <v>8</v>
      </c>
      <c r="N10" s="586"/>
      <c r="O10" s="587">
        <v>450</v>
      </c>
      <c r="P10" s="576">
        <f>K10/(O10*12)</f>
        <v>0.93277777777777782</v>
      </c>
      <c r="Q10" s="588">
        <f>L10/(K10+L10)</f>
        <v>0</v>
      </c>
      <c r="R10" s="589">
        <f>S10+T10/60</f>
        <v>11.35</v>
      </c>
      <c r="S10" s="577">
        <v>11</v>
      </c>
      <c r="T10" s="577">
        <v>21</v>
      </c>
      <c r="U10" s="559" t="s">
        <v>797</v>
      </c>
      <c r="V10" s="534" t="s">
        <v>719</v>
      </c>
    </row>
    <row r="11" spans="1:28" ht="24.95" customHeight="1">
      <c r="A11" s="581">
        <v>11</v>
      </c>
      <c r="B11" s="581">
        <v>4</v>
      </c>
      <c r="C11" s="581" t="s">
        <v>805</v>
      </c>
      <c r="D11" s="581" t="s">
        <v>0</v>
      </c>
      <c r="E11" s="581" t="s">
        <v>44</v>
      </c>
      <c r="F11" s="582">
        <v>0.6</v>
      </c>
      <c r="G11" s="583">
        <v>0.6</v>
      </c>
      <c r="H11" s="584">
        <f>1000*2+125+40</f>
        <v>2165</v>
      </c>
      <c r="I11" s="584">
        <f>437+762+510+732+755</f>
        <v>3196</v>
      </c>
      <c r="J11" s="585">
        <v>830</v>
      </c>
      <c r="K11" s="534">
        <f>500+503+506+504+502+505+503+501+504+502</f>
        <v>5030</v>
      </c>
      <c r="L11" s="586"/>
      <c r="M11" s="586">
        <v>8</v>
      </c>
      <c r="N11" s="586"/>
      <c r="O11" s="587">
        <v>450</v>
      </c>
      <c r="P11" s="576">
        <f t="shared" si="0"/>
        <v>0.93148148148148147</v>
      </c>
      <c r="Q11" s="588">
        <f t="shared" si="1"/>
        <v>0</v>
      </c>
      <c r="R11" s="589">
        <f t="shared" si="2"/>
        <v>11.666666666666666</v>
      </c>
      <c r="S11" s="577">
        <v>11</v>
      </c>
      <c r="T11" s="577">
        <v>40</v>
      </c>
      <c r="U11" s="559" t="s">
        <v>821</v>
      </c>
      <c r="V11" s="534" t="s">
        <v>679</v>
      </c>
    </row>
    <row r="12" spans="1:28" ht="24.95" customHeight="1">
      <c r="A12" s="581">
        <v>11</v>
      </c>
      <c r="B12" s="581">
        <v>4</v>
      </c>
      <c r="C12" s="581" t="s">
        <v>805</v>
      </c>
      <c r="D12" s="581" t="s">
        <v>43</v>
      </c>
      <c r="E12" s="581" t="s">
        <v>44</v>
      </c>
      <c r="F12" s="582">
        <v>0.6</v>
      </c>
      <c r="G12" s="583">
        <v>0.6</v>
      </c>
      <c r="H12" s="584"/>
      <c r="I12" s="584"/>
      <c r="J12" s="585">
        <v>830</v>
      </c>
      <c r="K12" s="534">
        <f>503+502</f>
        <v>1005</v>
      </c>
      <c r="L12" s="586"/>
      <c r="M12" s="586">
        <v>8</v>
      </c>
      <c r="N12" s="586"/>
      <c r="O12" s="587">
        <v>450</v>
      </c>
      <c r="P12" s="576">
        <f t="shared" si="0"/>
        <v>0.18611111111111112</v>
      </c>
      <c r="Q12" s="588">
        <f t="shared" si="1"/>
        <v>0</v>
      </c>
      <c r="R12" s="589">
        <f t="shared" si="2"/>
        <v>2.35</v>
      </c>
      <c r="S12" s="577">
        <v>2</v>
      </c>
      <c r="T12" s="577">
        <v>21</v>
      </c>
      <c r="U12" s="559" t="s">
        <v>822</v>
      </c>
      <c r="V12" s="534" t="s">
        <v>719</v>
      </c>
    </row>
    <row r="13" spans="1:28" ht="30.75" customHeight="1">
      <c r="A13" s="581">
        <v>11</v>
      </c>
      <c r="B13" s="581">
        <v>5</v>
      </c>
      <c r="C13" s="581" t="s">
        <v>834</v>
      </c>
      <c r="D13" s="581" t="s">
        <v>0</v>
      </c>
      <c r="E13" s="581" t="s">
        <v>44</v>
      </c>
      <c r="F13" s="582">
        <v>0.6</v>
      </c>
      <c r="G13" s="583">
        <v>0.6</v>
      </c>
      <c r="H13" s="584">
        <f>1000*2+100+40</f>
        <v>2140</v>
      </c>
      <c r="I13" s="584">
        <f>570+450+912</f>
        <v>1932</v>
      </c>
      <c r="J13" s="585">
        <v>830</v>
      </c>
      <c r="K13" s="534">
        <f>500+502+504+501+504+506+501+503+500</f>
        <v>4521</v>
      </c>
      <c r="L13" s="586">
        <f>44</f>
        <v>44</v>
      </c>
      <c r="M13" s="586">
        <v>8</v>
      </c>
      <c r="N13" s="586"/>
      <c r="O13" s="587">
        <v>450</v>
      </c>
      <c r="P13" s="576">
        <f t="shared" si="0"/>
        <v>0.8372222222222222</v>
      </c>
      <c r="Q13" s="588">
        <f t="shared" si="1"/>
        <v>9.6385542168674707E-3</v>
      </c>
      <c r="R13" s="589">
        <f t="shared" si="2"/>
        <v>10.35</v>
      </c>
      <c r="S13" s="577">
        <v>10</v>
      </c>
      <c r="T13" s="577">
        <v>21</v>
      </c>
      <c r="U13" s="559" t="s">
        <v>848</v>
      </c>
      <c r="V13" s="534" t="s">
        <v>847</v>
      </c>
    </row>
    <row r="14" spans="1:28" ht="24.95" customHeight="1">
      <c r="A14" s="581">
        <v>11</v>
      </c>
      <c r="B14" s="581">
        <v>5</v>
      </c>
      <c r="C14" s="581" t="s">
        <v>834</v>
      </c>
      <c r="D14" s="581" t="s">
        <v>43</v>
      </c>
      <c r="E14" s="581" t="s">
        <v>44</v>
      </c>
      <c r="F14" s="582">
        <v>0.6</v>
      </c>
      <c r="G14" s="583">
        <v>0.6</v>
      </c>
      <c r="H14" s="584">
        <f>1000*2</f>
        <v>2000</v>
      </c>
      <c r="I14" s="584">
        <f>587+802+847+947+585+941</f>
        <v>4709</v>
      </c>
      <c r="J14" s="585">
        <v>830</v>
      </c>
      <c r="K14" s="534">
        <f>500+503+504+506+507+502+505+501</f>
        <v>4028</v>
      </c>
      <c r="L14" s="586">
        <f>150</f>
        <v>150</v>
      </c>
      <c r="M14" s="586">
        <v>8</v>
      </c>
      <c r="N14" s="586"/>
      <c r="O14" s="587">
        <v>450</v>
      </c>
      <c r="P14" s="576">
        <f>K14/(O14*12)</f>
        <v>0.74592592592592588</v>
      </c>
      <c r="Q14" s="588">
        <f>L14/(K14+L14)</f>
        <v>3.5902345619913838E-2</v>
      </c>
      <c r="R14" s="589">
        <f>S14+T14/60</f>
        <v>9.15</v>
      </c>
      <c r="S14" s="577">
        <v>9</v>
      </c>
      <c r="T14" s="577">
        <v>9</v>
      </c>
      <c r="U14" s="559" t="s">
        <v>849</v>
      </c>
      <c r="V14" s="534" t="s">
        <v>719</v>
      </c>
    </row>
    <row r="15" spans="1:28" ht="24.95" customHeight="1">
      <c r="A15" s="581">
        <v>11</v>
      </c>
      <c r="B15" s="581">
        <v>5</v>
      </c>
      <c r="C15" s="581" t="s">
        <v>834</v>
      </c>
      <c r="D15" s="581" t="s">
        <v>43</v>
      </c>
      <c r="E15" s="581" t="s">
        <v>44</v>
      </c>
      <c r="F15" s="582">
        <v>0.34</v>
      </c>
      <c r="G15" s="583">
        <v>0.6</v>
      </c>
      <c r="H15" s="584"/>
      <c r="I15" s="584"/>
      <c r="J15" s="585">
        <v>820</v>
      </c>
      <c r="K15" s="534">
        <f>503+504</f>
        <v>1007</v>
      </c>
      <c r="L15" s="586"/>
      <c r="M15" s="586">
        <v>4</v>
      </c>
      <c r="N15" s="586"/>
      <c r="O15" s="587">
        <v>450</v>
      </c>
      <c r="P15" s="576">
        <f t="shared" si="0"/>
        <v>0.18648148148148147</v>
      </c>
      <c r="Q15" s="588">
        <f t="shared" si="1"/>
        <v>0</v>
      </c>
      <c r="R15" s="589">
        <f t="shared" si="2"/>
        <v>2.5</v>
      </c>
      <c r="S15" s="577">
        <v>2</v>
      </c>
      <c r="T15" s="577">
        <v>30</v>
      </c>
      <c r="U15" s="559" t="s">
        <v>850</v>
      </c>
      <c r="V15" s="534" t="s">
        <v>719</v>
      </c>
    </row>
    <row r="16" spans="1:28" ht="24.95" customHeight="1">
      <c r="A16" s="581">
        <v>11</v>
      </c>
      <c r="B16" s="581">
        <v>6</v>
      </c>
      <c r="C16" s="581" t="s">
        <v>859</v>
      </c>
      <c r="D16" s="581" t="s">
        <v>0</v>
      </c>
      <c r="E16" s="581" t="s">
        <v>44</v>
      </c>
      <c r="F16" s="582">
        <v>0.34</v>
      </c>
      <c r="G16" s="583">
        <v>0.6</v>
      </c>
      <c r="H16" s="584">
        <f>1000*2</f>
        <v>2000</v>
      </c>
      <c r="I16" s="584">
        <f>450+600+608+622+946+435+622</f>
        <v>4283</v>
      </c>
      <c r="J16" s="585">
        <v>820</v>
      </c>
      <c r="K16" s="534">
        <f>500+505+503+506+504+502+500+504+503+501</f>
        <v>5028</v>
      </c>
      <c r="L16" s="586"/>
      <c r="M16" s="586">
        <v>4</v>
      </c>
      <c r="N16" s="586"/>
      <c r="O16" s="587">
        <v>450</v>
      </c>
      <c r="P16" s="576">
        <f t="shared" si="0"/>
        <v>0.93111111111111111</v>
      </c>
      <c r="Q16" s="588">
        <f t="shared" si="1"/>
        <v>0</v>
      </c>
      <c r="R16" s="589">
        <f t="shared" si="2"/>
        <v>11.85</v>
      </c>
      <c r="S16" s="577">
        <v>11</v>
      </c>
      <c r="T16" s="577">
        <v>51</v>
      </c>
      <c r="U16" s="559" t="s">
        <v>869</v>
      </c>
      <c r="V16" s="534" t="s">
        <v>870</v>
      </c>
    </row>
    <row r="17" spans="1:22" ht="24.95" customHeight="1">
      <c r="A17" s="581">
        <v>11</v>
      </c>
      <c r="B17" s="581">
        <v>6</v>
      </c>
      <c r="C17" s="581" t="s">
        <v>859</v>
      </c>
      <c r="D17" s="581" t="s">
        <v>43</v>
      </c>
      <c r="E17" s="581" t="s">
        <v>44</v>
      </c>
      <c r="F17" s="582">
        <v>0.34</v>
      </c>
      <c r="G17" s="583">
        <v>0.6</v>
      </c>
      <c r="H17" s="584">
        <f>1000*2</f>
        <v>2000</v>
      </c>
      <c r="I17" s="584">
        <f>894+989+400+415+511</f>
        <v>3209</v>
      </c>
      <c r="J17" s="585">
        <v>820</v>
      </c>
      <c r="K17" s="534">
        <f>500+503+505+504+502+501+506+507+502+505</f>
        <v>5035</v>
      </c>
      <c r="L17" s="586"/>
      <c r="M17" s="586">
        <v>4</v>
      </c>
      <c r="N17" s="586"/>
      <c r="O17" s="587">
        <v>450</v>
      </c>
      <c r="P17" s="576">
        <f t="shared" si="0"/>
        <v>0.93240740740740746</v>
      </c>
      <c r="Q17" s="588">
        <f t="shared" si="1"/>
        <v>0</v>
      </c>
      <c r="R17" s="589">
        <f t="shared" si="2"/>
        <v>12.15</v>
      </c>
      <c r="S17" s="577">
        <v>12</v>
      </c>
      <c r="T17" s="577">
        <v>9</v>
      </c>
      <c r="U17" s="559" t="s">
        <v>871</v>
      </c>
      <c r="V17" s="534" t="s">
        <v>719</v>
      </c>
    </row>
    <row r="18" spans="1:22" ht="24.95" customHeight="1">
      <c r="A18" s="581">
        <v>11</v>
      </c>
      <c r="B18" s="581">
        <v>7</v>
      </c>
      <c r="C18" s="581" t="s">
        <v>888</v>
      </c>
      <c r="D18" s="581" t="s">
        <v>0</v>
      </c>
      <c r="E18" s="581" t="s">
        <v>44</v>
      </c>
      <c r="F18" s="582">
        <v>0.34</v>
      </c>
      <c r="G18" s="583">
        <v>0.6</v>
      </c>
      <c r="H18" s="584"/>
      <c r="I18" s="584"/>
      <c r="J18" s="585">
        <v>820</v>
      </c>
      <c r="K18" s="585">
        <f>500+503+506</f>
        <v>1509</v>
      </c>
      <c r="L18" s="586"/>
      <c r="M18" s="586">
        <v>4</v>
      </c>
      <c r="N18" s="586"/>
      <c r="O18" s="587">
        <v>450</v>
      </c>
      <c r="P18" s="576">
        <f>K18/(O18*12)</f>
        <v>0.27944444444444444</v>
      </c>
      <c r="Q18" s="588">
        <f>L18/(K18+L18)</f>
        <v>0</v>
      </c>
      <c r="R18" s="589">
        <f>S18+T18/60</f>
        <v>3.4</v>
      </c>
      <c r="S18" s="577">
        <v>3</v>
      </c>
      <c r="T18" s="577">
        <v>24</v>
      </c>
      <c r="U18" s="559" t="s">
        <v>896</v>
      </c>
      <c r="V18" s="534" t="s">
        <v>679</v>
      </c>
    </row>
    <row r="19" spans="1:22" ht="24.95" customHeight="1">
      <c r="A19" s="581">
        <v>11</v>
      </c>
      <c r="B19" s="581">
        <v>7</v>
      </c>
      <c r="C19" s="581" t="s">
        <v>888</v>
      </c>
      <c r="D19" s="581" t="s">
        <v>0</v>
      </c>
      <c r="E19" s="581" t="s">
        <v>44</v>
      </c>
      <c r="F19" s="582">
        <v>0.47</v>
      </c>
      <c r="G19" s="583">
        <v>0.6</v>
      </c>
      <c r="H19" s="584">
        <f>1000*2</f>
        <v>2000</v>
      </c>
      <c r="I19" s="584">
        <f>435+430+550+946+947+849</f>
        <v>4157</v>
      </c>
      <c r="J19" s="585">
        <v>820</v>
      </c>
      <c r="K19" s="534">
        <f>500+505+503+501+504+502+505</f>
        <v>3520</v>
      </c>
      <c r="L19" s="586"/>
      <c r="M19" s="586">
        <v>8</v>
      </c>
      <c r="N19" s="586"/>
      <c r="O19" s="587">
        <v>450</v>
      </c>
      <c r="P19" s="576">
        <f>K19/(O19*12)</f>
        <v>0.6518518518518519</v>
      </c>
      <c r="Q19" s="588">
        <f>L19/(K19+L19)</f>
        <v>0</v>
      </c>
      <c r="R19" s="589">
        <f>S19+T19/60</f>
        <v>8.3333333333333339</v>
      </c>
      <c r="S19" s="577">
        <v>8</v>
      </c>
      <c r="T19" s="577">
        <v>20</v>
      </c>
      <c r="U19" s="559" t="s">
        <v>702</v>
      </c>
      <c r="V19" s="534" t="s">
        <v>679</v>
      </c>
    </row>
    <row r="20" spans="1:22" ht="24.95" customHeight="1">
      <c r="A20" s="581">
        <v>11</v>
      </c>
      <c r="B20" s="581">
        <v>7</v>
      </c>
      <c r="C20" s="581" t="s">
        <v>888</v>
      </c>
      <c r="D20" s="581" t="s">
        <v>43</v>
      </c>
      <c r="E20" s="581" t="s">
        <v>44</v>
      </c>
      <c r="F20" s="582">
        <v>0.47</v>
      </c>
      <c r="G20" s="583">
        <v>0.6</v>
      </c>
      <c r="H20" s="584">
        <f>1000*2</f>
        <v>2000</v>
      </c>
      <c r="I20" s="584">
        <f>420+691+925+932</f>
        <v>2968</v>
      </c>
      <c r="J20" s="585">
        <v>820</v>
      </c>
      <c r="K20" s="534">
        <f>500+502+505+503+506+504+501+505+507</f>
        <v>4533</v>
      </c>
      <c r="L20" s="586"/>
      <c r="M20" s="586">
        <v>8</v>
      </c>
      <c r="N20" s="586"/>
      <c r="O20" s="587">
        <v>450</v>
      </c>
      <c r="P20" s="576">
        <f>K20/(O20*12)</f>
        <v>0.83944444444444444</v>
      </c>
      <c r="Q20" s="588">
        <f>L20/(K20+L20)</f>
        <v>0</v>
      </c>
      <c r="R20" s="589">
        <f>S20+T20/60</f>
        <v>12.716666666666667</v>
      </c>
      <c r="S20" s="577">
        <v>12</v>
      </c>
      <c r="T20" s="577">
        <v>43</v>
      </c>
      <c r="U20" s="559" t="s">
        <v>897</v>
      </c>
      <c r="V20" s="534" t="s">
        <v>719</v>
      </c>
    </row>
    <row r="21" spans="1:22" ht="24.95" customHeight="1">
      <c r="A21" s="581">
        <v>11</v>
      </c>
      <c r="B21" s="581">
        <v>8</v>
      </c>
      <c r="C21" s="581" t="s">
        <v>908</v>
      </c>
      <c r="D21" s="581" t="s">
        <v>0</v>
      </c>
      <c r="E21" s="581" t="s">
        <v>44</v>
      </c>
      <c r="F21" s="582">
        <v>0.47</v>
      </c>
      <c r="G21" s="583">
        <v>0.6</v>
      </c>
      <c r="H21" s="584">
        <f>1000*2</f>
        <v>2000</v>
      </c>
      <c r="I21" s="584">
        <f>460+624+952+873+906</f>
        <v>3815</v>
      </c>
      <c r="J21" s="585">
        <v>820</v>
      </c>
      <c r="K21" s="534">
        <f>500+503+506+504+502</f>
        <v>2515</v>
      </c>
      <c r="L21" s="586">
        <f>56</f>
        <v>56</v>
      </c>
      <c r="M21" s="586">
        <v>8</v>
      </c>
      <c r="N21" s="586"/>
      <c r="O21" s="587">
        <v>450</v>
      </c>
      <c r="P21" s="576">
        <f t="shared" si="0"/>
        <v>0.46574074074074073</v>
      </c>
      <c r="Q21" s="588">
        <f t="shared" si="1"/>
        <v>2.1781408012446518E-2</v>
      </c>
      <c r="R21" s="589">
        <f t="shared" si="2"/>
        <v>5.7333333333333334</v>
      </c>
      <c r="S21" s="577">
        <v>5</v>
      </c>
      <c r="T21" s="577">
        <v>44</v>
      </c>
      <c r="U21" s="559" t="s">
        <v>917</v>
      </c>
      <c r="V21" s="534" t="s">
        <v>679</v>
      </c>
    </row>
    <row r="22" spans="1:22" ht="33" customHeight="1">
      <c r="A22" s="581">
        <v>11</v>
      </c>
      <c r="B22" s="581">
        <v>8</v>
      </c>
      <c r="C22" s="581" t="s">
        <v>908</v>
      </c>
      <c r="D22" s="581" t="s">
        <v>0</v>
      </c>
      <c r="E22" s="581" t="s">
        <v>44</v>
      </c>
      <c r="F22" s="582">
        <v>0.38</v>
      </c>
      <c r="G22" s="583">
        <v>0.6</v>
      </c>
      <c r="H22" s="584"/>
      <c r="I22" s="584"/>
      <c r="J22" s="585">
        <v>850</v>
      </c>
      <c r="K22" s="534">
        <f>500+504+506</f>
        <v>1510</v>
      </c>
      <c r="L22" s="586"/>
      <c r="M22" s="586">
        <v>8</v>
      </c>
      <c r="N22" s="586"/>
      <c r="O22" s="587">
        <v>450</v>
      </c>
      <c r="P22" s="576">
        <f t="shared" si="0"/>
        <v>0.27962962962962962</v>
      </c>
      <c r="Q22" s="588">
        <f t="shared" si="1"/>
        <v>0</v>
      </c>
      <c r="R22" s="589">
        <f t="shared" si="2"/>
        <v>3.6</v>
      </c>
      <c r="S22" s="577">
        <v>3</v>
      </c>
      <c r="T22" s="577">
        <v>36</v>
      </c>
      <c r="U22" s="559" t="s">
        <v>918</v>
      </c>
      <c r="V22" s="534" t="s">
        <v>679</v>
      </c>
    </row>
    <row r="23" spans="1:22" ht="24.95" customHeight="1">
      <c r="A23" s="581">
        <v>11</v>
      </c>
      <c r="B23" s="581">
        <v>8</v>
      </c>
      <c r="C23" s="581" t="s">
        <v>908</v>
      </c>
      <c r="D23" s="581" t="s">
        <v>43</v>
      </c>
      <c r="E23" s="581" t="s">
        <v>44</v>
      </c>
      <c r="F23" s="582">
        <v>0.38</v>
      </c>
      <c r="G23" s="583">
        <v>0.6</v>
      </c>
      <c r="H23" s="584">
        <f>1000*2</f>
        <v>2000</v>
      </c>
      <c r="I23" s="584">
        <f>902+450+589+800</f>
        <v>2741</v>
      </c>
      <c r="J23" s="585">
        <v>850</v>
      </c>
      <c r="K23" s="534">
        <f>501+503+505+502+507+504+506</f>
        <v>3528</v>
      </c>
      <c r="L23" s="586"/>
      <c r="M23" s="586">
        <v>8</v>
      </c>
      <c r="N23" s="586"/>
      <c r="O23" s="587">
        <v>450</v>
      </c>
      <c r="P23" s="576">
        <f>K23/(O23*12)</f>
        <v>0.65333333333333332</v>
      </c>
      <c r="Q23" s="588">
        <f>L23/(K23+L23)</f>
        <v>0</v>
      </c>
      <c r="R23" s="589">
        <f>S23+T23/60</f>
        <v>8.1</v>
      </c>
      <c r="S23" s="577">
        <v>8</v>
      </c>
      <c r="T23" s="577">
        <v>6</v>
      </c>
      <c r="U23" s="559" t="s">
        <v>919</v>
      </c>
      <c r="V23" s="534" t="s">
        <v>719</v>
      </c>
    </row>
    <row r="24" spans="1:22" ht="24.95" customHeight="1">
      <c r="A24" s="581">
        <v>11</v>
      </c>
      <c r="B24" s="581">
        <v>8</v>
      </c>
      <c r="C24" s="581" t="s">
        <v>908</v>
      </c>
      <c r="D24" s="581" t="s">
        <v>43</v>
      </c>
      <c r="E24" s="581" t="s">
        <v>44</v>
      </c>
      <c r="F24" s="582">
        <v>0.36</v>
      </c>
      <c r="G24" s="583">
        <v>0.6</v>
      </c>
      <c r="H24" s="584"/>
      <c r="I24" s="584"/>
      <c r="J24" s="585">
        <v>850</v>
      </c>
      <c r="K24" s="534">
        <f>500+502+505</f>
        <v>1507</v>
      </c>
      <c r="L24" s="586"/>
      <c r="M24" s="586"/>
      <c r="N24" s="586"/>
      <c r="O24" s="587">
        <v>450</v>
      </c>
      <c r="P24" s="576">
        <f t="shared" si="0"/>
        <v>0.27907407407407409</v>
      </c>
      <c r="Q24" s="588">
        <f t="shared" si="1"/>
        <v>0</v>
      </c>
      <c r="R24" s="589">
        <f t="shared" si="2"/>
        <v>3.5</v>
      </c>
      <c r="S24" s="577">
        <v>3</v>
      </c>
      <c r="T24" s="577">
        <v>30</v>
      </c>
      <c r="U24" s="559" t="s">
        <v>920</v>
      </c>
      <c r="V24" s="534" t="s">
        <v>719</v>
      </c>
    </row>
    <row r="25" spans="1:22" ht="24.95" customHeight="1">
      <c r="A25" s="581">
        <v>11</v>
      </c>
      <c r="B25" s="581">
        <v>9</v>
      </c>
      <c r="C25" s="581" t="s">
        <v>929</v>
      </c>
      <c r="D25" s="581" t="s">
        <v>0</v>
      </c>
      <c r="E25" s="581" t="s">
        <v>44</v>
      </c>
      <c r="F25" s="582">
        <v>0.36</v>
      </c>
      <c r="G25" s="583">
        <v>0.6</v>
      </c>
      <c r="H25" s="584">
        <f>1000</f>
        <v>1000</v>
      </c>
      <c r="I25" s="584">
        <f>720+943+435+952+905</f>
        <v>3955</v>
      </c>
      <c r="J25" s="585">
        <v>850</v>
      </c>
      <c r="K25" s="534">
        <f>500+503+506+504+502+500+505+502+506+504+502</f>
        <v>5534</v>
      </c>
      <c r="L25" s="586"/>
      <c r="M25" s="586"/>
      <c r="N25" s="586"/>
      <c r="O25" s="587">
        <v>450</v>
      </c>
      <c r="P25" s="576">
        <f t="shared" si="0"/>
        <v>1.0248148148148148</v>
      </c>
      <c r="Q25" s="588">
        <f t="shared" si="1"/>
        <v>0</v>
      </c>
      <c r="R25" s="589">
        <f t="shared" si="2"/>
        <v>12.666666666666666</v>
      </c>
      <c r="S25" s="577">
        <v>12</v>
      </c>
      <c r="T25" s="577">
        <v>40</v>
      </c>
      <c r="U25" s="559" t="s">
        <v>936</v>
      </c>
      <c r="V25" s="534" t="s">
        <v>679</v>
      </c>
    </row>
    <row r="26" spans="1:22" ht="24.95" customHeight="1">
      <c r="A26" s="581">
        <v>11</v>
      </c>
      <c r="B26" s="581">
        <v>9</v>
      </c>
      <c r="C26" s="581" t="s">
        <v>929</v>
      </c>
      <c r="D26" s="581" t="s">
        <v>43</v>
      </c>
      <c r="E26" s="581" t="s">
        <v>44</v>
      </c>
      <c r="F26" s="582">
        <v>0.36</v>
      </c>
      <c r="G26" s="583">
        <v>0.6</v>
      </c>
      <c r="H26" s="584">
        <f>1000</f>
        <v>1000</v>
      </c>
      <c r="I26" s="584">
        <f>420+966+620+878+903</f>
        <v>3787</v>
      </c>
      <c r="J26" s="585">
        <v>850</v>
      </c>
      <c r="K26" s="534">
        <f>502+507+501+506+505+504+503+500+504+502</f>
        <v>5034</v>
      </c>
      <c r="L26" s="586"/>
      <c r="M26" s="586"/>
      <c r="N26" s="586"/>
      <c r="O26" s="587">
        <v>450</v>
      </c>
      <c r="P26" s="576">
        <f t="shared" si="0"/>
        <v>0.93222222222222217</v>
      </c>
      <c r="Q26" s="588">
        <f t="shared" si="1"/>
        <v>0</v>
      </c>
      <c r="R26" s="589">
        <f t="shared" si="2"/>
        <v>11.366666666666667</v>
      </c>
      <c r="S26" s="577">
        <v>11</v>
      </c>
      <c r="T26" s="577">
        <v>22</v>
      </c>
      <c r="U26" s="559" t="s">
        <v>937</v>
      </c>
      <c r="V26" s="534" t="s">
        <v>719</v>
      </c>
    </row>
    <row r="27" spans="1:22" ht="24.95" customHeight="1">
      <c r="A27" s="581">
        <v>11</v>
      </c>
      <c r="B27" s="581">
        <v>10</v>
      </c>
      <c r="C27" s="581" t="s">
        <v>954</v>
      </c>
      <c r="D27" s="581" t="s">
        <v>0</v>
      </c>
      <c r="E27" s="581" t="s">
        <v>44</v>
      </c>
      <c r="F27" s="582">
        <v>0.36</v>
      </c>
      <c r="G27" s="583">
        <v>0.8</v>
      </c>
      <c r="H27" s="584">
        <f>1000</f>
        <v>1000</v>
      </c>
      <c r="I27" s="584">
        <f>455+634+826+648+924+893+694</f>
        <v>5074</v>
      </c>
      <c r="J27" s="585">
        <v>850</v>
      </c>
      <c r="K27" s="534">
        <f>500+503+506+504+502+505+503+501+504+500+503</f>
        <v>5531</v>
      </c>
      <c r="L27" s="586"/>
      <c r="M27" s="586"/>
      <c r="N27" s="586"/>
      <c r="O27" s="587">
        <v>450</v>
      </c>
      <c r="P27" s="576">
        <f>K27/(O27*12)</f>
        <v>1.0242592592592592</v>
      </c>
      <c r="Q27" s="588">
        <f>L27/(K27+L27)</f>
        <v>0</v>
      </c>
      <c r="R27" s="589">
        <f>S27+T27/60</f>
        <v>12.416666666666666</v>
      </c>
      <c r="S27" s="577">
        <v>12</v>
      </c>
      <c r="T27" s="577">
        <v>25</v>
      </c>
      <c r="U27" s="559" t="s">
        <v>960</v>
      </c>
      <c r="V27" s="534" t="s">
        <v>679</v>
      </c>
    </row>
    <row r="28" spans="1:22" ht="24.95" customHeight="1">
      <c r="A28" s="581">
        <v>11</v>
      </c>
      <c r="B28" s="581">
        <v>10</v>
      </c>
      <c r="C28" s="581" t="s">
        <v>954</v>
      </c>
      <c r="D28" s="581" t="s">
        <v>43</v>
      </c>
      <c r="E28" s="581" t="s">
        <v>44</v>
      </c>
      <c r="F28" s="582">
        <v>0.36</v>
      </c>
      <c r="G28" s="583">
        <v>0.8</v>
      </c>
      <c r="H28" s="584">
        <f>1000</f>
        <v>1000</v>
      </c>
      <c r="I28" s="584">
        <f>865+450+815+684+410</f>
        <v>3224</v>
      </c>
      <c r="J28" s="585">
        <v>850</v>
      </c>
      <c r="K28" s="534">
        <f>501+504+506+502+506+500+503+504+505+507</f>
        <v>5038</v>
      </c>
      <c r="L28" s="586"/>
      <c r="M28" s="586"/>
      <c r="N28" s="586"/>
      <c r="O28" s="587">
        <v>450</v>
      </c>
      <c r="P28" s="576">
        <f t="shared" si="0"/>
        <v>0.93296296296296299</v>
      </c>
      <c r="Q28" s="588">
        <f t="shared" si="1"/>
        <v>0</v>
      </c>
      <c r="R28" s="589">
        <f t="shared" si="2"/>
        <v>11.716666666666667</v>
      </c>
      <c r="S28" s="577">
        <v>11</v>
      </c>
      <c r="T28" s="577">
        <v>43</v>
      </c>
      <c r="U28" s="559" t="s">
        <v>961</v>
      </c>
      <c r="V28" s="534" t="s">
        <v>719</v>
      </c>
    </row>
    <row r="29" spans="1:22" ht="24.95" customHeight="1">
      <c r="A29" s="434">
        <v>11</v>
      </c>
      <c r="B29" s="434">
        <v>11</v>
      </c>
      <c r="C29" s="581" t="s">
        <v>670</v>
      </c>
      <c r="D29" s="581" t="s">
        <v>0</v>
      </c>
      <c r="E29" s="581" t="s">
        <v>44</v>
      </c>
      <c r="F29" s="582"/>
      <c r="G29" s="583" t="s">
        <v>633</v>
      </c>
      <c r="H29" s="584"/>
      <c r="I29" s="584"/>
      <c r="J29" s="585"/>
      <c r="K29" s="534"/>
      <c r="L29" s="586"/>
      <c r="M29" s="586"/>
      <c r="N29" s="586"/>
      <c r="O29" s="587">
        <v>450</v>
      </c>
      <c r="P29" s="576">
        <f t="shared" si="0"/>
        <v>0</v>
      </c>
      <c r="Q29" s="588" t="e">
        <f t="shared" si="1"/>
        <v>#DIV/0!</v>
      </c>
      <c r="R29" s="589">
        <f t="shared" si="2"/>
        <v>0</v>
      </c>
      <c r="S29" s="577"/>
      <c r="T29" s="577"/>
      <c r="U29" s="559"/>
      <c r="V29" s="534"/>
    </row>
    <row r="30" spans="1:22" ht="24.95" customHeight="1">
      <c r="A30" s="434">
        <v>11</v>
      </c>
      <c r="B30" s="434">
        <v>11</v>
      </c>
      <c r="C30" s="581" t="s">
        <v>670</v>
      </c>
      <c r="D30" s="581" t="s">
        <v>43</v>
      </c>
      <c r="E30" s="581" t="s">
        <v>44</v>
      </c>
      <c r="F30" s="582"/>
      <c r="G30" s="583" t="s">
        <v>633</v>
      </c>
      <c r="H30" s="584"/>
      <c r="I30" s="584"/>
      <c r="J30" s="585"/>
      <c r="K30" s="585"/>
      <c r="L30" s="586"/>
      <c r="M30" s="586"/>
      <c r="N30" s="586"/>
      <c r="O30" s="587">
        <v>450</v>
      </c>
      <c r="P30" s="576">
        <f>K30/(O30*12)</f>
        <v>0</v>
      </c>
      <c r="Q30" s="588" t="e">
        <f>L30/(K30+L30)</f>
        <v>#DIV/0!</v>
      </c>
      <c r="R30" s="589">
        <f>S30+T30/60</f>
        <v>0</v>
      </c>
      <c r="S30" s="577"/>
      <c r="T30" s="577"/>
      <c r="U30" s="559"/>
      <c r="V30" s="534"/>
    </row>
    <row r="31" spans="1:22" ht="24.95" customHeight="1">
      <c r="A31" s="434">
        <v>11</v>
      </c>
      <c r="B31" s="434">
        <v>12</v>
      </c>
      <c r="C31" s="581" t="s">
        <v>671</v>
      </c>
      <c r="D31" s="581" t="s">
        <v>0</v>
      </c>
      <c r="E31" s="581" t="s">
        <v>44</v>
      </c>
      <c r="F31" s="582"/>
      <c r="G31" s="583" t="s">
        <v>633</v>
      </c>
      <c r="H31" s="584"/>
      <c r="I31" s="584"/>
      <c r="J31" s="585"/>
      <c r="K31" s="534"/>
      <c r="L31" s="586"/>
      <c r="M31" s="586"/>
      <c r="N31" s="586"/>
      <c r="O31" s="587">
        <v>450</v>
      </c>
      <c r="P31" s="576">
        <f t="shared" si="0"/>
        <v>0</v>
      </c>
      <c r="Q31" s="588" t="e">
        <f t="shared" si="1"/>
        <v>#DIV/0!</v>
      </c>
      <c r="R31" s="589">
        <f t="shared" si="2"/>
        <v>0</v>
      </c>
      <c r="S31" s="577"/>
      <c r="T31" s="577"/>
      <c r="U31" s="559"/>
      <c r="V31" s="534"/>
    </row>
    <row r="32" spans="1:22" ht="24.95" customHeight="1">
      <c r="A32" s="434">
        <v>11</v>
      </c>
      <c r="B32" s="434">
        <v>12</v>
      </c>
      <c r="C32" s="581" t="s">
        <v>671</v>
      </c>
      <c r="D32" s="581" t="s">
        <v>43</v>
      </c>
      <c r="E32" s="581" t="s">
        <v>44</v>
      </c>
      <c r="F32" s="582"/>
      <c r="G32" s="583" t="s">
        <v>633</v>
      </c>
      <c r="H32" s="584"/>
      <c r="I32" s="584"/>
      <c r="J32" s="585"/>
      <c r="K32" s="534"/>
      <c r="L32" s="586"/>
      <c r="M32" s="586"/>
      <c r="N32" s="586"/>
      <c r="O32" s="587">
        <v>450</v>
      </c>
      <c r="P32" s="576">
        <f>K32/(O32*12)</f>
        <v>0</v>
      </c>
      <c r="Q32" s="588" t="e">
        <f>L32/(K32+L32)</f>
        <v>#DIV/0!</v>
      </c>
      <c r="R32" s="589">
        <f>S32+T32/60</f>
        <v>0</v>
      </c>
      <c r="S32" s="577"/>
      <c r="T32" s="577"/>
      <c r="U32" s="559"/>
      <c r="V32" s="534"/>
    </row>
    <row r="33" spans="1:22" ht="24.95" customHeight="1">
      <c r="A33" s="581">
        <v>11</v>
      </c>
      <c r="B33" s="581">
        <v>13</v>
      </c>
      <c r="C33" s="581" t="s">
        <v>672</v>
      </c>
      <c r="D33" s="581" t="s">
        <v>0</v>
      </c>
      <c r="E33" s="581" t="s">
        <v>44</v>
      </c>
      <c r="F33" s="582"/>
      <c r="G33" s="583" t="s">
        <v>633</v>
      </c>
      <c r="H33" s="584"/>
      <c r="I33" s="584"/>
      <c r="J33" s="585"/>
      <c r="K33" s="534"/>
      <c r="L33" s="586"/>
      <c r="M33" s="586"/>
      <c r="N33" s="586"/>
      <c r="O33" s="587">
        <v>450</v>
      </c>
      <c r="P33" s="576">
        <f>K33/(O33*12)</f>
        <v>0</v>
      </c>
      <c r="Q33" s="588" t="e">
        <f>L33/(K33+L33)</f>
        <v>#DIV/0!</v>
      </c>
      <c r="R33" s="589">
        <f>S33+T33/60</f>
        <v>0</v>
      </c>
      <c r="S33" s="577"/>
      <c r="T33" s="577"/>
      <c r="U33" s="559"/>
      <c r="V33" s="534"/>
    </row>
    <row r="34" spans="1:22" ht="24.95" customHeight="1">
      <c r="A34" s="581">
        <v>11</v>
      </c>
      <c r="B34" s="581">
        <v>13</v>
      </c>
      <c r="C34" s="581" t="s">
        <v>672</v>
      </c>
      <c r="D34" s="581" t="s">
        <v>43</v>
      </c>
      <c r="E34" s="581" t="s">
        <v>44</v>
      </c>
      <c r="F34" s="582">
        <v>0.36</v>
      </c>
      <c r="G34" s="583">
        <v>0.8</v>
      </c>
      <c r="H34" s="584">
        <f>1000</f>
        <v>1000</v>
      </c>
      <c r="I34" s="584">
        <f>450+420+415+935+803+996</f>
        <v>4019</v>
      </c>
      <c r="J34" s="585">
        <v>680</v>
      </c>
      <c r="K34" s="534">
        <f>501+503+506+501+507+505+502+500+504</f>
        <v>4529</v>
      </c>
      <c r="L34" s="586"/>
      <c r="M34" s="586"/>
      <c r="N34" s="586"/>
      <c r="O34" s="587">
        <v>450</v>
      </c>
      <c r="P34" s="576">
        <f>K34/(O34*12)</f>
        <v>0.83870370370370373</v>
      </c>
      <c r="Q34" s="588">
        <f>L34/(K34+L34)</f>
        <v>0</v>
      </c>
      <c r="R34" s="589">
        <f>S34+T34/60</f>
        <v>11.333333333333334</v>
      </c>
      <c r="S34" s="577">
        <v>11</v>
      </c>
      <c r="T34" s="577">
        <v>20</v>
      </c>
      <c r="U34" s="559" t="s">
        <v>961</v>
      </c>
      <c r="V34" s="534" t="s">
        <v>719</v>
      </c>
    </row>
    <row r="35" spans="1:22" ht="24.95" customHeight="1">
      <c r="A35" s="434">
        <v>11</v>
      </c>
      <c r="B35" s="434">
        <v>14</v>
      </c>
      <c r="C35" s="581" t="s">
        <v>1001</v>
      </c>
      <c r="D35" s="581" t="s">
        <v>0</v>
      </c>
      <c r="E35" s="581" t="s">
        <v>44</v>
      </c>
      <c r="F35" s="582">
        <v>0.36</v>
      </c>
      <c r="G35" s="583">
        <v>0.8</v>
      </c>
      <c r="H35" s="584">
        <f>40</f>
        <v>40</v>
      </c>
      <c r="I35" s="584"/>
      <c r="J35" s="585">
        <v>680</v>
      </c>
      <c r="K35" s="585">
        <f>503+506+504+500+505</f>
        <v>2518</v>
      </c>
      <c r="L35" s="586">
        <f>260</f>
        <v>260</v>
      </c>
      <c r="M35" s="586"/>
      <c r="N35" s="586"/>
      <c r="O35" s="587">
        <v>450</v>
      </c>
      <c r="P35" s="576">
        <f t="shared" si="0"/>
        <v>0.46629629629629632</v>
      </c>
      <c r="Q35" s="588">
        <f t="shared" si="1"/>
        <v>9.3592512598992081E-2</v>
      </c>
      <c r="R35" s="589">
        <f t="shared" si="2"/>
        <v>6.416666666666667</v>
      </c>
      <c r="S35" s="577">
        <v>6</v>
      </c>
      <c r="T35" s="577">
        <v>25</v>
      </c>
      <c r="U35" s="559" t="s">
        <v>1012</v>
      </c>
      <c r="V35" s="534" t="s">
        <v>679</v>
      </c>
    </row>
    <row r="36" spans="1:22" ht="24.95" customHeight="1">
      <c r="A36" s="434">
        <v>11</v>
      </c>
      <c r="B36" s="434">
        <v>14</v>
      </c>
      <c r="C36" s="581" t="s">
        <v>1001</v>
      </c>
      <c r="D36" s="581" t="s">
        <v>0</v>
      </c>
      <c r="E36" s="581" t="s">
        <v>44</v>
      </c>
      <c r="F36" s="582">
        <v>0.55000000000000004</v>
      </c>
      <c r="G36" s="583">
        <v>1</v>
      </c>
      <c r="H36" s="584"/>
      <c r="I36" s="584">
        <f>629+737+710+687+430+902+580+910</f>
        <v>5585</v>
      </c>
      <c r="J36" s="585">
        <v>880</v>
      </c>
      <c r="K36" s="585">
        <f>500+503+506</f>
        <v>1509</v>
      </c>
      <c r="L36" s="586"/>
      <c r="M36" s="586"/>
      <c r="N36" s="586"/>
      <c r="O36" s="587">
        <v>450</v>
      </c>
      <c r="P36" s="576">
        <f t="shared" si="0"/>
        <v>0.27944444444444444</v>
      </c>
      <c r="Q36" s="588">
        <f t="shared" si="1"/>
        <v>0</v>
      </c>
      <c r="R36" s="589">
        <f t="shared" si="2"/>
        <v>3.4166666666666665</v>
      </c>
      <c r="S36" s="577">
        <v>3</v>
      </c>
      <c r="T36" s="577">
        <v>25</v>
      </c>
      <c r="U36" s="559" t="s">
        <v>1011</v>
      </c>
      <c r="V36" s="534" t="s">
        <v>679</v>
      </c>
    </row>
    <row r="37" spans="1:22" ht="24.95" customHeight="1">
      <c r="A37" s="434">
        <v>11</v>
      </c>
      <c r="B37" s="434">
        <v>14</v>
      </c>
      <c r="C37" s="581" t="s">
        <v>1001</v>
      </c>
      <c r="D37" s="581" t="s">
        <v>43</v>
      </c>
      <c r="E37" s="581" t="s">
        <v>44</v>
      </c>
      <c r="F37" s="582">
        <v>0.55000000000000004</v>
      </c>
      <c r="G37" s="583">
        <v>1</v>
      </c>
      <c r="H37" s="584"/>
      <c r="I37" s="584">
        <f>450+804+760+940+907+538+629</f>
        <v>5028</v>
      </c>
      <c r="J37" s="585">
        <v>880</v>
      </c>
      <c r="K37" s="534">
        <f>501+503+505+506+503+502+501+504+507+500+505</f>
        <v>5537</v>
      </c>
      <c r="L37" s="586"/>
      <c r="M37" s="586"/>
      <c r="N37" s="586"/>
      <c r="O37" s="587">
        <v>450</v>
      </c>
      <c r="P37" s="576">
        <f t="shared" si="0"/>
        <v>1.0253703703703703</v>
      </c>
      <c r="Q37" s="588">
        <f t="shared" si="1"/>
        <v>0</v>
      </c>
      <c r="R37" s="589">
        <f t="shared" si="2"/>
        <v>12.8</v>
      </c>
      <c r="S37" s="577">
        <v>12</v>
      </c>
      <c r="T37" s="577">
        <v>48</v>
      </c>
      <c r="U37" s="559" t="s">
        <v>1013</v>
      </c>
      <c r="V37" s="534" t="s">
        <v>719</v>
      </c>
    </row>
    <row r="38" spans="1:22" ht="24.95" customHeight="1">
      <c r="A38" s="434">
        <v>11</v>
      </c>
      <c r="B38" s="434">
        <v>15</v>
      </c>
      <c r="C38" s="581" t="s">
        <v>1022</v>
      </c>
      <c r="D38" s="581" t="s">
        <v>0</v>
      </c>
      <c r="E38" s="581" t="s">
        <v>44</v>
      </c>
      <c r="F38" s="582">
        <v>0.55000000000000004</v>
      </c>
      <c r="G38" s="583">
        <v>1</v>
      </c>
      <c r="H38" s="584">
        <f>40+100</f>
        <v>140</v>
      </c>
      <c r="I38" s="584">
        <f>450+774+845+617+983+662+813+803</f>
        <v>5947</v>
      </c>
      <c r="J38" s="585">
        <v>880</v>
      </c>
      <c r="K38" s="534">
        <f>500+503+505+502+506+504+502+505+503+501</f>
        <v>5031</v>
      </c>
      <c r="L38" s="586"/>
      <c r="M38" s="586"/>
      <c r="N38" s="586"/>
      <c r="O38" s="587">
        <v>450</v>
      </c>
      <c r="P38" s="576">
        <f t="shared" si="0"/>
        <v>0.93166666666666664</v>
      </c>
      <c r="Q38" s="588">
        <f t="shared" si="1"/>
        <v>0</v>
      </c>
      <c r="R38" s="589">
        <f t="shared" si="2"/>
        <v>11.3</v>
      </c>
      <c r="S38" s="577">
        <v>11</v>
      </c>
      <c r="T38" s="577">
        <v>18</v>
      </c>
      <c r="U38" s="559" t="s">
        <v>1032</v>
      </c>
      <c r="V38" s="534" t="s">
        <v>679</v>
      </c>
    </row>
    <row r="39" spans="1:22" ht="24.95" customHeight="1">
      <c r="A39" s="434">
        <v>11</v>
      </c>
      <c r="B39" s="434">
        <v>15</v>
      </c>
      <c r="C39" s="581" t="s">
        <v>1022</v>
      </c>
      <c r="D39" s="581" t="s">
        <v>43</v>
      </c>
      <c r="E39" s="581" t="s">
        <v>44</v>
      </c>
      <c r="F39" s="582">
        <v>0.55000000000000004</v>
      </c>
      <c r="G39" s="583">
        <v>1</v>
      </c>
      <c r="H39" s="584">
        <f>50*2+15*2</f>
        <v>130</v>
      </c>
      <c r="I39" s="584">
        <f>616+598+912+386+450+590+966+769+812</f>
        <v>6099</v>
      </c>
      <c r="J39" s="585">
        <v>880</v>
      </c>
      <c r="K39" s="534">
        <f>501+503+504+502+506+505</f>
        <v>3021</v>
      </c>
      <c r="L39" s="586"/>
      <c r="M39" s="586"/>
      <c r="N39" s="586"/>
      <c r="O39" s="587">
        <v>450</v>
      </c>
      <c r="P39" s="576">
        <f t="shared" si="0"/>
        <v>0.55944444444444441</v>
      </c>
      <c r="Q39" s="588">
        <f t="shared" si="1"/>
        <v>0</v>
      </c>
      <c r="R39" s="589">
        <f t="shared" si="2"/>
        <v>6.8166666666666664</v>
      </c>
      <c r="S39" s="577">
        <v>6</v>
      </c>
      <c r="T39" s="577">
        <v>49</v>
      </c>
      <c r="U39" s="559" t="s">
        <v>1033</v>
      </c>
      <c r="V39" s="534" t="s">
        <v>719</v>
      </c>
    </row>
    <row r="40" spans="1:22" ht="24.95" customHeight="1">
      <c r="A40" s="434">
        <v>11</v>
      </c>
      <c r="B40" s="434">
        <v>15</v>
      </c>
      <c r="C40" s="581" t="s">
        <v>1022</v>
      </c>
      <c r="D40" s="581" t="s">
        <v>43</v>
      </c>
      <c r="E40" s="581" t="s">
        <v>44</v>
      </c>
      <c r="F40" s="582">
        <v>0.6</v>
      </c>
      <c r="G40" s="583">
        <v>1</v>
      </c>
      <c r="H40" s="584"/>
      <c r="I40" s="584"/>
      <c r="J40" s="585">
        <v>830</v>
      </c>
      <c r="K40" s="534">
        <f>500+507+504+502+505</f>
        <v>2518</v>
      </c>
      <c r="L40" s="586"/>
      <c r="M40" s="586"/>
      <c r="N40" s="586"/>
      <c r="O40" s="587">
        <v>450</v>
      </c>
      <c r="P40" s="576">
        <f t="shared" si="0"/>
        <v>0.46629629629629632</v>
      </c>
      <c r="Q40" s="588">
        <f t="shared" si="1"/>
        <v>0</v>
      </c>
      <c r="R40" s="589">
        <f t="shared" si="2"/>
        <v>5.9833333333333334</v>
      </c>
      <c r="S40" s="577">
        <v>5</v>
      </c>
      <c r="T40" s="577">
        <v>59</v>
      </c>
      <c r="U40" s="559" t="s">
        <v>1034</v>
      </c>
      <c r="V40" s="534" t="s">
        <v>719</v>
      </c>
    </row>
    <row r="41" spans="1:22" ht="24.95" customHeight="1">
      <c r="A41" s="434">
        <v>11</v>
      </c>
      <c r="B41" s="434">
        <v>16</v>
      </c>
      <c r="C41" s="581" t="s">
        <v>1049</v>
      </c>
      <c r="D41" s="581" t="s">
        <v>0</v>
      </c>
      <c r="E41" s="581" t="s">
        <v>44</v>
      </c>
      <c r="F41" s="582">
        <v>0.6</v>
      </c>
      <c r="G41" s="583">
        <v>1</v>
      </c>
      <c r="H41" s="584">
        <f>100+40</f>
        <v>140</v>
      </c>
      <c r="I41" s="584">
        <f>435+649+643+420+784+737+669+712</f>
        <v>5049</v>
      </c>
      <c r="J41" s="585">
        <v>830</v>
      </c>
      <c r="K41" s="534">
        <f>500+503+505+502+504+506+503+505+500+503</f>
        <v>5031</v>
      </c>
      <c r="L41" s="586"/>
      <c r="M41" s="586"/>
      <c r="N41" s="586"/>
      <c r="O41" s="587">
        <v>450</v>
      </c>
      <c r="P41" s="576">
        <f>K41/(O41*12)</f>
        <v>0.93166666666666664</v>
      </c>
      <c r="Q41" s="588">
        <f>L41/(K41+L41)</f>
        <v>0</v>
      </c>
      <c r="R41" s="589">
        <f>S41+T41/60</f>
        <v>11.8</v>
      </c>
      <c r="S41" s="577">
        <v>11</v>
      </c>
      <c r="T41" s="577">
        <v>48</v>
      </c>
      <c r="U41" s="559" t="s">
        <v>1061</v>
      </c>
      <c r="V41" s="534" t="s">
        <v>679</v>
      </c>
    </row>
    <row r="42" spans="1:22" ht="24.95" customHeight="1">
      <c r="A42" s="434">
        <v>11</v>
      </c>
      <c r="B42" s="434">
        <v>16</v>
      </c>
      <c r="C42" s="581" t="s">
        <v>1049</v>
      </c>
      <c r="D42" s="581" t="s">
        <v>43</v>
      </c>
      <c r="E42" s="581" t="s">
        <v>44</v>
      </c>
      <c r="F42" s="582">
        <v>0.6</v>
      </c>
      <c r="G42" s="583">
        <v>1</v>
      </c>
      <c r="H42" s="584"/>
      <c r="I42" s="584">
        <f>628+802+547+450+654+807+912</f>
        <v>4800</v>
      </c>
      <c r="J42" s="585">
        <v>830</v>
      </c>
      <c r="K42" s="534">
        <f>503+501+502+506+504+505+507+503+506+504</f>
        <v>5041</v>
      </c>
      <c r="L42" s="586"/>
      <c r="M42" s="586"/>
      <c r="N42" s="586"/>
      <c r="O42" s="587">
        <v>450</v>
      </c>
      <c r="P42" s="576">
        <f t="shared" si="0"/>
        <v>0.93351851851851853</v>
      </c>
      <c r="Q42" s="588">
        <f t="shared" si="1"/>
        <v>0</v>
      </c>
      <c r="R42" s="589">
        <f t="shared" si="2"/>
        <v>12.033333333333333</v>
      </c>
      <c r="S42" s="577">
        <v>12</v>
      </c>
      <c r="T42" s="577">
        <v>2</v>
      </c>
      <c r="U42" s="559" t="s">
        <v>1062</v>
      </c>
      <c r="V42" s="534" t="s">
        <v>719</v>
      </c>
    </row>
    <row r="43" spans="1:22" ht="24.95" customHeight="1">
      <c r="A43" s="434">
        <v>11</v>
      </c>
      <c r="B43" s="434">
        <v>17</v>
      </c>
      <c r="C43" s="581" t="s">
        <v>1073</v>
      </c>
      <c r="D43" s="581" t="s">
        <v>0</v>
      </c>
      <c r="E43" s="581" t="s">
        <v>44</v>
      </c>
      <c r="F43" s="582">
        <v>0.6</v>
      </c>
      <c r="G43" s="583">
        <v>1</v>
      </c>
      <c r="H43" s="584">
        <f>75+40</f>
        <v>115</v>
      </c>
      <c r="I43" s="584">
        <f>440+782+415+706+803+782+685+420+778+706</f>
        <v>6517</v>
      </c>
      <c r="J43" s="585">
        <v>830</v>
      </c>
      <c r="K43" s="534">
        <f>500+503+506+504+502+505+503+500+502+504</f>
        <v>5029</v>
      </c>
      <c r="L43" s="586"/>
      <c r="M43" s="586"/>
      <c r="N43" s="586"/>
      <c r="O43" s="587">
        <v>450</v>
      </c>
      <c r="P43" s="576">
        <f>K43/(O43*12)</f>
        <v>0.93129629629629629</v>
      </c>
      <c r="Q43" s="588">
        <f>L43/(K43+L43)</f>
        <v>0</v>
      </c>
      <c r="R43" s="589">
        <f>S43+T43/60</f>
        <v>11.616666666666667</v>
      </c>
      <c r="S43" s="577">
        <v>11</v>
      </c>
      <c r="T43" s="577">
        <v>37</v>
      </c>
      <c r="U43" s="559" t="s">
        <v>1081</v>
      </c>
      <c r="V43" s="534" t="s">
        <v>679</v>
      </c>
    </row>
    <row r="44" spans="1:22" ht="24.95" customHeight="1">
      <c r="A44" s="434">
        <v>11</v>
      </c>
      <c r="B44" s="434">
        <v>17</v>
      </c>
      <c r="C44" s="581" t="s">
        <v>1073</v>
      </c>
      <c r="D44" s="581" t="s">
        <v>43</v>
      </c>
      <c r="E44" s="581" t="s">
        <v>44</v>
      </c>
      <c r="F44" s="582">
        <v>0.6</v>
      </c>
      <c r="G44" s="583">
        <v>1</v>
      </c>
      <c r="H44" s="584">
        <f>50+15</f>
        <v>65</v>
      </c>
      <c r="I44" s="584">
        <f>450+742+420+670+672+749+784</f>
        <v>4487</v>
      </c>
      <c r="J44" s="585">
        <v>830</v>
      </c>
      <c r="K44" s="585">
        <f>502+505+503+507+504+506+501+500+503+505</f>
        <v>5036</v>
      </c>
      <c r="L44" s="586"/>
      <c r="M44" s="586"/>
      <c r="N44" s="586"/>
      <c r="O44" s="587">
        <v>450</v>
      </c>
      <c r="P44" s="576">
        <f t="shared" si="0"/>
        <v>0.93259259259259264</v>
      </c>
      <c r="Q44" s="588">
        <f t="shared" si="1"/>
        <v>0</v>
      </c>
      <c r="R44" s="589">
        <f t="shared" si="2"/>
        <v>11.833333333333334</v>
      </c>
      <c r="S44" s="577">
        <v>11</v>
      </c>
      <c r="T44" s="577">
        <v>50</v>
      </c>
      <c r="U44" s="559" t="s">
        <v>1082</v>
      </c>
      <c r="V44" s="534" t="s">
        <v>719</v>
      </c>
    </row>
    <row r="45" spans="1:22" ht="24.95" customHeight="1">
      <c r="A45" s="434">
        <v>11</v>
      </c>
      <c r="B45" s="434">
        <v>18</v>
      </c>
      <c r="C45" s="581" t="s">
        <v>1088</v>
      </c>
      <c r="D45" s="581" t="s">
        <v>0</v>
      </c>
      <c r="E45" s="581" t="s">
        <v>44</v>
      </c>
      <c r="F45" s="582">
        <v>0.6</v>
      </c>
      <c r="G45" s="583">
        <v>1</v>
      </c>
      <c r="H45" s="584"/>
      <c r="I45" s="584"/>
      <c r="J45" s="585">
        <v>830</v>
      </c>
      <c r="K45" s="534">
        <f>500+505+503+506+504+502</f>
        <v>3020</v>
      </c>
      <c r="L45" s="586">
        <f>97</f>
        <v>97</v>
      </c>
      <c r="M45" s="586"/>
      <c r="N45" s="586"/>
      <c r="O45" s="587">
        <v>450</v>
      </c>
      <c r="P45" s="576">
        <f>K45/(O45*12)</f>
        <v>0.55925925925925923</v>
      </c>
      <c r="Q45" s="588">
        <f>L45/(K45+L45)</f>
        <v>3.1119666345845363E-2</v>
      </c>
      <c r="R45" s="589">
        <f>S45+T45/60</f>
        <v>6.9833333333333334</v>
      </c>
      <c r="S45" s="577">
        <v>6</v>
      </c>
      <c r="T45" s="577">
        <v>59</v>
      </c>
      <c r="U45" s="559" t="s">
        <v>1097</v>
      </c>
      <c r="V45" s="534" t="s">
        <v>679</v>
      </c>
    </row>
    <row r="46" spans="1:22" ht="24.95" customHeight="1">
      <c r="A46" s="434">
        <v>11</v>
      </c>
      <c r="B46" s="434">
        <v>18</v>
      </c>
      <c r="C46" s="581" t="s">
        <v>1088</v>
      </c>
      <c r="D46" s="581" t="s">
        <v>0</v>
      </c>
      <c r="E46" s="581" t="s">
        <v>44</v>
      </c>
      <c r="F46" s="582">
        <v>0.47</v>
      </c>
      <c r="G46" s="583">
        <v>0.8</v>
      </c>
      <c r="H46" s="584">
        <f>1000</f>
        <v>1000</v>
      </c>
      <c r="I46" s="584">
        <f>946+620+916+589+630+667+556+510+600+580</f>
        <v>6614</v>
      </c>
      <c r="J46" s="585">
        <v>820</v>
      </c>
      <c r="K46" s="534">
        <f>500+503+505+502</f>
        <v>2010</v>
      </c>
      <c r="L46" s="586"/>
      <c r="M46" s="586">
        <v>8</v>
      </c>
      <c r="N46" s="586"/>
      <c r="O46" s="587">
        <v>450</v>
      </c>
      <c r="P46" s="576">
        <f>K46/(O46*12)</f>
        <v>0.37222222222222223</v>
      </c>
      <c r="Q46" s="588">
        <f>L46/(K46+L46)</f>
        <v>0</v>
      </c>
      <c r="R46" s="589">
        <f>S46+T46/60</f>
        <v>4.8833333333333329</v>
      </c>
      <c r="S46" s="577">
        <v>4</v>
      </c>
      <c r="T46" s="577">
        <v>53</v>
      </c>
      <c r="U46" s="559" t="s">
        <v>1098</v>
      </c>
      <c r="V46" s="534" t="s">
        <v>679</v>
      </c>
    </row>
    <row r="47" spans="1:22" ht="24.95" customHeight="1">
      <c r="A47" s="434">
        <v>11</v>
      </c>
      <c r="B47" s="434">
        <v>18</v>
      </c>
      <c r="C47" s="581" t="s">
        <v>1088</v>
      </c>
      <c r="D47" s="581" t="s">
        <v>43</v>
      </c>
      <c r="E47" s="581" t="s">
        <v>44</v>
      </c>
      <c r="F47" s="582">
        <v>0.47</v>
      </c>
      <c r="G47" s="583">
        <v>0.8</v>
      </c>
      <c r="H47" s="584">
        <f>1000</f>
        <v>1000</v>
      </c>
      <c r="I47" s="584">
        <f>911+642+614+392+916+812+450</f>
        <v>4737</v>
      </c>
      <c r="J47" s="585">
        <v>820</v>
      </c>
      <c r="K47" s="534">
        <f>500+503+504+502+506+507+500+501+505</f>
        <v>4528</v>
      </c>
      <c r="L47" s="586"/>
      <c r="M47" s="586">
        <v>8</v>
      </c>
      <c r="N47" s="586"/>
      <c r="O47" s="587">
        <v>450</v>
      </c>
      <c r="P47" s="576">
        <f t="shared" si="0"/>
        <v>0.83851851851851855</v>
      </c>
      <c r="Q47" s="588">
        <f t="shared" si="1"/>
        <v>0</v>
      </c>
      <c r="R47" s="589">
        <f t="shared" si="2"/>
        <v>11.283333333333333</v>
      </c>
      <c r="S47" s="577">
        <v>11</v>
      </c>
      <c r="T47" s="577">
        <v>17</v>
      </c>
      <c r="U47" s="559" t="s">
        <v>1099</v>
      </c>
      <c r="V47" s="534" t="s">
        <v>719</v>
      </c>
    </row>
    <row r="48" spans="1:22" ht="24.95" customHeight="1">
      <c r="A48" s="434">
        <v>11</v>
      </c>
      <c r="B48" s="434">
        <v>19</v>
      </c>
      <c r="C48" s="581" t="s">
        <v>1102</v>
      </c>
      <c r="D48" s="581" t="s">
        <v>0</v>
      </c>
      <c r="E48" s="581" t="s">
        <v>44</v>
      </c>
      <c r="F48" s="582">
        <v>0.47</v>
      </c>
      <c r="G48" s="583">
        <v>0.6</v>
      </c>
      <c r="H48" s="584">
        <f>1000*2</f>
        <v>2000</v>
      </c>
      <c r="I48" s="584">
        <f>435+620+633+609+420+502.5+584+800</f>
        <v>4603.5</v>
      </c>
      <c r="J48" s="585">
        <v>820</v>
      </c>
      <c r="K48" s="534">
        <f>500+503+506+504+502+505+503+501+504+502</f>
        <v>5030</v>
      </c>
      <c r="L48" s="586"/>
      <c r="M48" s="586">
        <v>8</v>
      </c>
      <c r="N48" s="586"/>
      <c r="O48" s="587">
        <v>450</v>
      </c>
      <c r="P48" s="576">
        <f t="shared" si="0"/>
        <v>0.93148148148148147</v>
      </c>
      <c r="Q48" s="588">
        <f t="shared" si="1"/>
        <v>0</v>
      </c>
      <c r="R48" s="589">
        <f t="shared" si="2"/>
        <v>12.266666666666667</v>
      </c>
      <c r="S48" s="577">
        <v>12</v>
      </c>
      <c r="T48" s="577">
        <v>16</v>
      </c>
      <c r="U48" s="559" t="s">
        <v>717</v>
      </c>
      <c r="V48" s="534" t="s">
        <v>679</v>
      </c>
    </row>
    <row r="49" spans="1:22" ht="24.95" customHeight="1">
      <c r="A49" s="434">
        <v>11</v>
      </c>
      <c r="B49" s="434">
        <v>19</v>
      </c>
      <c r="C49" s="581" t="s">
        <v>1102</v>
      </c>
      <c r="D49" s="581" t="s">
        <v>43</v>
      </c>
      <c r="E49" s="581" t="s">
        <v>44</v>
      </c>
      <c r="F49" s="582">
        <v>0.47</v>
      </c>
      <c r="G49" s="583">
        <v>0.6</v>
      </c>
      <c r="H49" s="584">
        <f>1000*2</f>
        <v>2000</v>
      </c>
      <c r="I49" s="584">
        <f>450+420+535+660+498+532</f>
        <v>3095</v>
      </c>
      <c r="J49" s="585">
        <v>820</v>
      </c>
      <c r="K49" s="534">
        <f>502+501+507+505+503+504+502+506+500+505</f>
        <v>5035</v>
      </c>
      <c r="L49" s="586"/>
      <c r="M49" s="586">
        <v>8</v>
      </c>
      <c r="N49" s="586"/>
      <c r="O49" s="587">
        <v>450</v>
      </c>
      <c r="P49" s="576">
        <f>K49/(O49*12)</f>
        <v>0.93240740740740746</v>
      </c>
      <c r="Q49" s="588">
        <f>L49/(K49+L49)</f>
        <v>0</v>
      </c>
      <c r="R49" s="589">
        <f>S49+T49/60</f>
        <v>12.566666666666666</v>
      </c>
      <c r="S49" s="577">
        <v>12</v>
      </c>
      <c r="T49" s="577">
        <v>34</v>
      </c>
      <c r="U49" s="559" t="s">
        <v>1110</v>
      </c>
      <c r="V49" s="534" t="s">
        <v>719</v>
      </c>
    </row>
    <row r="50" spans="1:22" ht="33" customHeight="1">
      <c r="A50" s="434">
        <v>11</v>
      </c>
      <c r="B50" s="434">
        <v>20</v>
      </c>
      <c r="C50" s="581" t="s">
        <v>1115</v>
      </c>
      <c r="D50" s="581" t="s">
        <v>0</v>
      </c>
      <c r="E50" s="581" t="s">
        <v>44</v>
      </c>
      <c r="F50" s="582">
        <v>0.47</v>
      </c>
      <c r="G50" s="583">
        <v>0.6</v>
      </c>
      <c r="H50" s="584">
        <f>1000*2</f>
        <v>2000</v>
      </c>
      <c r="I50" s="584">
        <f>608+430</f>
        <v>1038</v>
      </c>
      <c r="J50" s="585">
        <v>820</v>
      </c>
      <c r="K50" s="585">
        <f>500+503+506+504+502+505</f>
        <v>3020</v>
      </c>
      <c r="L50" s="586">
        <f>97</f>
        <v>97</v>
      </c>
      <c r="M50" s="586">
        <v>8</v>
      </c>
      <c r="N50" s="586"/>
      <c r="O50" s="587">
        <v>450</v>
      </c>
      <c r="P50" s="576">
        <f t="shared" si="0"/>
        <v>0.55925925925925923</v>
      </c>
      <c r="Q50" s="588">
        <f t="shared" si="1"/>
        <v>3.1119666345845363E-2</v>
      </c>
      <c r="R50" s="589">
        <f t="shared" si="2"/>
        <v>7.4833333333333334</v>
      </c>
      <c r="S50" s="577">
        <v>7</v>
      </c>
      <c r="T50" s="577">
        <v>29</v>
      </c>
      <c r="U50" s="559" t="s">
        <v>1124</v>
      </c>
      <c r="V50" s="534" t="s">
        <v>679</v>
      </c>
    </row>
    <row r="51" spans="1:22" ht="24.95" customHeight="1">
      <c r="A51" s="434">
        <v>11</v>
      </c>
      <c r="B51" s="434">
        <v>20</v>
      </c>
      <c r="C51" s="581" t="s">
        <v>1115</v>
      </c>
      <c r="D51" s="581" t="s">
        <v>43</v>
      </c>
      <c r="E51" s="581" t="s">
        <v>44</v>
      </c>
      <c r="F51" s="582"/>
      <c r="G51" s="583" t="s">
        <v>633</v>
      </c>
      <c r="H51" s="584"/>
      <c r="I51" s="584"/>
      <c r="J51" s="585"/>
      <c r="K51" s="534"/>
      <c r="L51" s="586"/>
      <c r="M51" s="586"/>
      <c r="N51" s="586"/>
      <c r="O51" s="587">
        <v>450</v>
      </c>
      <c r="P51" s="576">
        <f t="shared" si="0"/>
        <v>0</v>
      </c>
      <c r="Q51" s="588" t="e">
        <f t="shared" si="1"/>
        <v>#DIV/0!</v>
      </c>
      <c r="R51" s="589">
        <f t="shared" si="2"/>
        <v>0</v>
      </c>
      <c r="S51" s="577"/>
      <c r="T51" s="577"/>
      <c r="U51" s="559"/>
      <c r="V51" s="534"/>
    </row>
    <row r="52" spans="1:22" ht="24.95" customHeight="1">
      <c r="A52" s="581">
        <v>11</v>
      </c>
      <c r="B52" s="581">
        <v>21</v>
      </c>
      <c r="C52" s="581" t="s">
        <v>1143</v>
      </c>
      <c r="D52" s="581" t="s">
        <v>0</v>
      </c>
      <c r="E52" s="581" t="s">
        <v>44</v>
      </c>
      <c r="F52" s="582"/>
      <c r="G52" s="583" t="s">
        <v>633</v>
      </c>
      <c r="H52" s="584"/>
      <c r="I52" s="584"/>
      <c r="J52" s="585"/>
      <c r="K52" s="534"/>
      <c r="L52" s="586"/>
      <c r="M52" s="586"/>
      <c r="N52" s="586"/>
      <c r="O52" s="587">
        <v>450</v>
      </c>
      <c r="P52" s="576">
        <f t="shared" si="0"/>
        <v>0</v>
      </c>
      <c r="Q52" s="588" t="e">
        <f t="shared" si="1"/>
        <v>#DIV/0!</v>
      </c>
      <c r="R52" s="589">
        <f t="shared" si="2"/>
        <v>0</v>
      </c>
      <c r="S52" s="577"/>
      <c r="T52" s="577"/>
      <c r="U52" s="559"/>
      <c r="V52" s="534"/>
    </row>
    <row r="53" spans="1:22" ht="24.95" customHeight="1">
      <c r="A53" s="581">
        <v>11</v>
      </c>
      <c r="B53" s="581">
        <v>21</v>
      </c>
      <c r="C53" s="581" t="s">
        <v>1143</v>
      </c>
      <c r="D53" s="581" t="s">
        <v>43</v>
      </c>
      <c r="E53" s="581" t="s">
        <v>44</v>
      </c>
      <c r="F53" s="582"/>
      <c r="G53" s="583" t="s">
        <v>633</v>
      </c>
      <c r="H53" s="584"/>
      <c r="I53" s="584"/>
      <c r="J53" s="585"/>
      <c r="K53" s="534"/>
      <c r="L53" s="586"/>
      <c r="M53" s="586"/>
      <c r="N53" s="586"/>
      <c r="O53" s="587">
        <v>450</v>
      </c>
      <c r="P53" s="576">
        <f>K53/(O53*12)</f>
        <v>0</v>
      </c>
      <c r="Q53" s="588" t="e">
        <f>L53/(K53+L53)</f>
        <v>#DIV/0!</v>
      </c>
      <c r="R53" s="589">
        <f>S53+T53/60</f>
        <v>0</v>
      </c>
      <c r="S53" s="577"/>
      <c r="T53" s="577"/>
      <c r="U53" s="559"/>
      <c r="V53" s="534"/>
    </row>
    <row r="54" spans="1:22" ht="24.95" customHeight="1">
      <c r="A54" s="581">
        <v>11</v>
      </c>
      <c r="B54" s="581">
        <v>22</v>
      </c>
      <c r="C54" s="581" t="s">
        <v>632</v>
      </c>
      <c r="D54" s="581" t="s">
        <v>0</v>
      </c>
      <c r="E54" s="581" t="s">
        <v>44</v>
      </c>
      <c r="F54" s="582"/>
      <c r="G54" s="583" t="s">
        <v>633</v>
      </c>
      <c r="H54" s="584"/>
      <c r="I54" s="584"/>
      <c r="J54" s="585"/>
      <c r="K54" s="534"/>
      <c r="L54" s="586"/>
      <c r="M54" s="586"/>
      <c r="N54" s="586"/>
      <c r="O54" s="587">
        <v>450</v>
      </c>
      <c r="P54" s="576">
        <f t="shared" si="0"/>
        <v>0</v>
      </c>
      <c r="Q54" s="588" t="e">
        <f t="shared" si="1"/>
        <v>#DIV/0!</v>
      </c>
      <c r="R54" s="589">
        <f t="shared" si="2"/>
        <v>0</v>
      </c>
      <c r="S54" s="577"/>
      <c r="T54" s="577"/>
      <c r="U54" s="559"/>
      <c r="V54" s="534"/>
    </row>
    <row r="55" spans="1:22" ht="24.95" customHeight="1">
      <c r="A55" s="581">
        <v>11</v>
      </c>
      <c r="B55" s="581">
        <v>22</v>
      </c>
      <c r="C55" s="581" t="s">
        <v>632</v>
      </c>
      <c r="D55" s="581" t="s">
        <v>43</v>
      </c>
      <c r="E55" s="581" t="s">
        <v>44</v>
      </c>
      <c r="F55" s="582"/>
      <c r="G55" s="583" t="s">
        <v>633</v>
      </c>
      <c r="H55" s="584"/>
      <c r="I55" s="584"/>
      <c r="J55" s="585"/>
      <c r="K55" s="534"/>
      <c r="L55" s="586"/>
      <c r="M55" s="586"/>
      <c r="N55" s="586"/>
      <c r="O55" s="587">
        <v>450</v>
      </c>
      <c r="P55" s="576">
        <f>K55/(O55*12)</f>
        <v>0</v>
      </c>
      <c r="Q55" s="588" t="e">
        <f>L55/(K55+L55)</f>
        <v>#DIV/0!</v>
      </c>
      <c r="R55" s="589">
        <f>S55+T55/60</f>
        <v>0</v>
      </c>
      <c r="S55" s="577"/>
      <c r="T55" s="577"/>
      <c r="U55" s="559"/>
      <c r="V55" s="534"/>
    </row>
    <row r="56" spans="1:22" ht="24.95" customHeight="1">
      <c r="A56" s="581">
        <v>11</v>
      </c>
      <c r="B56" s="581">
        <v>23</v>
      </c>
      <c r="C56" s="581" t="s">
        <v>667</v>
      </c>
      <c r="D56" s="581" t="s">
        <v>0</v>
      </c>
      <c r="E56" s="581" t="s">
        <v>44</v>
      </c>
      <c r="F56" s="582"/>
      <c r="G56" s="583" t="s">
        <v>633</v>
      </c>
      <c r="H56" s="584"/>
      <c r="I56" s="584"/>
      <c r="J56" s="585"/>
      <c r="K56" s="534"/>
      <c r="L56" s="586"/>
      <c r="M56" s="586"/>
      <c r="N56" s="586"/>
      <c r="O56" s="587">
        <v>450</v>
      </c>
      <c r="P56" s="576">
        <f>K56/(O56*12)</f>
        <v>0</v>
      </c>
      <c r="Q56" s="588" t="e">
        <f>L56/(K56+L56)</f>
        <v>#DIV/0!</v>
      </c>
      <c r="R56" s="589">
        <f>S56+T56/60</f>
        <v>0</v>
      </c>
      <c r="S56" s="577"/>
      <c r="T56" s="577"/>
      <c r="U56" s="559"/>
      <c r="V56" s="534"/>
    </row>
    <row r="57" spans="1:22" ht="24.95" customHeight="1">
      <c r="A57" s="581">
        <v>11</v>
      </c>
      <c r="B57" s="581">
        <v>23</v>
      </c>
      <c r="C57" s="581" t="s">
        <v>667</v>
      </c>
      <c r="D57" s="581" t="s">
        <v>43</v>
      </c>
      <c r="E57" s="581" t="s">
        <v>44</v>
      </c>
      <c r="F57" s="582"/>
      <c r="G57" s="583" t="s">
        <v>633</v>
      </c>
      <c r="H57" s="584"/>
      <c r="I57" s="584"/>
      <c r="J57" s="585"/>
      <c r="K57" s="534"/>
      <c r="L57" s="586"/>
      <c r="M57" s="586"/>
      <c r="N57" s="586"/>
      <c r="O57" s="587">
        <v>450</v>
      </c>
      <c r="P57" s="576">
        <f>K57/(O57*12)</f>
        <v>0</v>
      </c>
      <c r="Q57" s="588" t="e">
        <f>L57/(K57+L57)</f>
        <v>#DIV/0!</v>
      </c>
      <c r="R57" s="589">
        <f>S57+T57/60</f>
        <v>0</v>
      </c>
      <c r="S57" s="577"/>
      <c r="T57" s="577"/>
      <c r="U57" s="559"/>
      <c r="V57" s="534"/>
    </row>
    <row r="58" spans="1:22" ht="24.95" customHeight="1">
      <c r="A58" s="581">
        <v>11</v>
      </c>
      <c r="B58" s="581">
        <v>24</v>
      </c>
      <c r="C58" s="581" t="s">
        <v>1192</v>
      </c>
      <c r="D58" s="581" t="s">
        <v>0</v>
      </c>
      <c r="E58" s="581" t="s">
        <v>42</v>
      </c>
      <c r="F58" s="582"/>
      <c r="G58" s="583" t="s">
        <v>633</v>
      </c>
      <c r="H58" s="584"/>
      <c r="I58" s="584"/>
      <c r="J58" s="585"/>
      <c r="K58" s="534"/>
      <c r="L58" s="586"/>
      <c r="M58" s="586"/>
      <c r="N58" s="586"/>
      <c r="O58" s="587">
        <v>450</v>
      </c>
      <c r="P58" s="576">
        <f t="shared" si="0"/>
        <v>0</v>
      </c>
      <c r="Q58" s="588" t="e">
        <f t="shared" si="1"/>
        <v>#DIV/0!</v>
      </c>
      <c r="R58" s="589">
        <f t="shared" si="2"/>
        <v>0</v>
      </c>
      <c r="S58" s="577"/>
      <c r="T58" s="577"/>
      <c r="U58" s="559"/>
      <c r="V58" s="534"/>
    </row>
    <row r="59" spans="1:22" ht="24.95" customHeight="1">
      <c r="A59" s="581">
        <v>11</v>
      </c>
      <c r="B59" s="581">
        <v>24</v>
      </c>
      <c r="C59" s="581" t="s">
        <v>1192</v>
      </c>
      <c r="D59" s="581" t="s">
        <v>43</v>
      </c>
      <c r="E59" s="581" t="s">
        <v>42</v>
      </c>
      <c r="F59" s="582"/>
      <c r="G59" s="583" t="s">
        <v>633</v>
      </c>
      <c r="H59" s="584"/>
      <c r="I59" s="584"/>
      <c r="J59" s="585"/>
      <c r="K59" s="534"/>
      <c r="L59" s="586"/>
      <c r="M59" s="586"/>
      <c r="N59" s="586"/>
      <c r="O59" s="587">
        <v>450</v>
      </c>
      <c r="P59" s="576">
        <f t="shared" ref="P59:P75" si="3">K59/(O59*12)</f>
        <v>0</v>
      </c>
      <c r="Q59" s="588" t="e">
        <f t="shared" ref="Q59:Q75" si="4">L59/(K59+L59)</f>
        <v>#DIV/0!</v>
      </c>
      <c r="R59" s="589">
        <f t="shared" ref="R59:R75" si="5">S59+T59/60</f>
        <v>0</v>
      </c>
      <c r="S59" s="577"/>
      <c r="T59" s="577"/>
      <c r="U59" s="559"/>
      <c r="V59" s="534"/>
    </row>
    <row r="60" spans="1:22" ht="24.95" customHeight="1">
      <c r="A60" s="581">
        <v>11</v>
      </c>
      <c r="B60" s="581">
        <v>25</v>
      </c>
      <c r="C60" s="581" t="s">
        <v>670</v>
      </c>
      <c r="D60" s="581" t="s">
        <v>0</v>
      </c>
      <c r="E60" s="581" t="s">
        <v>42</v>
      </c>
      <c r="F60" s="582"/>
      <c r="G60" s="583" t="s">
        <v>633</v>
      </c>
      <c r="H60" s="584"/>
      <c r="I60" s="584"/>
      <c r="J60" s="585"/>
      <c r="K60" s="534"/>
      <c r="L60" s="586"/>
      <c r="M60" s="586"/>
      <c r="N60" s="586"/>
      <c r="O60" s="587">
        <v>450</v>
      </c>
      <c r="P60" s="576">
        <f t="shared" si="3"/>
        <v>0</v>
      </c>
      <c r="Q60" s="588" t="e">
        <f t="shared" si="4"/>
        <v>#DIV/0!</v>
      </c>
      <c r="R60" s="589">
        <f t="shared" si="5"/>
        <v>0</v>
      </c>
      <c r="S60" s="577"/>
      <c r="T60" s="577"/>
      <c r="U60" s="559"/>
      <c r="V60" s="534"/>
    </row>
    <row r="61" spans="1:22" ht="24.95" customHeight="1">
      <c r="A61" s="581">
        <v>11</v>
      </c>
      <c r="B61" s="581">
        <v>25</v>
      </c>
      <c r="C61" s="581" t="s">
        <v>670</v>
      </c>
      <c r="D61" s="581" t="s">
        <v>43</v>
      </c>
      <c r="E61" s="581" t="s">
        <v>42</v>
      </c>
      <c r="F61" s="582"/>
      <c r="G61" s="583" t="s">
        <v>633</v>
      </c>
      <c r="H61" s="584"/>
      <c r="I61" s="584"/>
      <c r="J61" s="585"/>
      <c r="K61" s="534"/>
      <c r="L61" s="586"/>
      <c r="M61" s="586"/>
      <c r="N61" s="586"/>
      <c r="O61" s="587">
        <v>450</v>
      </c>
      <c r="P61" s="576">
        <f t="shared" si="3"/>
        <v>0</v>
      </c>
      <c r="Q61" s="588" t="e">
        <f t="shared" si="4"/>
        <v>#DIV/0!</v>
      </c>
      <c r="R61" s="589">
        <f t="shared" si="5"/>
        <v>0</v>
      </c>
      <c r="S61" s="577"/>
      <c r="T61" s="577"/>
      <c r="U61" s="559"/>
      <c r="V61" s="534"/>
    </row>
    <row r="62" spans="1:22" ht="24.95" customHeight="1">
      <c r="A62" s="581">
        <v>11</v>
      </c>
      <c r="B62" s="581">
        <v>26</v>
      </c>
      <c r="C62" s="581" t="s">
        <v>671</v>
      </c>
      <c r="D62" s="581" t="s">
        <v>0</v>
      </c>
      <c r="E62" s="581" t="s">
        <v>42</v>
      </c>
      <c r="F62" s="582"/>
      <c r="G62" s="583" t="s">
        <v>633</v>
      </c>
      <c r="H62" s="584"/>
      <c r="I62" s="584"/>
      <c r="J62" s="585"/>
      <c r="K62" s="534"/>
      <c r="L62" s="586"/>
      <c r="M62" s="586"/>
      <c r="N62" s="586"/>
      <c r="O62" s="587">
        <v>450</v>
      </c>
      <c r="P62" s="576">
        <f t="shared" si="3"/>
        <v>0</v>
      </c>
      <c r="Q62" s="588" t="e">
        <f t="shared" si="4"/>
        <v>#DIV/0!</v>
      </c>
      <c r="R62" s="589">
        <f t="shared" si="5"/>
        <v>0</v>
      </c>
      <c r="S62" s="577"/>
      <c r="T62" s="577"/>
      <c r="U62" s="559"/>
      <c r="V62" s="534"/>
    </row>
    <row r="63" spans="1:22" ht="24.95" customHeight="1">
      <c r="A63" s="581">
        <v>11</v>
      </c>
      <c r="B63" s="581">
        <v>26</v>
      </c>
      <c r="C63" s="581" t="s">
        <v>671</v>
      </c>
      <c r="D63" s="581" t="s">
        <v>43</v>
      </c>
      <c r="E63" s="581" t="s">
        <v>42</v>
      </c>
      <c r="F63" s="582"/>
      <c r="G63" s="583" t="s">
        <v>633</v>
      </c>
      <c r="H63" s="584"/>
      <c r="I63" s="584"/>
      <c r="J63" s="585"/>
      <c r="K63" s="534"/>
      <c r="L63" s="586"/>
      <c r="M63" s="586"/>
      <c r="N63" s="586"/>
      <c r="O63" s="587">
        <v>450</v>
      </c>
      <c r="P63" s="576">
        <f t="shared" si="3"/>
        <v>0</v>
      </c>
      <c r="Q63" s="588" t="e">
        <f t="shared" si="4"/>
        <v>#DIV/0!</v>
      </c>
      <c r="R63" s="589">
        <f t="shared" si="5"/>
        <v>0</v>
      </c>
      <c r="S63" s="577"/>
      <c r="T63" s="577"/>
      <c r="U63" s="559"/>
      <c r="V63" s="534"/>
    </row>
    <row r="64" spans="1:22" ht="33" customHeight="1">
      <c r="A64" s="434">
        <v>11</v>
      </c>
      <c r="B64" s="434">
        <v>27</v>
      </c>
      <c r="C64" s="434" t="s">
        <v>1202</v>
      </c>
      <c r="D64" s="581" t="s">
        <v>0</v>
      </c>
      <c r="E64" s="581" t="s">
        <v>42</v>
      </c>
      <c r="F64" s="582">
        <v>0.55000000000000004</v>
      </c>
      <c r="G64" s="583">
        <v>0.6</v>
      </c>
      <c r="H64" s="584">
        <f>200+40+1000*2</f>
        <v>2240</v>
      </c>
      <c r="I64" s="584">
        <f>911+420+510+435*2+912+723</f>
        <v>4346</v>
      </c>
      <c r="J64" s="585">
        <v>780</v>
      </c>
      <c r="K64" s="534">
        <f>500+503+506+504+502+505+503+501</f>
        <v>4024</v>
      </c>
      <c r="L64" s="586">
        <f>59</f>
        <v>59</v>
      </c>
      <c r="M64" s="586">
        <v>8</v>
      </c>
      <c r="N64" s="586"/>
      <c r="O64" s="587">
        <v>450</v>
      </c>
      <c r="P64" s="576">
        <f t="shared" si="3"/>
        <v>0.74518518518518517</v>
      </c>
      <c r="Q64" s="588">
        <f t="shared" si="4"/>
        <v>1.4450159196669116E-2</v>
      </c>
      <c r="R64" s="589">
        <f t="shared" si="5"/>
        <v>9.2666666666666675</v>
      </c>
      <c r="S64" s="577">
        <v>9</v>
      </c>
      <c r="T64" s="577">
        <v>16</v>
      </c>
      <c r="U64" s="559" t="s">
        <v>1211</v>
      </c>
      <c r="V64" s="534" t="s">
        <v>1210</v>
      </c>
    </row>
    <row r="65" spans="1:22" ht="24.95" customHeight="1">
      <c r="A65" s="434">
        <v>11</v>
      </c>
      <c r="B65" s="434">
        <v>27</v>
      </c>
      <c r="C65" s="434" t="s">
        <v>1202</v>
      </c>
      <c r="D65" s="581" t="s">
        <v>43</v>
      </c>
      <c r="E65" s="581" t="s">
        <v>42</v>
      </c>
      <c r="F65" s="582">
        <v>0.55000000000000004</v>
      </c>
      <c r="G65" s="583">
        <v>0.6</v>
      </c>
      <c r="H65" s="584">
        <f>50*2+20*2+1000*2</f>
        <v>2140</v>
      </c>
      <c r="I65" s="584">
        <f>863+872+656+450+410+695+425</f>
        <v>4371</v>
      </c>
      <c r="J65" s="585">
        <v>780</v>
      </c>
      <c r="K65" s="585">
        <f>501+503+502+501+504+502+500+502+505+503+501</f>
        <v>5524</v>
      </c>
      <c r="L65" s="586"/>
      <c r="M65" s="586">
        <v>8</v>
      </c>
      <c r="N65" s="586"/>
      <c r="O65" s="587">
        <v>450</v>
      </c>
      <c r="P65" s="576">
        <f t="shared" si="3"/>
        <v>1.0229629629629631</v>
      </c>
      <c r="Q65" s="588">
        <f t="shared" si="4"/>
        <v>0</v>
      </c>
      <c r="R65" s="589">
        <f t="shared" si="5"/>
        <v>12.783333333333333</v>
      </c>
      <c r="S65" s="577">
        <v>12</v>
      </c>
      <c r="T65" s="577">
        <v>47</v>
      </c>
      <c r="U65" s="559" t="s">
        <v>1212</v>
      </c>
      <c r="V65" s="534" t="s">
        <v>1213</v>
      </c>
    </row>
    <row r="66" spans="1:22" ht="24.95" customHeight="1">
      <c r="A66" s="434">
        <v>11</v>
      </c>
      <c r="B66" s="434">
        <v>28</v>
      </c>
      <c r="C66" s="434" t="s">
        <v>1225</v>
      </c>
      <c r="D66" s="581" t="s">
        <v>0</v>
      </c>
      <c r="E66" s="581" t="s">
        <v>42</v>
      </c>
      <c r="F66" s="582">
        <v>0.55000000000000004</v>
      </c>
      <c r="G66" s="583">
        <v>0.6</v>
      </c>
      <c r="H66" s="584">
        <f>125+50+40*2+1000*2</f>
        <v>2255</v>
      </c>
      <c r="I66" s="584">
        <f>683+480+485+934+1006+1002</f>
        <v>4590</v>
      </c>
      <c r="J66" s="585">
        <v>780</v>
      </c>
      <c r="K66" s="584">
        <f>501+503+502*2+505*2+506+502*2+500</f>
        <v>5028</v>
      </c>
      <c r="L66" s="586"/>
      <c r="M66" s="586">
        <v>8</v>
      </c>
      <c r="N66" s="586"/>
      <c r="O66" s="587">
        <v>450</v>
      </c>
      <c r="P66" s="576">
        <f t="shared" si="3"/>
        <v>0.93111111111111111</v>
      </c>
      <c r="Q66" s="588">
        <f t="shared" si="4"/>
        <v>0</v>
      </c>
      <c r="R66" s="589">
        <f t="shared" si="5"/>
        <v>11.45</v>
      </c>
      <c r="S66" s="577">
        <v>11</v>
      </c>
      <c r="T66" s="577">
        <v>27</v>
      </c>
      <c r="U66" s="559" t="s">
        <v>1232</v>
      </c>
      <c r="V66" s="534" t="s">
        <v>1233</v>
      </c>
    </row>
    <row r="67" spans="1:22" ht="24.95" customHeight="1">
      <c r="A67" s="434">
        <v>11</v>
      </c>
      <c r="B67" s="434">
        <v>28</v>
      </c>
      <c r="C67" s="434" t="s">
        <v>1225</v>
      </c>
      <c r="D67" s="581" t="s">
        <v>43</v>
      </c>
      <c r="E67" s="581" t="s">
        <v>42</v>
      </c>
      <c r="F67" s="582">
        <v>0.55000000000000004</v>
      </c>
      <c r="G67" s="583">
        <v>0.6</v>
      </c>
      <c r="H67" s="584"/>
      <c r="I67" s="584"/>
      <c r="J67" s="585">
        <v>780</v>
      </c>
      <c r="K67" s="534">
        <f>500</f>
        <v>500</v>
      </c>
      <c r="L67" s="586"/>
      <c r="M67" s="586">
        <v>8</v>
      </c>
      <c r="N67" s="586"/>
      <c r="O67" s="587">
        <v>450</v>
      </c>
      <c r="P67" s="576">
        <f t="shared" si="3"/>
        <v>9.2592592592592587E-2</v>
      </c>
      <c r="Q67" s="588">
        <f t="shared" si="4"/>
        <v>0</v>
      </c>
      <c r="R67" s="589">
        <f t="shared" si="5"/>
        <v>1.3333333333333333</v>
      </c>
      <c r="S67" s="577">
        <v>1</v>
      </c>
      <c r="T67" s="577">
        <v>20</v>
      </c>
      <c r="U67" s="559" t="s">
        <v>1234</v>
      </c>
      <c r="V67" s="534" t="s">
        <v>1235</v>
      </c>
    </row>
    <row r="68" spans="1:22" ht="24.95" customHeight="1">
      <c r="A68" s="434">
        <v>11</v>
      </c>
      <c r="B68" s="434">
        <v>28</v>
      </c>
      <c r="C68" s="434" t="s">
        <v>1225</v>
      </c>
      <c r="D68" s="581" t="s">
        <v>43</v>
      </c>
      <c r="E68" s="581" t="s">
        <v>42</v>
      </c>
      <c r="F68" s="582">
        <v>0.6</v>
      </c>
      <c r="G68" s="583">
        <v>0.6</v>
      </c>
      <c r="H68" s="584">
        <f>75+50+15*2+1000*2</f>
        <v>2155</v>
      </c>
      <c r="I68" s="584">
        <f>911+430+415+972+811</f>
        <v>3539</v>
      </c>
      <c r="J68" s="585">
        <v>830</v>
      </c>
      <c r="K68" s="534">
        <f>503+504+506+502+507+505+502+503+501+505</f>
        <v>5038</v>
      </c>
      <c r="L68" s="586"/>
      <c r="M68" s="586">
        <v>8</v>
      </c>
      <c r="N68" s="586"/>
      <c r="O68" s="587">
        <v>450</v>
      </c>
      <c r="P68" s="576">
        <f t="shared" si="3"/>
        <v>0.93296296296296299</v>
      </c>
      <c r="Q68" s="588">
        <f t="shared" si="4"/>
        <v>0</v>
      </c>
      <c r="R68" s="589">
        <f t="shared" si="5"/>
        <v>11.033333333333333</v>
      </c>
      <c r="S68" s="577">
        <v>11</v>
      </c>
      <c r="T68" s="577">
        <v>2</v>
      </c>
      <c r="U68" s="559" t="s">
        <v>1236</v>
      </c>
      <c r="V68" s="534" t="s">
        <v>1235</v>
      </c>
    </row>
    <row r="69" spans="1:22" ht="24.95" customHeight="1">
      <c r="A69" s="434">
        <v>11</v>
      </c>
      <c r="B69" s="434">
        <v>29</v>
      </c>
      <c r="C69" s="434" t="s">
        <v>1245</v>
      </c>
      <c r="D69" s="581" t="s">
        <v>0</v>
      </c>
      <c r="E69" s="581" t="s">
        <v>42</v>
      </c>
      <c r="F69" s="582">
        <v>0.6</v>
      </c>
      <c r="G69" s="583">
        <v>0.6</v>
      </c>
      <c r="H69" s="584">
        <f>150+50+40*2+1000*2</f>
        <v>2280</v>
      </c>
      <c r="I69" s="584">
        <f>881+623+985+502+740+726.5</f>
        <v>4457.5</v>
      </c>
      <c r="J69" s="585">
        <v>830</v>
      </c>
      <c r="K69" s="534">
        <f>500+503+506*2+502*2+505*2+500*2</f>
        <v>5029</v>
      </c>
      <c r="L69" s="586"/>
      <c r="M69" s="586">
        <v>8</v>
      </c>
      <c r="N69" s="586"/>
      <c r="O69" s="587">
        <v>450</v>
      </c>
      <c r="P69" s="576">
        <f t="shared" si="3"/>
        <v>0.93129629629629629</v>
      </c>
      <c r="Q69" s="588">
        <f t="shared" si="4"/>
        <v>0</v>
      </c>
      <c r="R69" s="589">
        <f t="shared" si="5"/>
        <v>11.466666666666667</v>
      </c>
      <c r="S69" s="577">
        <v>11</v>
      </c>
      <c r="T69" s="577">
        <v>28</v>
      </c>
      <c r="U69" s="559" t="s">
        <v>1251</v>
      </c>
      <c r="V69" s="534" t="s">
        <v>1094</v>
      </c>
    </row>
    <row r="70" spans="1:22" ht="24.95" customHeight="1">
      <c r="A70" s="434">
        <v>11</v>
      </c>
      <c r="B70" s="434">
        <v>29</v>
      </c>
      <c r="C70" s="434" t="s">
        <v>1245</v>
      </c>
      <c r="D70" s="581" t="s">
        <v>43</v>
      </c>
      <c r="E70" s="581" t="s">
        <v>42</v>
      </c>
      <c r="F70" s="582">
        <v>0.6</v>
      </c>
      <c r="G70" s="583">
        <v>0.6</v>
      </c>
      <c r="H70" s="584">
        <f>25+15+1000</f>
        <v>1040</v>
      </c>
      <c r="I70" s="584"/>
      <c r="J70" s="585">
        <v>830</v>
      </c>
      <c r="K70" s="534">
        <f>500+506+502+505+501+507+504+503+506+502+505</f>
        <v>5541</v>
      </c>
      <c r="L70" s="586"/>
      <c r="M70" s="586">
        <v>8</v>
      </c>
      <c r="N70" s="586"/>
      <c r="O70" s="587">
        <v>450</v>
      </c>
      <c r="P70" s="576">
        <f>K70/(O70*12)</f>
        <v>1.0261111111111112</v>
      </c>
      <c r="Q70" s="588">
        <f>L70/(K70+L70)</f>
        <v>0</v>
      </c>
      <c r="R70" s="589">
        <f>S70+T70/60</f>
        <v>12.616666666666667</v>
      </c>
      <c r="S70" s="577">
        <v>12</v>
      </c>
      <c r="T70" s="577">
        <v>37</v>
      </c>
      <c r="U70" s="559" t="s">
        <v>1252</v>
      </c>
      <c r="V70" s="534" t="s">
        <v>719</v>
      </c>
    </row>
    <row r="71" spans="1:22" ht="24.95" customHeight="1">
      <c r="A71" s="434">
        <v>11</v>
      </c>
      <c r="B71" s="434">
        <v>30</v>
      </c>
      <c r="C71" s="434" t="s">
        <v>1266</v>
      </c>
      <c r="D71" s="581" t="s">
        <v>0</v>
      </c>
      <c r="E71" s="581" t="s">
        <v>42</v>
      </c>
      <c r="F71" s="582">
        <v>0.6</v>
      </c>
      <c r="G71" s="583">
        <v>0.6</v>
      </c>
      <c r="H71" s="584"/>
      <c r="I71" s="584"/>
      <c r="J71" s="585">
        <v>830</v>
      </c>
      <c r="K71" s="585">
        <f>500+502+505+250</f>
        <v>1757</v>
      </c>
      <c r="L71" s="586">
        <f>81</f>
        <v>81</v>
      </c>
      <c r="M71" s="586">
        <v>8</v>
      </c>
      <c r="N71" s="586"/>
      <c r="O71" s="587">
        <v>450</v>
      </c>
      <c r="P71" s="576">
        <f>K71/(O71*12)</f>
        <v>0.32537037037037037</v>
      </c>
      <c r="Q71" s="588">
        <f>L71/(K71+L71)</f>
        <v>4.4069640914036999E-2</v>
      </c>
      <c r="R71" s="589">
        <f>S71+T71/60</f>
        <v>3.7166666666666668</v>
      </c>
      <c r="S71" s="577">
        <v>3</v>
      </c>
      <c r="T71" s="577">
        <v>43</v>
      </c>
      <c r="U71" s="559" t="s">
        <v>1278</v>
      </c>
      <c r="V71" s="534" t="s">
        <v>1094</v>
      </c>
    </row>
    <row r="72" spans="1:22" ht="24.95" customHeight="1">
      <c r="A72" s="434">
        <v>11</v>
      </c>
      <c r="B72" s="434">
        <v>30</v>
      </c>
      <c r="C72" s="434" t="s">
        <v>1266</v>
      </c>
      <c r="D72" s="581" t="s">
        <v>0</v>
      </c>
      <c r="E72" s="581" t="s">
        <v>42</v>
      </c>
      <c r="F72" s="582">
        <v>0.47</v>
      </c>
      <c r="G72" s="583">
        <v>0.6</v>
      </c>
      <c r="H72" s="584">
        <f>1000*2</f>
        <v>2000</v>
      </c>
      <c r="I72" s="584">
        <f>1006+626+907+815+634+912+925+1044</f>
        <v>6869</v>
      </c>
      <c r="J72" s="585">
        <v>820</v>
      </c>
      <c r="K72" s="534">
        <f>500+502+505+502+500*2</f>
        <v>3009</v>
      </c>
      <c r="L72" s="586"/>
      <c r="M72" s="586">
        <v>8</v>
      </c>
      <c r="N72" s="586"/>
      <c r="O72" s="587">
        <v>450</v>
      </c>
      <c r="P72" s="576">
        <f t="shared" si="3"/>
        <v>0.55722222222222217</v>
      </c>
      <c r="Q72" s="588">
        <f t="shared" si="4"/>
        <v>0</v>
      </c>
      <c r="R72" s="589">
        <f t="shared" si="5"/>
        <v>7</v>
      </c>
      <c r="S72" s="577">
        <v>7</v>
      </c>
      <c r="T72" s="577">
        <v>0</v>
      </c>
      <c r="U72" s="559" t="s">
        <v>1279</v>
      </c>
      <c r="V72" s="534" t="s">
        <v>1094</v>
      </c>
    </row>
    <row r="73" spans="1:22" ht="24.95" customHeight="1">
      <c r="A73" s="434">
        <v>11</v>
      </c>
      <c r="B73" s="434">
        <v>30</v>
      </c>
      <c r="C73" s="434" t="s">
        <v>1266</v>
      </c>
      <c r="D73" s="581" t="s">
        <v>43</v>
      </c>
      <c r="E73" s="581" t="s">
        <v>42</v>
      </c>
      <c r="F73" s="582">
        <v>0.47</v>
      </c>
      <c r="G73" s="583">
        <v>0.6</v>
      </c>
      <c r="H73" s="584">
        <f>1000*2</f>
        <v>2000</v>
      </c>
      <c r="I73" s="584">
        <f>420+633+647+624+688</f>
        <v>3012</v>
      </c>
      <c r="J73" s="585">
        <v>820</v>
      </c>
      <c r="K73" s="585">
        <f>500+504+506+502+505+507+501+503+506+504</f>
        <v>5038</v>
      </c>
      <c r="L73" s="586"/>
      <c r="M73" s="586">
        <v>8</v>
      </c>
      <c r="N73" s="586"/>
      <c r="O73" s="587">
        <v>450</v>
      </c>
      <c r="P73" s="576">
        <f t="shared" si="3"/>
        <v>0.93296296296296299</v>
      </c>
      <c r="Q73" s="588">
        <f t="shared" si="4"/>
        <v>0</v>
      </c>
      <c r="R73" s="589">
        <f t="shared" si="5"/>
        <v>11.683333333333334</v>
      </c>
      <c r="S73" s="577">
        <v>11</v>
      </c>
      <c r="T73" s="577">
        <v>41</v>
      </c>
      <c r="U73" s="559" t="s">
        <v>1280</v>
      </c>
      <c r="V73" s="534" t="s">
        <v>719</v>
      </c>
    </row>
    <row r="74" spans="1:22" ht="24.95" customHeight="1">
      <c r="A74" s="434"/>
      <c r="B74" s="434"/>
      <c r="C74" s="581"/>
      <c r="D74" s="581"/>
      <c r="E74" s="581"/>
      <c r="F74" s="582"/>
      <c r="G74" s="583"/>
      <c r="H74" s="584"/>
      <c r="I74" s="584"/>
      <c r="J74" s="585"/>
      <c r="K74" s="534"/>
      <c r="L74" s="586"/>
      <c r="M74" s="586"/>
      <c r="N74" s="586"/>
      <c r="O74" s="587">
        <v>450</v>
      </c>
      <c r="P74" s="576">
        <f t="shared" si="3"/>
        <v>0</v>
      </c>
      <c r="Q74" s="588" t="e">
        <f t="shared" si="4"/>
        <v>#DIV/0!</v>
      </c>
      <c r="R74" s="589">
        <f t="shared" si="5"/>
        <v>0</v>
      </c>
      <c r="S74" s="577"/>
      <c r="T74" s="577"/>
      <c r="U74" s="559"/>
      <c r="V74" s="534"/>
    </row>
    <row r="75" spans="1:22" ht="24.95" customHeight="1">
      <c r="A75" s="434"/>
      <c r="B75" s="434"/>
      <c r="C75" s="581"/>
      <c r="D75" s="581"/>
      <c r="E75" s="581"/>
      <c r="F75" s="582"/>
      <c r="G75" s="583"/>
      <c r="H75" s="584"/>
      <c r="I75" s="584"/>
      <c r="J75" s="585"/>
      <c r="K75" s="534"/>
      <c r="L75" s="586"/>
      <c r="M75" s="586"/>
      <c r="N75" s="586"/>
      <c r="O75" s="587">
        <v>450</v>
      </c>
      <c r="P75" s="576">
        <f t="shared" si="3"/>
        <v>0</v>
      </c>
      <c r="Q75" s="588" t="e">
        <f t="shared" si="4"/>
        <v>#DIV/0!</v>
      </c>
      <c r="R75" s="589">
        <f t="shared" si="5"/>
        <v>0</v>
      </c>
      <c r="S75" s="577"/>
      <c r="T75" s="577"/>
      <c r="U75" s="559"/>
      <c r="V75" s="534"/>
    </row>
    <row r="76" spans="1:22" ht="30" customHeight="1">
      <c r="E76" s="456"/>
      <c r="F76" s="560"/>
      <c r="G76" s="573"/>
      <c r="H76" s="575"/>
      <c r="I76" s="575"/>
      <c r="J76" s="561"/>
      <c r="K76" s="533"/>
      <c r="L76" s="562"/>
      <c r="M76" s="562"/>
      <c r="N76" s="562"/>
      <c r="O76" s="563"/>
      <c r="P76" s="566"/>
      <c r="Q76" s="566"/>
      <c r="R76" s="564"/>
      <c r="S76" s="567"/>
      <c r="T76" s="567"/>
      <c r="U76" s="565"/>
      <c r="V76" s="533"/>
    </row>
    <row r="77" spans="1:22" ht="30" customHeight="1" thickBot="1">
      <c r="E77" s="456"/>
      <c r="F77" s="560"/>
      <c r="G77" s="573"/>
      <c r="H77" s="575"/>
      <c r="I77" s="575"/>
      <c r="J77" s="561"/>
      <c r="K77" s="533"/>
      <c r="L77" s="562"/>
      <c r="M77" s="562"/>
      <c r="N77" s="562"/>
      <c r="O77" s="563"/>
      <c r="P77" s="566"/>
      <c r="Q77" s="566"/>
      <c r="R77" s="564"/>
      <c r="S77" s="567"/>
      <c r="T77" s="567"/>
      <c r="U77" s="565"/>
      <c r="V77" s="533"/>
    </row>
    <row r="78" spans="1:22" ht="30" customHeight="1" thickBot="1">
      <c r="E78" s="456"/>
      <c r="F78" s="560"/>
      <c r="G78" s="592" t="s">
        <v>585</v>
      </c>
      <c r="H78" s="591">
        <f>SUM(H5:H75)</f>
        <v>55045</v>
      </c>
      <c r="I78" s="594">
        <f>SUM(I5:I75)</f>
        <v>165653</v>
      </c>
      <c r="J78" s="596" t="s">
        <v>586</v>
      </c>
      <c r="K78" s="595">
        <f>SUM(K5:K77)</f>
        <v>199015</v>
      </c>
      <c r="L78" s="593">
        <f>SUM(L5:L77)</f>
        <v>895</v>
      </c>
      <c r="M78" s="597" t="s">
        <v>588</v>
      </c>
      <c r="N78" s="562"/>
      <c r="O78" s="564"/>
      <c r="P78" s="566"/>
      <c r="Q78" s="566"/>
      <c r="R78" s="564"/>
      <c r="S78" s="567"/>
      <c r="T78" s="567"/>
      <c r="U78" s="568"/>
    </row>
    <row r="79" spans="1:22" ht="30" customHeight="1">
      <c r="E79" s="456"/>
      <c r="F79" s="560"/>
      <c r="G79" s="573"/>
      <c r="H79" s="575"/>
      <c r="I79" s="575"/>
      <c r="J79" s="561"/>
      <c r="K79" s="562"/>
      <c r="L79" s="562"/>
      <c r="M79" s="562"/>
      <c r="N79" s="562"/>
      <c r="O79" s="564"/>
      <c r="P79" s="566"/>
      <c r="Q79" s="566"/>
      <c r="R79" s="564"/>
      <c r="S79" s="567"/>
      <c r="T79" s="567"/>
    </row>
    <row r="80" spans="1:22" ht="30" customHeight="1">
      <c r="E80" s="456"/>
      <c r="F80" s="560"/>
      <c r="G80" s="573"/>
      <c r="H80" s="575"/>
      <c r="I80" s="575"/>
      <c r="J80" s="561"/>
      <c r="K80" s="562"/>
      <c r="L80" s="562"/>
      <c r="M80" s="562"/>
      <c r="N80" s="562"/>
      <c r="O80" s="579"/>
      <c r="P80" s="579"/>
      <c r="Q80" s="579"/>
      <c r="R80" s="579"/>
      <c r="S80" s="579"/>
      <c r="T80" s="579"/>
      <c r="U80" s="579"/>
      <c r="V80" s="579"/>
    </row>
    <row r="81" spans="15:20" ht="30" customHeight="1">
      <c r="O81" s="533"/>
      <c r="P81" s="570"/>
      <c r="Q81" s="564"/>
      <c r="R81" s="571"/>
      <c r="T81" s="456"/>
    </row>
    <row r="82" spans="15:20" ht="30" customHeight="1">
      <c r="O82" s="533"/>
      <c r="P82" s="570"/>
      <c r="Q82" s="564"/>
      <c r="R82" s="571"/>
      <c r="T82" s="456"/>
    </row>
    <row r="83" spans="15:20" ht="30" customHeight="1">
      <c r="O83" s="533"/>
      <c r="Q83" s="533"/>
      <c r="R83" s="571"/>
      <c r="T83" s="456"/>
    </row>
    <row r="84" spans="15:20" ht="30" customHeight="1">
      <c r="O84" s="533"/>
      <c r="Q84" s="533"/>
      <c r="R84" s="571"/>
      <c r="T84" s="456"/>
    </row>
    <row r="85" spans="15:20" ht="30" customHeight="1">
      <c r="O85" s="533"/>
      <c r="Q85" s="533"/>
      <c r="R85" s="571"/>
      <c r="T85" s="456"/>
    </row>
    <row r="86" spans="15:20" ht="30" customHeight="1">
      <c r="Q86" s="456"/>
      <c r="R86" s="571"/>
      <c r="T86" s="456"/>
    </row>
    <row r="87" spans="15:20" ht="30" customHeight="1">
      <c r="Q87" s="456"/>
      <c r="R87" s="571"/>
      <c r="T87" s="456"/>
    </row>
    <row r="88" spans="15:20" ht="30" customHeight="1">
      <c r="Q88" s="456"/>
      <c r="R88" s="571"/>
      <c r="T88" s="456"/>
    </row>
    <row r="89" spans="15:20" ht="30" customHeight="1">
      <c r="Q89" s="456"/>
      <c r="R89" s="571"/>
      <c r="T89" s="456"/>
    </row>
    <row r="90" spans="15:20" ht="30" customHeight="1">
      <c r="Q90" s="456"/>
      <c r="R90" s="571"/>
      <c r="T90" s="456"/>
    </row>
    <row r="91" spans="15:20" ht="30" customHeight="1"/>
    <row r="92" spans="15:20" ht="30" customHeight="1"/>
    <row r="93" spans="15:20" ht="30" customHeight="1"/>
    <row r="94" spans="15:20" ht="30" customHeight="1"/>
    <row r="95" spans="15:20" ht="30" customHeight="1"/>
    <row r="96" spans="15:20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24.95" customHeight="1"/>
    <row r="224" ht="24.95" customHeight="1"/>
    <row r="225" ht="24.95" customHeight="1"/>
    <row r="226" ht="24.95" customHeight="1"/>
    <row r="227" ht="24.95" customHeight="1"/>
    <row r="228" ht="24.95" customHeight="1"/>
    <row r="229" ht="24.95" customHeight="1"/>
    <row r="230" ht="24.95" customHeight="1"/>
  </sheetData>
  <mergeCells count="18">
    <mergeCell ref="P2:P3"/>
    <mergeCell ref="G2:G3"/>
    <mergeCell ref="A1:V1"/>
    <mergeCell ref="A2:A3"/>
    <mergeCell ref="B2:B3"/>
    <mergeCell ref="C2:C3"/>
    <mergeCell ref="R2:R3"/>
    <mergeCell ref="E2:E3"/>
    <mergeCell ref="J2:L2"/>
    <mergeCell ref="U2:U3"/>
    <mergeCell ref="Q2:Q3"/>
    <mergeCell ref="V2:V3"/>
    <mergeCell ref="F2:F3"/>
    <mergeCell ref="H2:I2"/>
    <mergeCell ref="O2:O3"/>
    <mergeCell ref="M2:N2"/>
    <mergeCell ref="D2:D3"/>
    <mergeCell ref="S2:T2"/>
  </mergeCells>
  <phoneticPr fontId="26" type="noConversion"/>
  <pageMargins left="0.74803149606299213" right="0.74803149606299213" top="0.98425196850393704" bottom="0.98425196850393704" header="0.51181102362204722" footer="0.51181102362204722"/>
  <pageSetup paperSize="9" scale="70" orientation="landscape" r:id="rId1"/>
  <headerFooter alignWithMargins="0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工作表12">
    <tabColor rgb="FFFF0000"/>
  </sheetPr>
  <dimension ref="A1:Y20"/>
  <sheetViews>
    <sheetView zoomScale="75" workbookViewId="0">
      <pane xSplit="5" ySplit="3" topLeftCell="F4" activePane="bottomRight" state="frozen"/>
      <selection activeCell="W23" sqref="W23"/>
      <selection pane="topRight" activeCell="W23" sqref="W23"/>
      <selection pane="bottomLeft" activeCell="W23" sqref="W23"/>
      <selection pane="bottomRight" activeCell="Q14" sqref="Q14"/>
    </sheetView>
  </sheetViews>
  <sheetFormatPr defaultRowHeight="16.5"/>
  <cols>
    <col min="1" max="5" width="4" style="76" customWidth="1"/>
    <col min="6" max="6" width="5.5" style="117" customWidth="1"/>
    <col min="7" max="7" width="5.75" style="117" customWidth="1"/>
    <col min="8" max="8" width="7.5" style="117" customWidth="1"/>
    <col min="9" max="9" width="7.5" style="118" customWidth="1"/>
    <col min="10" max="10" width="7.875" style="118" customWidth="1"/>
    <col min="11" max="11" width="7.25" style="118" customWidth="1"/>
    <col min="12" max="12" width="6.5" style="117" customWidth="1"/>
    <col min="13" max="14" width="7.5" style="117" customWidth="1"/>
    <col min="15" max="16" width="4.75" style="117" customWidth="1"/>
    <col min="17" max="17" width="9.75" style="119" customWidth="1"/>
    <col min="18" max="19" width="7.875" style="120" customWidth="1"/>
    <col min="20" max="20" width="6.375" style="76" customWidth="1"/>
    <col min="21" max="21" width="6.375" style="82" customWidth="1"/>
    <col min="22" max="22" width="8" style="82" customWidth="1"/>
    <col min="23" max="23" width="37.25" style="76" customWidth="1"/>
    <col min="24" max="24" width="16.5" style="76" customWidth="1"/>
    <col min="25" max="25" width="7.5" style="76" hidden="1" customWidth="1"/>
    <col min="26" max="16384" width="9" style="75"/>
  </cols>
  <sheetData>
    <row r="1" spans="1:25" s="116" customFormat="1" ht="21">
      <c r="A1" s="1806" t="s">
        <v>181</v>
      </c>
      <c r="B1" s="1806"/>
      <c r="C1" s="1806"/>
      <c r="D1" s="1806"/>
      <c r="E1" s="1806"/>
      <c r="F1" s="1806"/>
      <c r="G1" s="1806"/>
      <c r="H1" s="1806"/>
      <c r="I1" s="1806"/>
      <c r="J1" s="1806"/>
      <c r="K1" s="1806"/>
      <c r="L1" s="1806"/>
      <c r="M1" s="1806"/>
      <c r="N1" s="1806"/>
      <c r="O1" s="1806"/>
      <c r="P1" s="1806"/>
      <c r="Q1" s="1806"/>
      <c r="R1" s="1806"/>
      <c r="S1" s="1806"/>
      <c r="T1" s="1806"/>
      <c r="U1" s="1806"/>
      <c r="V1" s="1806"/>
      <c r="W1" s="1806"/>
      <c r="X1" s="1806"/>
      <c r="Y1" s="1806"/>
    </row>
    <row r="2" spans="1:25" ht="16.5" customHeight="1">
      <c r="A2" s="1805" t="s">
        <v>329</v>
      </c>
      <c r="B2" s="1805" t="s">
        <v>330</v>
      </c>
      <c r="C2" s="1805" t="s">
        <v>311</v>
      </c>
      <c r="D2" s="1802" t="s">
        <v>331</v>
      </c>
      <c r="E2" s="1802" t="s">
        <v>332</v>
      </c>
      <c r="F2" s="1805" t="s">
        <v>194</v>
      </c>
      <c r="G2" s="1805" t="s">
        <v>195</v>
      </c>
      <c r="H2" s="1802" t="s">
        <v>354</v>
      </c>
      <c r="I2" s="1821" t="s">
        <v>333</v>
      </c>
      <c r="J2" s="1807" t="s">
        <v>334</v>
      </c>
      <c r="K2" s="1807"/>
      <c r="L2" s="1802" t="s">
        <v>335</v>
      </c>
      <c r="M2" s="1802"/>
      <c r="N2" s="1802"/>
      <c r="O2" s="1802" t="s">
        <v>336</v>
      </c>
      <c r="P2" s="1802"/>
      <c r="Q2" s="1815" t="s">
        <v>337</v>
      </c>
      <c r="R2" s="1812" t="s">
        <v>338</v>
      </c>
      <c r="S2" s="1809" t="s">
        <v>178</v>
      </c>
      <c r="T2" s="1817" t="s">
        <v>339</v>
      </c>
      <c r="U2" s="1808" t="s">
        <v>340</v>
      </c>
      <c r="V2" s="1808"/>
      <c r="W2" s="1819" t="s">
        <v>342</v>
      </c>
      <c r="X2" s="1811" t="s">
        <v>57</v>
      </c>
      <c r="Y2" s="1811" t="s">
        <v>341</v>
      </c>
    </row>
    <row r="3" spans="1:25" ht="33">
      <c r="A3" s="1804"/>
      <c r="B3" s="1804"/>
      <c r="C3" s="1804"/>
      <c r="D3" s="1804"/>
      <c r="E3" s="1804"/>
      <c r="F3" s="1804"/>
      <c r="G3" s="1804"/>
      <c r="H3" s="1803"/>
      <c r="I3" s="1822"/>
      <c r="J3" s="122" t="s">
        <v>343</v>
      </c>
      <c r="K3" s="122" t="s">
        <v>344</v>
      </c>
      <c r="L3" s="216" t="s">
        <v>345</v>
      </c>
      <c r="M3" s="216" t="s">
        <v>346</v>
      </c>
      <c r="N3" s="218" t="s">
        <v>347</v>
      </c>
      <c r="O3" s="216" t="s">
        <v>348</v>
      </c>
      <c r="P3" s="216" t="s">
        <v>349</v>
      </c>
      <c r="Q3" s="1816"/>
      <c r="R3" s="1813"/>
      <c r="S3" s="1810"/>
      <c r="T3" s="1818"/>
      <c r="U3" s="221" t="s">
        <v>350</v>
      </c>
      <c r="V3" s="221" t="s">
        <v>351</v>
      </c>
      <c r="W3" s="1820"/>
      <c r="X3" s="1814"/>
      <c r="Y3" s="1811"/>
    </row>
    <row r="4" spans="1:25" ht="22.7" customHeight="1">
      <c r="A4" s="85"/>
      <c r="B4" s="84"/>
      <c r="C4" s="84"/>
      <c r="D4" s="84"/>
      <c r="E4" s="85"/>
      <c r="F4" s="84"/>
      <c r="G4" s="407"/>
      <c r="H4" s="397"/>
      <c r="I4" s="413"/>
      <c r="J4" s="85"/>
      <c r="K4" s="85"/>
      <c r="L4" s="414"/>
      <c r="M4" s="396"/>
      <c r="N4" s="124"/>
      <c r="O4" s="125"/>
      <c r="P4" s="125"/>
      <c r="Q4" s="222"/>
      <c r="R4" s="128"/>
      <c r="S4" s="229"/>
      <c r="T4" s="127"/>
      <c r="U4" s="398"/>
      <c r="V4" s="97"/>
      <c r="W4" s="406"/>
      <c r="X4" s="382"/>
    </row>
    <row r="5" spans="1:25" ht="21.75" customHeight="1">
      <c r="A5" s="401"/>
      <c r="B5" s="401"/>
      <c r="C5" s="401"/>
      <c r="D5" s="401"/>
      <c r="E5" s="401" t="s">
        <v>179</v>
      </c>
      <c r="F5" s="408"/>
      <c r="G5" s="217"/>
      <c r="H5" s="397"/>
      <c r="I5" s="123"/>
      <c r="J5" s="402"/>
      <c r="K5" s="402"/>
      <c r="L5" s="123"/>
      <c r="M5" s="396"/>
      <c r="N5" s="124"/>
      <c r="O5" s="125"/>
      <c r="P5" s="125"/>
      <c r="Q5" s="222"/>
      <c r="R5" s="128"/>
      <c r="S5" s="229"/>
      <c r="T5" s="127"/>
      <c r="U5" s="398"/>
      <c r="V5" s="97"/>
      <c r="W5" s="129"/>
      <c r="X5" s="382"/>
    </row>
    <row r="6" spans="1:25" ht="25.5" customHeight="1">
      <c r="A6" s="75"/>
      <c r="B6" s="75"/>
      <c r="C6" s="75"/>
      <c r="D6" s="75"/>
      <c r="E6" s="75"/>
      <c r="F6" s="76"/>
      <c r="G6" s="119"/>
      <c r="H6" s="121"/>
      <c r="I6" s="90"/>
      <c r="J6" s="90"/>
      <c r="K6" s="90"/>
      <c r="L6" s="90"/>
      <c r="M6" s="115"/>
      <c r="N6" s="219"/>
      <c r="O6" s="126"/>
      <c r="P6" s="126"/>
      <c r="Q6" s="223"/>
      <c r="R6" s="224"/>
      <c r="S6" s="224"/>
      <c r="T6" s="130"/>
      <c r="U6" s="101"/>
      <c r="V6" s="101"/>
      <c r="W6" s="225"/>
      <c r="X6" s="75"/>
      <c r="Y6" s="75"/>
    </row>
    <row r="7" spans="1:25" ht="25.5" customHeight="1">
      <c r="A7" s="75"/>
      <c r="B7" s="75"/>
      <c r="C7" s="75"/>
      <c r="D7" s="75"/>
      <c r="E7" s="75"/>
      <c r="F7" s="76"/>
      <c r="G7" s="119"/>
      <c r="H7" s="121"/>
      <c r="I7" s="90"/>
      <c r="J7" s="90"/>
      <c r="K7" s="90" t="s">
        <v>179</v>
      </c>
      <c r="L7" s="90"/>
      <c r="M7" s="115"/>
      <c r="N7" s="219"/>
      <c r="O7" s="126"/>
      <c r="P7" s="126"/>
      <c r="Q7" s="223"/>
      <c r="R7" s="224"/>
      <c r="S7" s="224"/>
      <c r="T7" s="130"/>
      <c r="U7" s="101"/>
      <c r="V7" s="101"/>
      <c r="W7" s="225"/>
      <c r="X7" s="75"/>
      <c r="Y7" s="75"/>
    </row>
    <row r="8" spans="1:25" ht="25.5" customHeight="1">
      <c r="F8" s="76"/>
      <c r="G8" s="119"/>
      <c r="H8" s="121"/>
      <c r="I8" s="118" t="s">
        <v>355</v>
      </c>
      <c r="J8" s="220">
        <f>SUM(J4:J7)</f>
        <v>0</v>
      </c>
      <c r="K8" s="220">
        <f>SUM(K4:K7)</f>
        <v>0</v>
      </c>
      <c r="L8" s="90" t="s">
        <v>352</v>
      </c>
      <c r="M8" s="403">
        <f>SUM(M4:M7)</f>
        <v>0</v>
      </c>
      <c r="N8" s="403"/>
      <c r="O8" s="126" t="s">
        <v>353</v>
      </c>
      <c r="P8" s="126"/>
      <c r="Q8" s="130"/>
      <c r="R8" s="131"/>
      <c r="S8" s="131"/>
      <c r="T8" s="130"/>
      <c r="U8" s="92"/>
      <c r="V8" s="92"/>
      <c r="W8" s="226"/>
    </row>
    <row r="9" spans="1:25">
      <c r="F9" s="76"/>
      <c r="G9" s="119"/>
      <c r="H9" s="121"/>
      <c r="I9" s="90"/>
      <c r="J9" s="90"/>
      <c r="K9" s="90"/>
      <c r="L9" s="90"/>
      <c r="M9" s="126"/>
      <c r="N9" s="126"/>
      <c r="O9" s="126"/>
      <c r="P9" s="126"/>
      <c r="Q9" s="130"/>
      <c r="R9" s="131"/>
      <c r="S9" s="131"/>
      <c r="T9" s="130"/>
      <c r="U9" s="92"/>
      <c r="V9" s="92"/>
    </row>
    <row r="10" spans="1:25">
      <c r="F10" s="76"/>
      <c r="G10" s="119"/>
      <c r="H10" s="121"/>
      <c r="I10" s="90"/>
      <c r="J10" s="90"/>
      <c r="K10" s="90"/>
      <c r="L10" s="90"/>
      <c r="M10" s="126"/>
      <c r="N10" s="126"/>
      <c r="O10" s="126"/>
      <c r="P10" s="126"/>
      <c r="Q10" s="130"/>
      <c r="R10" s="131"/>
      <c r="S10" s="131"/>
      <c r="T10" s="130"/>
      <c r="U10" s="92"/>
      <c r="V10" s="92"/>
    </row>
    <row r="11" spans="1:25">
      <c r="Q11" s="75"/>
      <c r="R11" s="395"/>
      <c r="S11" s="130"/>
      <c r="T11" s="82"/>
      <c r="V11" s="76"/>
      <c r="Y11" s="75"/>
    </row>
    <row r="12" spans="1:25">
      <c r="Q12" s="75"/>
      <c r="R12" s="395" t="s">
        <v>180</v>
      </c>
      <c r="S12" s="130"/>
      <c r="T12" s="82"/>
      <c r="V12" s="76"/>
      <c r="Y12" s="75"/>
    </row>
    <row r="13" spans="1:25">
      <c r="Q13" s="75"/>
      <c r="S13" s="75"/>
      <c r="T13" s="82"/>
      <c r="V13" s="76"/>
      <c r="Y13" s="75"/>
    </row>
    <row r="14" spans="1:25">
      <c r="Q14" s="75"/>
      <c r="S14" s="75"/>
      <c r="T14" s="82"/>
      <c r="V14" s="76"/>
      <c r="Y14" s="75"/>
    </row>
    <row r="15" spans="1:25">
      <c r="Q15" s="75"/>
      <c r="S15" s="75"/>
      <c r="T15" s="82"/>
      <c r="V15" s="76"/>
      <c r="Y15" s="75"/>
    </row>
    <row r="16" spans="1:25">
      <c r="S16" s="76"/>
      <c r="T16" s="82"/>
      <c r="V16" s="76"/>
      <c r="Y16" s="75"/>
    </row>
    <row r="17" spans="19:25">
      <c r="S17" s="76"/>
      <c r="T17" s="82"/>
      <c r="V17" s="76"/>
      <c r="Y17" s="75"/>
    </row>
    <row r="18" spans="19:25">
      <c r="S18" s="76"/>
      <c r="T18" s="82"/>
      <c r="V18" s="76"/>
      <c r="Y18" s="75"/>
    </row>
    <row r="19" spans="19:25">
      <c r="S19" s="76"/>
      <c r="T19" s="82"/>
      <c r="V19" s="76"/>
      <c r="Y19" s="75"/>
    </row>
    <row r="20" spans="19:25">
      <c r="S20" s="76"/>
      <c r="T20" s="82"/>
      <c r="V20" s="76"/>
      <c r="Y20" s="75"/>
    </row>
  </sheetData>
  <mergeCells count="21">
    <mergeCell ref="A1:Y1"/>
    <mergeCell ref="J2:K2"/>
    <mergeCell ref="L2:N2"/>
    <mergeCell ref="O2:P2"/>
    <mergeCell ref="U2:V2"/>
    <mergeCell ref="S2:S3"/>
    <mergeCell ref="Y2:Y3"/>
    <mergeCell ref="R2:R3"/>
    <mergeCell ref="X2:X3"/>
    <mergeCell ref="Q2:Q3"/>
    <mergeCell ref="G2:G3"/>
    <mergeCell ref="T2:T3"/>
    <mergeCell ref="A2:A3"/>
    <mergeCell ref="F2:F3"/>
    <mergeCell ref="W2:W3"/>
    <mergeCell ref="I2:I3"/>
    <mergeCell ref="H2:H3"/>
    <mergeCell ref="D2:D3"/>
    <mergeCell ref="E2:E3"/>
    <mergeCell ref="B2:B3"/>
    <mergeCell ref="C2:C3"/>
  </mergeCells>
  <phoneticPr fontId="26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8049F-0B1F-4DAE-BF7D-4CFB4E7385DA}">
  <dimension ref="A1:BD80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646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6" t="s">
        <v>59</v>
      </c>
      <c r="G4" s="464"/>
      <c r="H4" s="464" t="s">
        <v>384</v>
      </c>
      <c r="I4" s="429" t="s">
        <v>464</v>
      </c>
      <c r="J4" s="429" t="s">
        <v>1463</v>
      </c>
      <c r="K4" s="429" t="s">
        <v>1301</v>
      </c>
      <c r="L4" s="464">
        <v>230</v>
      </c>
      <c r="M4" s="464"/>
      <c r="N4" s="464"/>
      <c r="O4" s="443">
        <f>L4*M4</f>
        <v>0</v>
      </c>
      <c r="P4" s="461">
        <v>3.5</v>
      </c>
      <c r="Q4" s="438">
        <f>IFERROR(LOOKUP(1,0/((成型機資料庫!$F$2:$F$4=J4)*(成型機資料庫!$G$2:$G$4=K4)),成型機資料庫!$K$2:$K$4),0)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IFERROR(LOOKUP(1,0/((成型機資料庫!$F$2:$F$4=J4)*(成型機資料庫!$G$2:$G$4=K4)),成型機資料庫!$I$2:$I$4),0)</f>
        <v>30</v>
      </c>
      <c r="U4" s="483">
        <f>IFERROR(LOOKUP(1,0/((成型機資料庫!$F$2:$F$4=J4)*(成型機資料庫!$G$2:$G$4=K4)),成型機資料庫!$J$2:$J$4),0)</f>
        <v>5.8</v>
      </c>
      <c r="V4" s="900">
        <f>IFERROR(LOOKUP(1,0/((成型機資料庫!$F$2:$F$4=J4)*(成型機資料庫!$G$2:$G$4=K4)),成型機資料庫!$L$2:$L$4),0)</f>
        <v>114.84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thickBot="1">
      <c r="A5" s="496"/>
      <c r="B5" s="496"/>
      <c r="C5" s="496"/>
      <c r="D5" s="496"/>
      <c r="E5" s="496"/>
      <c r="F5" s="510"/>
      <c r="G5" s="500"/>
      <c r="H5" s="500"/>
      <c r="I5" s="498"/>
      <c r="J5" s="498"/>
      <c r="K5" s="498"/>
      <c r="L5" s="500"/>
      <c r="M5" s="500"/>
      <c r="N5" s="500"/>
      <c r="O5" s="501">
        <f t="shared" ref="O5:O35" si="0">L5*M5</f>
        <v>0</v>
      </c>
      <c r="P5" s="528"/>
      <c r="Q5" s="499">
        <f>IFERROR(LOOKUP(1,0/((成型機資料庫!$F$2:$F$4=J5)*(成型機資料庫!$G$2:$G$4=K5)),成型機資料庫!$K$2:$K$4),0)</f>
        <v>0</v>
      </c>
      <c r="R5" s="502"/>
      <c r="S5" s="503"/>
      <c r="T5" s="509">
        <f>IFERROR(LOOKUP(1,0/((成型機資料庫!$F$2:$F$4=J5)*(成型機資料庫!$G$2:$G$4=K5)),成型機資料庫!$I$2:$I$4),0)</f>
        <v>0</v>
      </c>
      <c r="U5" s="505">
        <f>IFERROR(LOOKUP(1,0/((成型機資料庫!$F$2:$F$4=J5)*(成型機資料庫!$G$2:$G$4=K5)),成型機資料庫!$J$2:$J$4),0)</f>
        <v>0</v>
      </c>
      <c r="V5" s="991">
        <f>IFERROR(LOOKUP(1,0/((成型機資料庫!$F$2:$F$4=J5)*(成型機資料庫!$G$2:$G$4=K5)),成型機資料庫!$L$2:$L$4),0)</f>
        <v>0</v>
      </c>
      <c r="W5" s="507"/>
      <c r="X5" s="507"/>
      <c r="Y5" s="507"/>
      <c r="Z5" s="507"/>
      <c r="AA5" s="508">
        <f t="shared" ref="AA5:AA35" si="1">AB5+AC5/60</f>
        <v>0</v>
      </c>
      <c r="AB5" s="499"/>
      <c r="AC5" s="509"/>
      <c r="AD5" s="529"/>
      <c r="AE5" s="499"/>
      <c r="AF5" s="499"/>
    </row>
    <row r="6" spans="1:56" s="433" customFormat="1" ht="15.75">
      <c r="A6" s="935">
        <v>113</v>
      </c>
      <c r="B6" s="935"/>
      <c r="C6" s="935">
        <v>1</v>
      </c>
      <c r="D6" s="889"/>
      <c r="E6" s="889" t="s">
        <v>0</v>
      </c>
      <c r="F6" s="962" t="s">
        <v>44</v>
      </c>
      <c r="G6" s="999"/>
      <c r="H6" s="532"/>
      <c r="I6" s="964"/>
      <c r="J6" s="964"/>
      <c r="K6" s="964"/>
      <c r="L6" s="532"/>
      <c r="M6" s="532"/>
      <c r="N6" s="927">
        <f>M6*Q6</f>
        <v>0</v>
      </c>
      <c r="O6" s="995">
        <f t="shared" si="0"/>
        <v>0</v>
      </c>
      <c r="P6" s="1000"/>
      <c r="Q6" s="480">
        <f>IFERROR(LOOKUP(1,0/((成型機資料庫!$F$2:$F$4=J6)*(成型機資料庫!$G$2:$G$4=K6)),成型機資料庫!$K$2:$K$4),0)</f>
        <v>0</v>
      </c>
      <c r="R6" s="997">
        <f t="shared" ref="R6:R35" si="2">M6*Q6*P6/1000</f>
        <v>0</v>
      </c>
      <c r="S6" s="996">
        <f t="shared" ref="S6:S35" si="3">IFERROR((G6-R6)/G6,0)</f>
        <v>0</v>
      </c>
      <c r="T6" s="968">
        <f>IFERROR(LOOKUP(1,0/((成型機資料庫!$F$2:$F$4=J6)*(成型機資料庫!$G$2:$G$4=K6)),成型機資料庫!$I$2:$I$4),0)</f>
        <v>0</v>
      </c>
      <c r="U6" s="967">
        <f>IFERROR(LOOKUP(1,0/((成型機資料庫!$F$2:$F$4=J6)*(成型機資料庫!$G$2:$G$4=K6)),成型機資料庫!$J$2:$J$4),0)</f>
        <v>0</v>
      </c>
      <c r="V6" s="927">
        <f>IFERROR(LOOKUP(1,0/((成型機資料庫!$F$2:$F$4=J6)*(成型機資料庫!$G$2:$G$4=K6)),成型機資料庫!$L$2:$L$4),0)</f>
        <v>0</v>
      </c>
      <c r="W6" s="996">
        <f t="shared" ref="W6:W35" si="4">IFERROR(M6/V6,0)</f>
        <v>0</v>
      </c>
      <c r="X6" s="987">
        <f>IFERROR(T6*U6*60*AA6/Q6,0)</f>
        <v>0</v>
      </c>
      <c r="Y6" s="996">
        <f>IFERROR(M6/X6,0)</f>
        <v>0</v>
      </c>
      <c r="Z6" s="987"/>
      <c r="AA6" s="495">
        <f t="shared" si="1"/>
        <v>0</v>
      </c>
      <c r="AB6" s="480"/>
      <c r="AC6" s="968"/>
      <c r="AD6" s="532"/>
      <c r="AE6" s="480"/>
      <c r="AF6" s="480"/>
    </row>
    <row r="7" spans="1:56" s="433" customFormat="1" ht="15.75">
      <c r="A7" s="434">
        <v>113</v>
      </c>
      <c r="B7" s="581"/>
      <c r="C7" s="581">
        <v>2</v>
      </c>
      <c r="D7" s="581"/>
      <c r="E7" s="581" t="s">
        <v>0</v>
      </c>
      <c r="F7" s="962" t="s">
        <v>44</v>
      </c>
      <c r="G7" s="926"/>
      <c r="H7" s="464"/>
      <c r="I7" s="429"/>
      <c r="J7" s="429"/>
      <c r="K7" s="429"/>
      <c r="L7" s="464"/>
      <c r="M7" s="464"/>
      <c r="N7" s="900">
        <f t="shared" ref="N7:N35" si="5">M7*Q7</f>
        <v>0</v>
      </c>
      <c r="O7" s="901">
        <f t="shared" si="0"/>
        <v>0</v>
      </c>
      <c r="P7" s="460"/>
      <c r="Q7" s="438">
        <f>IFERROR(LOOKUP(1,0/((成型機資料庫!$F$2:$F$4=J7)*(成型機資料庫!$G$2:$G$4=K7)),成型機資料庫!$K$2:$K$4),0)</f>
        <v>0</v>
      </c>
      <c r="R7" s="899">
        <f t="shared" si="2"/>
        <v>0</v>
      </c>
      <c r="S7" s="898">
        <f t="shared" si="3"/>
        <v>0</v>
      </c>
      <c r="T7" s="482">
        <f>IFERROR(LOOKUP(1,0/((成型機資料庫!$F$2:$F$4=J7)*(成型機資料庫!$G$2:$G$4=K7)),成型機資料庫!$I$2:$I$4),0)</f>
        <v>0</v>
      </c>
      <c r="U7" s="483">
        <f>IFERROR(LOOKUP(1,0/((成型機資料庫!$F$2:$F$4=J7)*(成型機資料庫!$G$2:$G$4=K7)),成型機資料庫!$J$2:$J$4),0)</f>
        <v>0</v>
      </c>
      <c r="V7" s="900">
        <f>IFERROR(LOOKUP(1,0/((成型機資料庫!$F$2:$F$4=J7)*(成型機資料庫!$G$2:$G$4=K7)),成型機資料庫!$L$2:$L$4),0)</f>
        <v>0</v>
      </c>
      <c r="W7" s="898">
        <f t="shared" si="4"/>
        <v>0</v>
      </c>
      <c r="X7" s="923">
        <f t="shared" ref="X7:X35" si="6">IFERROR(T7*U7*60*AA7/Q7,0)</f>
        <v>0</v>
      </c>
      <c r="Y7" s="898">
        <f t="shared" ref="Y7:Y35" si="7">IFERROR(M7/X7,0)</f>
        <v>0</v>
      </c>
      <c r="Z7" s="923"/>
      <c r="AA7" s="478">
        <f t="shared" si="1"/>
        <v>0</v>
      </c>
      <c r="AB7" s="438"/>
      <c r="AC7" s="482"/>
      <c r="AD7" s="464"/>
      <c r="AE7" s="438"/>
      <c r="AF7" s="438"/>
    </row>
    <row r="8" spans="1:56" s="433" customFormat="1" ht="15.75">
      <c r="A8" s="434">
        <v>113</v>
      </c>
      <c r="B8" s="581"/>
      <c r="C8" s="581">
        <v>3</v>
      </c>
      <c r="D8" s="581"/>
      <c r="E8" s="581" t="s">
        <v>0</v>
      </c>
      <c r="F8" s="962" t="s">
        <v>44</v>
      </c>
      <c r="G8" s="926"/>
      <c r="H8" s="464"/>
      <c r="I8" s="429"/>
      <c r="J8" s="429"/>
      <c r="K8" s="429"/>
      <c r="L8" s="464"/>
      <c r="M8" s="464"/>
      <c r="N8" s="900">
        <f t="shared" si="5"/>
        <v>0</v>
      </c>
      <c r="O8" s="901">
        <f t="shared" si="0"/>
        <v>0</v>
      </c>
      <c r="P8" s="460"/>
      <c r="Q8" s="438">
        <f>IFERROR(LOOKUP(1,0/((成型機資料庫!$F$2:$F$4=J8)*(成型機資料庫!$G$2:$G$4=K8)),成型機資料庫!$K$2:$K$4),0)</f>
        <v>0</v>
      </c>
      <c r="R8" s="899">
        <f t="shared" si="2"/>
        <v>0</v>
      </c>
      <c r="S8" s="898">
        <f t="shared" si="3"/>
        <v>0</v>
      </c>
      <c r="T8" s="482">
        <f>IFERROR(LOOKUP(1,0/((成型機資料庫!$F$2:$F$4=J8)*(成型機資料庫!$G$2:$G$4=K8)),成型機資料庫!$I$2:$I$4),0)</f>
        <v>0</v>
      </c>
      <c r="U8" s="483">
        <f>IFERROR(LOOKUP(1,0/((成型機資料庫!$F$2:$F$4=J8)*(成型機資料庫!$G$2:$G$4=K8)),成型機資料庫!$J$2:$J$4),0)</f>
        <v>0</v>
      </c>
      <c r="V8" s="900">
        <f>IFERROR(LOOKUP(1,0/((成型機資料庫!$F$2:$F$4=J8)*(成型機資料庫!$G$2:$G$4=K8)),成型機資料庫!$L$2:$L$4),0)</f>
        <v>0</v>
      </c>
      <c r="W8" s="898">
        <f t="shared" si="4"/>
        <v>0</v>
      </c>
      <c r="X8" s="923">
        <f t="shared" si="6"/>
        <v>0</v>
      </c>
      <c r="Y8" s="898">
        <f t="shared" si="7"/>
        <v>0</v>
      </c>
      <c r="Z8" s="923"/>
      <c r="AA8" s="478">
        <f t="shared" si="1"/>
        <v>0</v>
      </c>
      <c r="AB8" s="438"/>
      <c r="AC8" s="482"/>
      <c r="AD8" s="438"/>
      <c r="AE8" s="438"/>
      <c r="AF8" s="438"/>
    </row>
    <row r="9" spans="1:56" s="433" customFormat="1" ht="15.75">
      <c r="A9" s="434">
        <v>113</v>
      </c>
      <c r="B9" s="581"/>
      <c r="C9" s="581">
        <v>4</v>
      </c>
      <c r="D9" s="581"/>
      <c r="E9" s="581" t="s">
        <v>0</v>
      </c>
      <c r="F9" s="962" t="s">
        <v>44</v>
      </c>
      <c r="G9" s="926"/>
      <c r="H9" s="464"/>
      <c r="I9" s="429"/>
      <c r="J9" s="429"/>
      <c r="K9" s="429"/>
      <c r="L9" s="464"/>
      <c r="M9" s="464"/>
      <c r="N9" s="900">
        <f t="shared" si="5"/>
        <v>0</v>
      </c>
      <c r="O9" s="901">
        <f t="shared" si="0"/>
        <v>0</v>
      </c>
      <c r="P9" s="460"/>
      <c r="Q9" s="438">
        <f>IFERROR(LOOKUP(1,0/((成型機資料庫!$F$2:$F$4=J9)*(成型機資料庫!$G$2:$G$4=K9)),成型機資料庫!$K$2:$K$4),0)</f>
        <v>0</v>
      </c>
      <c r="R9" s="899">
        <f t="shared" si="2"/>
        <v>0</v>
      </c>
      <c r="S9" s="898">
        <f t="shared" si="3"/>
        <v>0</v>
      </c>
      <c r="T9" s="482">
        <f>IFERROR(LOOKUP(1,0/((成型機資料庫!$F$2:$F$4=J9)*(成型機資料庫!$G$2:$G$4=K9)),成型機資料庫!$I$2:$I$4),0)</f>
        <v>0</v>
      </c>
      <c r="U9" s="483">
        <f>IFERROR(LOOKUP(1,0/((成型機資料庫!$F$2:$F$4=J9)*(成型機資料庫!$G$2:$G$4=K9)),成型機資料庫!$J$2:$J$4),0)</f>
        <v>0</v>
      </c>
      <c r="V9" s="900">
        <f>IFERROR(LOOKUP(1,0/((成型機資料庫!$F$2:$F$4=J9)*(成型機資料庫!$G$2:$G$4=K9)),成型機資料庫!$L$2:$L$4),0)</f>
        <v>0</v>
      </c>
      <c r="W9" s="898">
        <f t="shared" si="4"/>
        <v>0</v>
      </c>
      <c r="X9" s="923">
        <f t="shared" si="6"/>
        <v>0</v>
      </c>
      <c r="Y9" s="898">
        <f t="shared" si="7"/>
        <v>0</v>
      </c>
      <c r="Z9" s="923"/>
      <c r="AA9" s="478">
        <f t="shared" si="1"/>
        <v>0</v>
      </c>
      <c r="AB9" s="438"/>
      <c r="AC9" s="482"/>
      <c r="AD9" s="438"/>
      <c r="AE9" s="464"/>
      <c r="AF9" s="438"/>
    </row>
    <row r="10" spans="1:56" s="433" customFormat="1" ht="15.75">
      <c r="A10" s="434">
        <v>113</v>
      </c>
      <c r="B10" s="581"/>
      <c r="C10" s="581">
        <v>5</v>
      </c>
      <c r="D10" s="581"/>
      <c r="E10" s="889" t="s">
        <v>0</v>
      </c>
      <c r="F10" s="962" t="s">
        <v>44</v>
      </c>
      <c r="G10" s="926"/>
      <c r="H10" s="464"/>
      <c r="I10" s="429"/>
      <c r="J10" s="429"/>
      <c r="K10" s="429"/>
      <c r="L10" s="464"/>
      <c r="M10" s="464"/>
      <c r="N10" s="900">
        <f t="shared" si="5"/>
        <v>0</v>
      </c>
      <c r="O10" s="901">
        <f t="shared" si="0"/>
        <v>0</v>
      </c>
      <c r="P10" s="460"/>
      <c r="Q10" s="438">
        <f>IFERROR(LOOKUP(1,0/((成型機資料庫!$F$2:$F$4=J10)*(成型機資料庫!$G$2:$G$4=K10)),成型機資料庫!$K$2:$K$4),0)</f>
        <v>0</v>
      </c>
      <c r="R10" s="899">
        <f t="shared" si="2"/>
        <v>0</v>
      </c>
      <c r="S10" s="898">
        <f t="shared" si="3"/>
        <v>0</v>
      </c>
      <c r="T10" s="482">
        <f>IFERROR(LOOKUP(1,0/((成型機資料庫!$F$2:$F$4=J10)*(成型機資料庫!$G$2:$G$4=K10)),成型機資料庫!$I$2:$I$4),0)</f>
        <v>0</v>
      </c>
      <c r="U10" s="483">
        <f>IFERROR(LOOKUP(1,0/((成型機資料庫!$F$2:$F$4=J10)*(成型機資料庫!$G$2:$G$4=K10)),成型機資料庫!$J$2:$J$4),0)</f>
        <v>0</v>
      </c>
      <c r="V10" s="900">
        <f>IFERROR(LOOKUP(1,0/((成型機資料庫!$F$2:$F$4=J10)*(成型機資料庫!$G$2:$G$4=K10)),成型機資料庫!$L$2:$L$4),0)</f>
        <v>0</v>
      </c>
      <c r="W10" s="898">
        <f t="shared" si="4"/>
        <v>0</v>
      </c>
      <c r="X10" s="923">
        <f t="shared" si="6"/>
        <v>0</v>
      </c>
      <c r="Y10" s="898">
        <f t="shared" si="7"/>
        <v>0</v>
      </c>
      <c r="Z10" s="923"/>
      <c r="AA10" s="478">
        <f t="shared" si="1"/>
        <v>0</v>
      </c>
      <c r="AB10" s="438"/>
      <c r="AC10" s="482"/>
      <c r="AD10" s="438"/>
      <c r="AE10" s="438"/>
      <c r="AF10" s="438"/>
    </row>
    <row r="11" spans="1:56" s="433" customFormat="1" ht="15.75">
      <c r="A11" s="434">
        <v>113</v>
      </c>
      <c r="B11" s="581"/>
      <c r="C11" s="581">
        <v>6</v>
      </c>
      <c r="D11" s="581"/>
      <c r="E11" s="889" t="s">
        <v>0</v>
      </c>
      <c r="F11" s="962" t="s">
        <v>44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0"/>
        <v>0</v>
      </c>
      <c r="P11" s="460"/>
      <c r="Q11" s="438">
        <f>IFERROR(LOOKUP(1,0/((成型機資料庫!$F$2:$F$4=J11)*(成型機資料庫!$G$2:$G$4=K11)),成型機資料庫!$K$2:$K$4),0)</f>
        <v>0</v>
      </c>
      <c r="R11" s="899">
        <f t="shared" si="2"/>
        <v>0</v>
      </c>
      <c r="S11" s="898">
        <f t="shared" si="3"/>
        <v>0</v>
      </c>
      <c r="T11" s="482">
        <f>IFERROR(LOOKUP(1,0/((成型機資料庫!$F$2:$F$4=J11)*(成型機資料庫!$G$2:$G$4=K11)),成型機資料庫!$I$2:$I$4),0)</f>
        <v>0</v>
      </c>
      <c r="U11" s="483">
        <f>IFERROR(LOOKUP(1,0/((成型機資料庫!$F$2:$F$4=J11)*(成型機資料庫!$G$2:$G$4=K11)),成型機資料庫!$J$2:$J$4),0)</f>
        <v>0</v>
      </c>
      <c r="V11" s="900">
        <f>IFERROR(LOOKUP(1,0/((成型機資料庫!$F$2:$F$4=J11)*(成型機資料庫!$G$2:$G$4=K11)),成型機資料庫!$L$2:$L$4),0)</f>
        <v>0</v>
      </c>
      <c r="W11" s="898">
        <f t="shared" si="4"/>
        <v>0</v>
      </c>
      <c r="X11" s="923">
        <f t="shared" si="6"/>
        <v>0</v>
      </c>
      <c r="Y11" s="898">
        <f t="shared" si="7"/>
        <v>0</v>
      </c>
      <c r="Z11" s="923"/>
      <c r="AA11" s="478">
        <f t="shared" si="1"/>
        <v>0</v>
      </c>
      <c r="AB11" s="438"/>
      <c r="AC11" s="482"/>
      <c r="AD11" s="879"/>
      <c r="AE11" s="438"/>
      <c r="AF11" s="438"/>
    </row>
    <row r="12" spans="1:56" s="433" customFormat="1" ht="15.75">
      <c r="A12" s="434">
        <v>113</v>
      </c>
      <c r="B12" s="581"/>
      <c r="C12" s="581">
        <v>7</v>
      </c>
      <c r="D12" s="581"/>
      <c r="E12" s="889" t="s">
        <v>0</v>
      </c>
      <c r="F12" s="962" t="s">
        <v>44</v>
      </c>
      <c r="G12" s="927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0"/>
        <v>0</v>
      </c>
      <c r="P12" s="460"/>
      <c r="Q12" s="438">
        <f>IFERROR(LOOKUP(1,0/((成型機資料庫!$F$2:$F$4=J12)*(成型機資料庫!$G$2:$G$4=K12)),成型機資料庫!$K$2:$K$4),0)</f>
        <v>0</v>
      </c>
      <c r="R12" s="899">
        <f t="shared" si="2"/>
        <v>0</v>
      </c>
      <c r="S12" s="898">
        <f t="shared" si="3"/>
        <v>0</v>
      </c>
      <c r="T12" s="482">
        <f>IFERROR(LOOKUP(1,0/((成型機資料庫!$F$2:$F$4=J12)*(成型機資料庫!$G$2:$G$4=K12)),成型機資料庫!$I$2:$I$4),0)</f>
        <v>0</v>
      </c>
      <c r="U12" s="483">
        <f>IFERROR(LOOKUP(1,0/((成型機資料庫!$F$2:$F$4=J12)*(成型機資料庫!$G$2:$G$4=K12)),成型機資料庫!$J$2:$J$4),0)</f>
        <v>0</v>
      </c>
      <c r="V12" s="900">
        <f>IFERROR(LOOKUP(1,0/((成型機資料庫!$F$2:$F$4=J12)*(成型機資料庫!$G$2:$G$4=K12)),成型機資料庫!$L$2:$L$4),0)</f>
        <v>0</v>
      </c>
      <c r="W12" s="898">
        <f t="shared" si="4"/>
        <v>0</v>
      </c>
      <c r="X12" s="923">
        <f t="shared" si="6"/>
        <v>0</v>
      </c>
      <c r="Y12" s="898">
        <f t="shared" si="7"/>
        <v>0</v>
      </c>
      <c r="Z12" s="923"/>
      <c r="AA12" s="478">
        <f t="shared" si="1"/>
        <v>0</v>
      </c>
      <c r="AB12" s="438"/>
      <c r="AC12" s="482"/>
      <c r="AD12" s="464"/>
      <c r="AE12" s="438"/>
      <c r="AF12" s="438"/>
    </row>
    <row r="13" spans="1:56" s="433" customFormat="1" ht="15.75">
      <c r="A13" s="434">
        <v>113</v>
      </c>
      <c r="B13" s="581"/>
      <c r="C13" s="581">
        <v>8</v>
      </c>
      <c r="D13" s="581"/>
      <c r="E13" s="889" t="s">
        <v>0</v>
      </c>
      <c r="F13" s="962" t="s">
        <v>44</v>
      </c>
      <c r="G13" s="927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0"/>
        <v>0</v>
      </c>
      <c r="P13" s="460"/>
      <c r="Q13" s="438">
        <f>IFERROR(LOOKUP(1,0/((成型機資料庫!$F$2:$F$4=J13)*(成型機資料庫!$G$2:$G$4=K13)),成型機資料庫!$K$2:$K$4),0)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IFERROR(LOOKUP(1,0/((成型機資料庫!$F$2:$F$4=J13)*(成型機資料庫!$G$2:$G$4=K13)),成型機資料庫!$I$2:$I$4),0)</f>
        <v>0</v>
      </c>
      <c r="U13" s="483">
        <f>IFERROR(LOOKUP(1,0/((成型機資料庫!$F$2:$F$4=J13)*(成型機資料庫!$G$2:$G$4=K13)),成型機資料庫!$J$2:$J$4),0)</f>
        <v>0</v>
      </c>
      <c r="V13" s="900">
        <f>IFERROR(LOOKUP(1,0/((成型機資料庫!$F$2:$F$4=J13)*(成型機資料庫!$G$2:$G$4=K13)),成型機資料庫!$L$2:$L$4),0)</f>
        <v>0</v>
      </c>
      <c r="W13" s="898">
        <f t="shared" si="4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1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9</v>
      </c>
      <c r="D14" s="581"/>
      <c r="E14" s="889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IFERROR(LOOKUP(1,0/((成型機資料庫!$F$2:$F$4=J14)*(成型機資料庫!$G$2:$G$4=K14)),成型機資料庫!$K$2:$K$4),0)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IFERROR(LOOKUP(1,0/((成型機資料庫!$F$2:$F$4=J14)*(成型機資料庫!$G$2:$G$4=K14)),成型機資料庫!$I$2:$I$4),0)</f>
        <v>0</v>
      </c>
      <c r="U14" s="483">
        <f>IFERROR(LOOKUP(1,0/((成型機資料庫!$F$2:$F$4=J14)*(成型機資料庫!$G$2:$G$4=K14)),成型機資料庫!$J$2:$J$4),0)</f>
        <v>0</v>
      </c>
      <c r="V14" s="900">
        <f>IFERROR(LOOKUP(1,0/((成型機資料庫!$F$2:$F$4=J14)*(成型機資料庫!$G$2:$G$4=K14)),成型機資料庫!$L$2:$L$4),0)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10</v>
      </c>
      <c r="D15" s="581"/>
      <c r="E15" s="889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IFERROR(LOOKUP(1,0/((成型機資料庫!$F$2:$F$4=J15)*(成型機資料庫!$G$2:$G$4=K15)),成型機資料庫!$K$2:$K$4),0)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IFERROR(LOOKUP(1,0/((成型機資料庫!$F$2:$F$4=J15)*(成型機資料庫!$G$2:$G$4=K15)),成型機資料庫!$I$2:$I$4),0)</f>
        <v>0</v>
      </c>
      <c r="U15" s="483">
        <f>IFERROR(LOOKUP(1,0/((成型機資料庫!$F$2:$F$4=J15)*(成型機資料庫!$G$2:$G$4=K15)),成型機資料庫!$J$2:$J$4),0)</f>
        <v>0</v>
      </c>
      <c r="V15" s="900">
        <f>IFERROR(LOOKUP(1,0/((成型機資料庫!$F$2:$F$4=J15)*(成型機資料庫!$G$2:$G$4=K15)),成型機資料庫!$L$2:$L$4),0)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11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IFERROR(LOOKUP(1,0/((成型機資料庫!$F$2:$F$4=J16)*(成型機資料庫!$G$2:$G$4=K16)),成型機資料庫!$K$2:$K$4),0)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IFERROR(LOOKUP(1,0/((成型機資料庫!$F$2:$F$4=J16)*(成型機資料庫!$G$2:$G$4=K16)),成型機資料庫!$I$2:$I$4),0)</f>
        <v>0</v>
      </c>
      <c r="U16" s="483">
        <f>IFERROR(LOOKUP(1,0/((成型機資料庫!$F$2:$F$4=J16)*(成型機資料庫!$G$2:$G$4=K16)),成型機資料庫!$J$2:$J$4),0)</f>
        <v>0</v>
      </c>
      <c r="V16" s="900">
        <f>IFERROR(LOOKUP(1,0/((成型機資料庫!$F$2:$F$4=J16)*(成型機資料庫!$G$2:$G$4=K16)),成型機資料庫!$L$2:$L$4),0)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12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IFERROR(LOOKUP(1,0/((成型機資料庫!$F$2:$F$4=J17)*(成型機資料庫!$G$2:$G$4=K17)),成型機資料庫!$K$2:$K$4),0)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IFERROR(LOOKUP(1,0/((成型機資料庫!$F$2:$F$4=J17)*(成型機資料庫!$G$2:$G$4=K17)),成型機資料庫!$I$2:$I$4),0)</f>
        <v>0</v>
      </c>
      <c r="U17" s="483">
        <f>IFERROR(LOOKUP(1,0/((成型機資料庫!$F$2:$F$4=J17)*(成型機資料庫!$G$2:$G$4=K17)),成型機資料庫!$J$2:$J$4),0)</f>
        <v>0</v>
      </c>
      <c r="V17" s="900">
        <f>IFERROR(LOOKUP(1,0/((成型機資料庫!$F$2:$F$4=J17)*(成型機資料庫!$G$2:$G$4=K17)),成型機資料庫!$L$2:$L$4),0)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13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IFERROR(LOOKUP(1,0/((成型機資料庫!$F$2:$F$4=J18)*(成型機資料庫!$G$2:$G$4=K18)),成型機資料庫!$K$2:$K$4),0)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IFERROR(LOOKUP(1,0/((成型機資料庫!$F$2:$F$4=J18)*(成型機資料庫!$G$2:$G$4=K18)),成型機資料庫!$I$2:$I$4),0)</f>
        <v>0</v>
      </c>
      <c r="U18" s="483">
        <f>IFERROR(LOOKUP(1,0/((成型機資料庫!$F$2:$F$4=J18)*(成型機資料庫!$G$2:$G$4=K18)),成型機資料庫!$J$2:$J$4),0)</f>
        <v>0</v>
      </c>
      <c r="V18" s="900">
        <f>IFERROR(LOOKUP(1,0/((成型機資料庫!$F$2:$F$4=J18)*(成型機資料庫!$G$2:$G$4=K18)),成型機資料庫!$L$2:$L$4),0)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14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IFERROR(LOOKUP(1,0/((成型機資料庫!$F$2:$F$4=J19)*(成型機資料庫!$G$2:$G$4=K19)),成型機資料庫!$K$2:$K$4),0)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IFERROR(LOOKUP(1,0/((成型機資料庫!$F$2:$F$4=J19)*(成型機資料庫!$G$2:$G$4=K19)),成型機資料庫!$I$2:$I$4),0)</f>
        <v>0</v>
      </c>
      <c r="U19" s="483">
        <f>IFERROR(LOOKUP(1,0/((成型機資料庫!$F$2:$F$4=J19)*(成型機資料庫!$G$2:$G$4=K19)),成型機資料庫!$J$2:$J$4),0)</f>
        <v>0</v>
      </c>
      <c r="V19" s="900">
        <f>IFERROR(LOOKUP(1,0/((成型機資料庫!$F$2:$F$4=J19)*(成型機資料庫!$G$2:$G$4=K19)),成型機資料庫!$L$2:$L$4),0)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15</v>
      </c>
      <c r="D20" s="581"/>
      <c r="E20" s="889" t="s">
        <v>0</v>
      </c>
      <c r="F20" s="962" t="s">
        <v>44</v>
      </c>
      <c r="G20" s="927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IFERROR(LOOKUP(1,0/((成型機資料庫!$F$2:$F$4=J20)*(成型機資料庫!$G$2:$G$4=K20)),成型機資料庫!$K$2:$K$4),0)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IFERROR(LOOKUP(1,0/((成型機資料庫!$F$2:$F$4=J20)*(成型機資料庫!$G$2:$G$4=K20)),成型機資料庫!$I$2:$I$4),0)</f>
        <v>0</v>
      </c>
      <c r="U20" s="483">
        <f>IFERROR(LOOKUP(1,0/((成型機資料庫!$F$2:$F$4=J20)*(成型機資料庫!$G$2:$G$4=K20)),成型機資料庫!$J$2:$J$4),0)</f>
        <v>0</v>
      </c>
      <c r="V20" s="900">
        <f>IFERROR(LOOKUP(1,0/((成型機資料庫!$F$2:$F$4=J20)*(成型機資料庫!$G$2:$G$4=K20)),成型機資料庫!$L$2:$L$4),0)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16</v>
      </c>
      <c r="D21" s="581"/>
      <c r="E21" s="889" t="s">
        <v>0</v>
      </c>
      <c r="F21" s="962" t="s">
        <v>44</v>
      </c>
      <c r="G21" s="927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IFERROR(LOOKUP(1,0/((成型機資料庫!$F$2:$F$4=J21)*(成型機資料庫!$G$2:$G$4=K21)),成型機資料庫!$K$2:$K$4),0)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IFERROR(LOOKUP(1,0/((成型機資料庫!$F$2:$F$4=J21)*(成型機資料庫!$G$2:$G$4=K21)),成型機資料庫!$I$2:$I$4),0)</f>
        <v>0</v>
      </c>
      <c r="U21" s="483">
        <f>IFERROR(LOOKUP(1,0/((成型機資料庫!$F$2:$F$4=J21)*(成型機資料庫!$G$2:$G$4=K21)),成型機資料庫!$J$2:$J$4),0)</f>
        <v>0</v>
      </c>
      <c r="V21" s="900">
        <f>IFERROR(LOOKUP(1,0/((成型機資料庫!$F$2:$F$4=J21)*(成型機資料庫!$G$2:$G$4=K21)),成型機資料庫!$L$2:$L$4),0)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64"/>
      <c r="AF21" s="438"/>
    </row>
    <row r="22" spans="1:32" s="433" customFormat="1" ht="15.75">
      <c r="A22" s="434">
        <v>113</v>
      </c>
      <c r="B22" s="581"/>
      <c r="C22" s="581">
        <v>17</v>
      </c>
      <c r="D22" s="581"/>
      <c r="E22" s="889" t="s">
        <v>0</v>
      </c>
      <c r="F22" s="962" t="s">
        <v>44</v>
      </c>
      <c r="G22" s="927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IFERROR(LOOKUP(1,0/((成型機資料庫!$F$2:$F$4=J22)*(成型機資料庫!$G$2:$G$4=K22)),成型機資料庫!$K$2:$K$4),0)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IFERROR(LOOKUP(1,0/((成型機資料庫!$F$2:$F$4=J22)*(成型機資料庫!$G$2:$G$4=K22)),成型機資料庫!$I$2:$I$4),0)</f>
        <v>0</v>
      </c>
      <c r="U22" s="483">
        <f>IFERROR(LOOKUP(1,0/((成型機資料庫!$F$2:$F$4=J22)*(成型機資料庫!$G$2:$G$4=K22)),成型機資料庫!$J$2:$J$4),0)</f>
        <v>0</v>
      </c>
      <c r="V22" s="900">
        <f>IFERROR(LOOKUP(1,0/((成型機資料庫!$F$2:$F$4=J22)*(成型機資料庫!$G$2:$G$4=K22)),成型機資料庫!$L$2:$L$4),0)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434"/>
      <c r="C23" s="434">
        <v>18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IFERROR(LOOKUP(1,0/((成型機資料庫!$F$2:$F$4=J23)*(成型機資料庫!$G$2:$G$4=K23)),成型機資料庫!$K$2:$K$4),0)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IFERROR(LOOKUP(1,0/((成型機資料庫!$F$2:$F$4=J23)*(成型機資料庫!$G$2:$G$4=K23)),成型機資料庫!$I$2:$I$4),0)</f>
        <v>0</v>
      </c>
      <c r="U23" s="483">
        <f>IFERROR(LOOKUP(1,0/((成型機資料庫!$F$2:$F$4=J23)*(成型機資料庫!$G$2:$G$4=K23)),成型機資料庫!$J$2:$J$4),0)</f>
        <v>0</v>
      </c>
      <c r="V23" s="900">
        <f>IFERROR(LOOKUP(1,0/((成型機資料庫!$F$2:$F$4=J23)*(成型機資料庫!$G$2:$G$4=K23)),成型機資料庫!$L$2:$L$4),0)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434"/>
      <c r="C24" s="434">
        <v>19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IFERROR(LOOKUP(1,0/((成型機資料庫!$F$2:$F$4=J24)*(成型機資料庫!$G$2:$G$4=K24)),成型機資料庫!$K$2:$K$4),0)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IFERROR(LOOKUP(1,0/((成型機資料庫!$F$2:$F$4=J24)*(成型機資料庫!$G$2:$G$4=K24)),成型機資料庫!$I$2:$I$4),0)</f>
        <v>0</v>
      </c>
      <c r="U24" s="483">
        <f>IFERROR(LOOKUP(1,0/((成型機資料庫!$F$2:$F$4=J24)*(成型機資料庫!$G$2:$G$4=K24)),成型機資料庫!$J$2:$J$4),0)</f>
        <v>0</v>
      </c>
      <c r="V24" s="900">
        <f>IFERROR(LOOKUP(1,0/((成型機資料庫!$F$2:$F$4=J24)*(成型機資料庫!$G$2:$G$4=K24)),成型機資料庫!$L$2:$L$4),0)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434"/>
      <c r="C25" s="434">
        <v>20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IFERROR(LOOKUP(1,0/((成型機資料庫!$F$2:$F$4=J25)*(成型機資料庫!$G$2:$G$4=K25)),成型機資料庫!$K$2:$K$4),0)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IFERROR(LOOKUP(1,0/((成型機資料庫!$F$2:$F$4=J25)*(成型機資料庫!$G$2:$G$4=K25)),成型機資料庫!$I$2:$I$4),0)</f>
        <v>0</v>
      </c>
      <c r="U25" s="483">
        <f>IFERROR(LOOKUP(1,0/((成型機資料庫!$F$2:$F$4=J25)*(成型機資料庫!$G$2:$G$4=K25)),成型機資料庫!$J$2:$J$4),0)</f>
        <v>0</v>
      </c>
      <c r="V25" s="900">
        <f>IFERROR(LOOKUP(1,0/((成型機資料庫!$F$2:$F$4=J25)*(成型機資料庫!$G$2:$G$4=K25)),成型機資料庫!$L$2:$L$4),0)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21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IFERROR(LOOKUP(1,0/((成型機資料庫!$F$2:$F$4=J26)*(成型機資料庫!$G$2:$G$4=K26)),成型機資料庫!$K$2:$K$4),0)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IFERROR(LOOKUP(1,0/((成型機資料庫!$F$2:$F$4=J26)*(成型機資料庫!$G$2:$G$4=K26)),成型機資料庫!$I$2:$I$4),0)</f>
        <v>0</v>
      </c>
      <c r="U26" s="483">
        <f>IFERROR(LOOKUP(1,0/((成型機資料庫!$F$2:$F$4=J26)*(成型機資料庫!$G$2:$G$4=K26)),成型機資料庫!$J$2:$J$4),0)</f>
        <v>0</v>
      </c>
      <c r="V26" s="900">
        <f>IFERROR(LOOKUP(1,0/((成型機資料庫!$F$2:$F$4=J26)*(成型機資料庫!$G$2:$G$4=K26)),成型機資料庫!$L$2:$L$4),0)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22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IFERROR(LOOKUP(1,0/((成型機資料庫!$F$2:$F$4=J27)*(成型機資料庫!$G$2:$G$4=K27)),成型機資料庫!$K$2:$K$4),0)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IFERROR(LOOKUP(1,0/((成型機資料庫!$F$2:$F$4=J27)*(成型機資料庫!$G$2:$G$4=K27)),成型機資料庫!$I$2:$I$4),0)</f>
        <v>0</v>
      </c>
      <c r="U27" s="483">
        <f>IFERROR(LOOKUP(1,0/((成型機資料庫!$F$2:$F$4=J27)*(成型機資料庫!$G$2:$G$4=K27)),成型機資料庫!$J$2:$J$4),0)</f>
        <v>0</v>
      </c>
      <c r="V27" s="900">
        <f>IFERROR(LOOKUP(1,0/((成型機資料庫!$F$2:$F$4=J27)*(成型機資料庫!$G$2:$G$4=K27)),成型機資料庫!$L$2:$L$4),0)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23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IFERROR(LOOKUP(1,0/((成型機資料庫!$F$2:$F$4=J28)*(成型機資料庫!$G$2:$G$4=K28)),成型機資料庫!$K$2:$K$4),0)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IFERROR(LOOKUP(1,0/((成型機資料庫!$F$2:$F$4=J28)*(成型機資料庫!$G$2:$G$4=K28)),成型機資料庫!$I$2:$I$4),0)</f>
        <v>0</v>
      </c>
      <c r="U28" s="483">
        <f>IFERROR(LOOKUP(1,0/((成型機資料庫!$F$2:$F$4=J28)*(成型機資料庫!$G$2:$G$4=K28)),成型機資料庫!$J$2:$J$4),0)</f>
        <v>0</v>
      </c>
      <c r="V28" s="900">
        <f>IFERROR(LOOKUP(1,0/((成型機資料庫!$F$2:$F$4=J28)*(成型機資料庫!$G$2:$G$4=K28)),成型機資料庫!$L$2:$L$4),0)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64"/>
      <c r="AF28" s="438"/>
    </row>
    <row r="29" spans="1:32" s="433" customFormat="1" ht="15.75">
      <c r="A29" s="434">
        <v>113</v>
      </c>
      <c r="B29" s="434"/>
      <c r="C29" s="434">
        <v>24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IFERROR(LOOKUP(1,0/((成型機資料庫!$F$2:$F$4=J29)*(成型機資料庫!$G$2:$G$4=K29)),成型機資料庫!$K$2:$K$4),0)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IFERROR(LOOKUP(1,0/((成型機資料庫!$F$2:$F$4=J29)*(成型機資料庫!$G$2:$G$4=K29)),成型機資料庫!$I$2:$I$4),0)</f>
        <v>0</v>
      </c>
      <c r="U29" s="483">
        <f>IFERROR(LOOKUP(1,0/((成型機資料庫!$F$2:$F$4=J29)*(成型機資料庫!$G$2:$G$4=K29)),成型機資料庫!$J$2:$J$4),0)</f>
        <v>0</v>
      </c>
      <c r="V29" s="900">
        <f>IFERROR(LOOKUP(1,0/((成型機資料庫!$F$2:$F$4=J29)*(成型機資料庫!$G$2:$G$4=K29)),成型機資料庫!$L$2:$L$4),0)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25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IFERROR(LOOKUP(1,0/((成型機資料庫!$F$2:$F$4=J30)*(成型機資料庫!$G$2:$G$4=K30)),成型機資料庫!$K$2:$K$4),0)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IFERROR(LOOKUP(1,0/((成型機資料庫!$F$2:$F$4=J30)*(成型機資料庫!$G$2:$G$4=K30)),成型機資料庫!$I$2:$I$4),0)</f>
        <v>0</v>
      </c>
      <c r="U30" s="483">
        <f>IFERROR(LOOKUP(1,0/((成型機資料庫!$F$2:$F$4=J30)*(成型機資料庫!$G$2:$G$4=K30)),成型機資料庫!$J$2:$J$4),0)</f>
        <v>0</v>
      </c>
      <c r="V30" s="900">
        <f>IFERROR(LOOKUP(1,0/((成型機資料庫!$F$2:$F$4=J30)*(成型機資料庫!$G$2:$G$4=K30)),成型機資料庫!$L$2:$L$4),0)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64"/>
      <c r="AF30" s="438"/>
    </row>
    <row r="31" spans="1:32" s="433" customFormat="1" ht="15.75">
      <c r="A31" s="434">
        <v>113</v>
      </c>
      <c r="B31" s="434"/>
      <c r="C31" s="434">
        <v>26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IFERROR(LOOKUP(1,0/((成型機資料庫!$F$2:$F$4=J31)*(成型機資料庫!$G$2:$G$4=K31)),成型機資料庫!$K$2:$K$4),0)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IFERROR(LOOKUP(1,0/((成型機資料庫!$F$2:$F$4=J31)*(成型機資料庫!$G$2:$G$4=K31)),成型機資料庫!$I$2:$I$4),0)</f>
        <v>0</v>
      </c>
      <c r="U31" s="483">
        <f>IFERROR(LOOKUP(1,0/((成型機資料庫!$F$2:$F$4=J31)*(成型機資料庫!$G$2:$G$4=K31)),成型機資料庫!$J$2:$J$4),0)</f>
        <v>0</v>
      </c>
      <c r="V31" s="900">
        <f>IFERROR(LOOKUP(1,0/((成型機資料庫!$F$2:$F$4=J31)*(成型機資料庫!$G$2:$G$4=K31)),成型機資料庫!$L$2:$L$4),0)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38"/>
      <c r="AE31" s="464"/>
      <c r="AF31" s="438"/>
    </row>
    <row r="32" spans="1:32" s="433" customFormat="1" ht="15.75">
      <c r="A32" s="434">
        <v>113</v>
      </c>
      <c r="B32" s="434"/>
      <c r="C32" s="434">
        <v>27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IFERROR(LOOKUP(1,0/((成型機資料庫!$F$2:$F$4=J32)*(成型機資料庫!$G$2:$G$4=K32)),成型機資料庫!$K$2:$K$4),0)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IFERROR(LOOKUP(1,0/((成型機資料庫!$F$2:$F$4=J32)*(成型機資料庫!$G$2:$G$4=K32)),成型機資料庫!$I$2:$I$4),0)</f>
        <v>0</v>
      </c>
      <c r="U32" s="483">
        <f>IFERROR(LOOKUP(1,0/((成型機資料庫!$F$2:$F$4=J32)*(成型機資料庫!$G$2:$G$4=K32)),成型機資料庫!$J$2:$J$4),0)</f>
        <v>0</v>
      </c>
      <c r="V32" s="900">
        <f>IFERROR(LOOKUP(1,0/((成型機資料庫!$F$2:$F$4=J32)*(成型機資料庫!$G$2:$G$4=K32)),成型機資料庫!$L$2:$L$4),0)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56" s="433" customFormat="1" ht="15.75">
      <c r="A33" s="434">
        <v>113</v>
      </c>
      <c r="B33" s="581"/>
      <c r="C33" s="581">
        <v>28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IFERROR(LOOKUP(1,0/((成型機資料庫!$F$2:$F$4=J33)*(成型機資料庫!$G$2:$G$4=K33)),成型機資料庫!$K$2:$K$4),0)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IFERROR(LOOKUP(1,0/((成型機資料庫!$F$2:$F$4=J33)*(成型機資料庫!$G$2:$G$4=K33)),成型機資料庫!$I$2:$I$4),0)</f>
        <v>0</v>
      </c>
      <c r="U33" s="483">
        <f>IFERROR(LOOKUP(1,0/((成型機資料庫!$F$2:$F$4=J33)*(成型機資料庫!$G$2:$G$4=K33)),成型機資料庫!$J$2:$J$4),0)</f>
        <v>0</v>
      </c>
      <c r="V33" s="900">
        <f>IFERROR(LOOKUP(1,0/((成型機資料庫!$F$2:$F$4=J33)*(成型機資料庫!$G$2:$G$4=K33)),成型機資料庫!$L$2:$L$4),0)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56" s="433" customFormat="1" ht="15.75">
      <c r="A34" s="434">
        <v>113</v>
      </c>
      <c r="B34" s="581"/>
      <c r="C34" s="581">
        <v>29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IFERROR(LOOKUP(1,0/((成型機資料庫!$F$2:$F$4=J34)*(成型機資料庫!$G$2:$G$4=K34)),成型機資料庫!$K$2:$K$4),0)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IFERROR(LOOKUP(1,0/((成型機資料庫!$F$2:$F$4=J34)*(成型機資料庫!$G$2:$G$4=K34)),成型機資料庫!$I$2:$I$4),0)</f>
        <v>0</v>
      </c>
      <c r="U34" s="483">
        <f>IFERROR(LOOKUP(1,0/((成型機資料庫!$F$2:$F$4=J34)*(成型機資料庫!$G$2:$G$4=K34)),成型機資料庫!$J$2:$J$4),0)</f>
        <v>0</v>
      </c>
      <c r="V34" s="900">
        <f>IFERROR(LOOKUP(1,0/((成型機資料庫!$F$2:$F$4=J34)*(成型機資料庫!$G$2:$G$4=K34)),成型機資料庫!$L$2:$L$4),0)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64"/>
      <c r="AF34" s="438"/>
    </row>
    <row r="35" spans="1:56" s="433" customFormat="1" ht="15.75">
      <c r="A35" s="434">
        <v>113</v>
      </c>
      <c r="B35" s="581"/>
      <c r="C35" s="581">
        <v>30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IFERROR(LOOKUP(1,0/((成型機資料庫!$F$2:$F$4=J35)*(成型機資料庫!$G$2:$G$4=K35)),成型機資料庫!$K$2:$K$4),0)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IFERROR(LOOKUP(1,0/((成型機資料庫!$F$2:$F$4=J35)*(成型機資料庫!$G$2:$G$4=K35)),成型機資料庫!$I$2:$I$4),0)</f>
        <v>0</v>
      </c>
      <c r="U35" s="483">
        <f>IFERROR(LOOKUP(1,0/((成型機資料庫!$F$2:$F$4=J35)*(成型機資料庫!$G$2:$G$4=K35)),成型機資料庫!$J$2:$J$4),0)</f>
        <v>0</v>
      </c>
      <c r="V35" s="900">
        <f>IFERROR(LOOKUP(1,0/((成型機資料庫!$F$2:$F$4=J35)*(成型機資料庫!$G$2:$G$4=K35)),成型機資料庫!$L$2:$L$4),0)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56" s="433" customFormat="1" ht="15.75">
      <c r="A36" s="446"/>
      <c r="B36" s="456"/>
      <c r="C36" s="456"/>
      <c r="D36" s="456"/>
      <c r="E36" s="456"/>
      <c r="F36" s="448"/>
      <c r="G36" s="951"/>
      <c r="H36" s="452"/>
      <c r="I36" s="430"/>
      <c r="J36" s="430"/>
      <c r="K36" s="430"/>
      <c r="L36" s="452"/>
      <c r="M36" s="452"/>
      <c r="N36" s="945"/>
      <c r="O36" s="946"/>
      <c r="P36" s="868"/>
      <c r="Q36" s="467"/>
      <c r="R36" s="948"/>
      <c r="S36" s="936"/>
      <c r="T36" s="936"/>
      <c r="U36" s="936"/>
      <c r="V36" s="945"/>
      <c r="W36" s="936"/>
      <c r="X36" s="947"/>
      <c r="Y36" s="936"/>
      <c r="Z36" s="947"/>
      <c r="AA36" s="488"/>
      <c r="AB36" s="439"/>
      <c r="AC36" s="471"/>
      <c r="AD36" s="452"/>
      <c r="AE36" s="439"/>
      <c r="AF36" s="439"/>
    </row>
    <row r="37" spans="1:56" s="433" customFormat="1" ht="15.75">
      <c r="A37" s="446"/>
      <c r="B37" s="456"/>
      <c r="C37" s="456"/>
      <c r="D37" s="456"/>
      <c r="E37" s="456"/>
      <c r="F37" s="448"/>
      <c r="G37" s="951"/>
      <c r="H37" s="452"/>
      <c r="I37" s="430"/>
      <c r="J37" s="430"/>
      <c r="K37" s="430"/>
      <c r="L37" s="452"/>
      <c r="M37" s="452"/>
      <c r="N37" s="945"/>
      <c r="O37" s="946"/>
      <c r="P37" s="868"/>
      <c r="Q37" s="467"/>
      <c r="R37" s="948"/>
      <c r="S37" s="936"/>
      <c r="T37" s="936"/>
      <c r="U37" s="936"/>
      <c r="V37" s="945"/>
      <c r="W37" s="936"/>
      <c r="X37" s="947"/>
      <c r="Y37" s="936"/>
      <c r="Z37" s="947"/>
      <c r="AA37" s="488"/>
      <c r="AB37" s="439"/>
      <c r="AC37" s="471"/>
      <c r="AD37" s="452"/>
      <c r="AE37" s="439"/>
      <c r="AF37" s="439"/>
    </row>
    <row r="38" spans="1:56" s="433" customFormat="1" thickBot="1">
      <c r="A38" s="446"/>
      <c r="B38" s="446"/>
      <c r="C38" s="446"/>
      <c r="D38" s="446"/>
      <c r="E38" s="446"/>
      <c r="F38" s="448"/>
      <c r="G38" s="448"/>
      <c r="H38" s="430"/>
      <c r="I38" s="430"/>
      <c r="J38" s="430"/>
      <c r="K38" s="430"/>
      <c r="L38" s="439"/>
      <c r="M38" s="452"/>
      <c r="N38" s="452"/>
      <c r="O38" s="457"/>
      <c r="P38" s="466"/>
      <c r="Q38" s="467"/>
      <c r="R38" s="486"/>
      <c r="S38" s="457"/>
      <c r="T38" s="457"/>
      <c r="U38" s="457"/>
      <c r="V38" s="458"/>
      <c r="W38" s="487">
        <f>SUM(W6:W35)</f>
        <v>0</v>
      </c>
      <c r="X38" s="487"/>
      <c r="Y38" s="487"/>
      <c r="Z38" s="487"/>
      <c r="AA38" s="488"/>
      <c r="AB38" s="489"/>
      <c r="AC38" s="489"/>
      <c r="AD38" s="469" t="s">
        <v>46</v>
      </c>
      <c r="AE38" s="439"/>
      <c r="AF38" s="439"/>
    </row>
    <row r="39" spans="1:56" s="469" customFormat="1" ht="31.5">
      <c r="A39" s="479"/>
      <c r="B39" s="479"/>
      <c r="C39" s="479"/>
      <c r="D39" s="479"/>
      <c r="E39" s="479"/>
      <c r="F39" s="452"/>
      <c r="G39" s="524" t="s">
        <v>503</v>
      </c>
      <c r="H39" s="517"/>
      <c r="I39" s="518"/>
      <c r="L39" s="1842" t="s">
        <v>1348</v>
      </c>
      <c r="M39" s="525" t="s">
        <v>1294</v>
      </c>
      <c r="N39" s="525" t="s">
        <v>1295</v>
      </c>
      <c r="O39" s="526" t="s">
        <v>458</v>
      </c>
      <c r="P39" s="520"/>
      <c r="Q39" s="521"/>
      <c r="R39" s="524" t="s">
        <v>504</v>
      </c>
      <c r="S39" s="524" t="s">
        <v>455</v>
      </c>
      <c r="T39" s="521"/>
      <c r="U39" s="521"/>
      <c r="V39" s="524" t="s">
        <v>1293</v>
      </c>
      <c r="W39" s="524" t="s">
        <v>459</v>
      </c>
      <c r="X39" s="521"/>
      <c r="Y39" s="524" t="s">
        <v>1345</v>
      </c>
      <c r="Z39" s="524" t="s">
        <v>1350</v>
      </c>
      <c r="AA39" s="524" t="s">
        <v>1351</v>
      </c>
      <c r="AB39" s="524" t="s">
        <v>1353</v>
      </c>
      <c r="AC39" s="524" t="s">
        <v>1352</v>
      </c>
      <c r="AD39" s="469" t="s">
        <v>253</v>
      </c>
      <c r="AE39" s="452"/>
      <c r="AF39" s="452"/>
    </row>
    <row r="40" spans="1:56" thickBot="1">
      <c r="G40" s="522">
        <f>SUM(G6:G35)</f>
        <v>0</v>
      </c>
      <c r="I40" s="431"/>
      <c r="J40" s="518"/>
      <c r="K40" s="518"/>
      <c r="L40" s="1843"/>
      <c r="M40" s="522">
        <f>SUM(M6:M35)</f>
        <v>0</v>
      </c>
      <c r="N40" s="522">
        <f>SUM(N6:N35)</f>
        <v>0</v>
      </c>
      <c r="O40" s="902">
        <f>SUM(O6:O35)</f>
        <v>0</v>
      </c>
      <c r="P40" s="470"/>
      <c r="R40" s="924">
        <f>SUM(R6:R35)</f>
        <v>0</v>
      </c>
      <c r="S40" s="897" t="e">
        <f>(G40-R40)/G40</f>
        <v>#DIV/0!</v>
      </c>
      <c r="T40" s="446"/>
      <c r="U40" s="446"/>
      <c r="V40" s="686" t="e">
        <f>N40/W40</f>
        <v>#DIV/0!</v>
      </c>
      <c r="W40" s="516" t="e">
        <f>W38/Y40</f>
        <v>#DIV/0!</v>
      </c>
      <c r="X40" s="446"/>
      <c r="Y40" s="516"/>
      <c r="Z40" s="958">
        <f>SUM(Z6:Z35)</f>
        <v>0</v>
      </c>
      <c r="AA40" s="516">
        <f>SUM(AA6:AA35)</f>
        <v>0</v>
      </c>
      <c r="AB40" s="516">
        <f>Z40-AA40</f>
        <v>0</v>
      </c>
      <c r="AC40" s="896" t="e">
        <f>AA40/Z40</f>
        <v>#DIV/0!</v>
      </c>
    </row>
    <row r="41" spans="1:56">
      <c r="G41" s="453"/>
      <c r="M41" s="453"/>
      <c r="N41" s="453"/>
      <c r="O41"/>
      <c r="P41" s="470"/>
      <c r="R41"/>
      <c r="S41"/>
      <c r="T41"/>
      <c r="U41"/>
    </row>
    <row r="42" spans="1:56" ht="17.25" thickBot="1"/>
    <row r="43" spans="1:56" ht="15.75">
      <c r="A43" s="1824" t="s">
        <v>668</v>
      </c>
      <c r="B43" s="1824" t="s">
        <v>330</v>
      </c>
      <c r="C43" s="1826" t="s">
        <v>311</v>
      </c>
      <c r="D43" s="1828" t="s">
        <v>331</v>
      </c>
      <c r="E43" s="1828" t="s">
        <v>332</v>
      </c>
      <c r="F43" s="1830" t="s">
        <v>194</v>
      </c>
      <c r="G43" s="1830" t="s">
        <v>386</v>
      </c>
      <c r="H43" s="1832" t="s">
        <v>360</v>
      </c>
      <c r="I43" s="1832" t="s">
        <v>361</v>
      </c>
      <c r="J43" s="1832" t="s">
        <v>510</v>
      </c>
      <c r="K43" s="1832" t="s">
        <v>1320</v>
      </c>
      <c r="L43" s="1828" t="s">
        <v>362</v>
      </c>
      <c r="M43" s="1828" t="s">
        <v>514</v>
      </c>
      <c r="N43" s="1856" t="s">
        <v>511</v>
      </c>
      <c r="O43" s="1858" t="s">
        <v>457</v>
      </c>
      <c r="P43" s="1836" t="s">
        <v>379</v>
      </c>
      <c r="Q43" s="1828" t="s">
        <v>627</v>
      </c>
      <c r="R43" s="1852" t="s">
        <v>381</v>
      </c>
      <c r="S43" s="1854" t="s">
        <v>435</v>
      </c>
      <c r="T43" s="1834" t="s">
        <v>365</v>
      </c>
      <c r="U43" s="1836" t="s">
        <v>366</v>
      </c>
      <c r="V43" s="1844" t="s">
        <v>1286</v>
      </c>
      <c r="W43" s="1846" t="s">
        <v>201</v>
      </c>
      <c r="X43" s="1846" t="s">
        <v>1318</v>
      </c>
      <c r="Y43" s="1846" t="s">
        <v>1319</v>
      </c>
      <c r="Z43" s="1849" t="s">
        <v>1285</v>
      </c>
      <c r="AA43" s="1849" t="s">
        <v>339</v>
      </c>
      <c r="AB43" s="1860" t="s">
        <v>340</v>
      </c>
      <c r="AC43" s="1861"/>
      <c r="AD43" s="1862" t="s">
        <v>371</v>
      </c>
      <c r="AE43" s="1862" t="s">
        <v>383</v>
      </c>
      <c r="AF43" s="1840" t="s">
        <v>29</v>
      </c>
    </row>
    <row r="44" spans="1:56" s="447" customFormat="1" thickBot="1">
      <c r="A44" s="1825"/>
      <c r="B44" s="1825"/>
      <c r="C44" s="1827"/>
      <c r="D44" s="1829"/>
      <c r="E44" s="1829"/>
      <c r="F44" s="1831"/>
      <c r="G44" s="1831"/>
      <c r="H44" s="1833"/>
      <c r="I44" s="1833"/>
      <c r="J44" s="1833"/>
      <c r="K44" s="1838"/>
      <c r="L44" s="1829"/>
      <c r="M44" s="1839"/>
      <c r="N44" s="1857"/>
      <c r="O44" s="1859"/>
      <c r="P44" s="1837"/>
      <c r="Q44" s="1829"/>
      <c r="R44" s="1853"/>
      <c r="S44" s="1855"/>
      <c r="T44" s="1835"/>
      <c r="U44" s="1837"/>
      <c r="V44" s="1845"/>
      <c r="W44" s="1847"/>
      <c r="X44" s="1848"/>
      <c r="Y44" s="1848"/>
      <c r="Z44" s="1850"/>
      <c r="AA44" s="1851"/>
      <c r="AB44" s="491" t="s">
        <v>350</v>
      </c>
      <c r="AC44" s="491" t="s">
        <v>351</v>
      </c>
      <c r="AD44" s="1863"/>
      <c r="AE44" s="1863"/>
      <c r="AF44" s="1841"/>
      <c r="AG44" s="446"/>
      <c r="AH44" s="446"/>
      <c r="AU44" s="446"/>
      <c r="AV44" s="446"/>
      <c r="AW44" s="446"/>
      <c r="AX44" s="446"/>
      <c r="AY44" s="446"/>
      <c r="AZ44" s="446"/>
      <c r="BA44" s="446"/>
      <c r="BB44" s="446"/>
      <c r="BC44" s="446"/>
      <c r="BD44" s="446"/>
    </row>
    <row r="45" spans="1:56" s="433" customFormat="1" ht="15.75">
      <c r="A45" s="434">
        <v>113</v>
      </c>
      <c r="B45" s="434"/>
      <c r="C45" s="434">
        <v>1</v>
      </c>
      <c r="D45" s="581"/>
      <c r="E45" s="581" t="s">
        <v>43</v>
      </c>
      <c r="F45" s="436" t="s">
        <v>44</v>
      </c>
      <c r="G45" s="926"/>
      <c r="H45" s="464"/>
      <c r="I45" s="429"/>
      <c r="J45" s="429"/>
      <c r="K45" s="429"/>
      <c r="L45" s="464"/>
      <c r="M45" s="464"/>
      <c r="N45" s="900">
        <f>M45*Q45</f>
        <v>0</v>
      </c>
      <c r="O45" s="901">
        <f t="shared" ref="O45:O74" si="8">L45*M45</f>
        <v>0</v>
      </c>
      <c r="P45" s="460"/>
      <c r="Q45" s="438">
        <f>IFERROR(LOOKUP(1,0/((成型機資料庫!$F$2:$F$4=J45)*(成型機資料庫!$G$2:$G$4=K45)),成型機資料庫!$K$2:$K$4),0)</f>
        <v>0</v>
      </c>
      <c r="R45" s="899">
        <f t="shared" ref="R45:R74" si="9">M45*Q45*P45/1000</f>
        <v>0</v>
      </c>
      <c r="S45" s="898">
        <f t="shared" ref="S45:S74" si="10">IFERROR((G45-R45)/G45,0)</f>
        <v>0</v>
      </c>
      <c r="T45" s="482">
        <f>IFERROR(LOOKUP(1,0/((成型機資料庫!$F$2:$F$4=J45)*(成型機資料庫!$G$2:$G$4=K45)),成型機資料庫!$I$2:$I$4),0)</f>
        <v>0</v>
      </c>
      <c r="U45" s="483">
        <f>IFERROR(LOOKUP(1,0/((成型機資料庫!$F$2:$F$4=J45)*(成型機資料庫!$G$2:$G$4=K45)),成型機資料庫!$J$2:$J$4),0)</f>
        <v>0</v>
      </c>
      <c r="V45" s="900">
        <f>IFERROR(LOOKUP(1,0/((成型機資料庫!$F$2:$F$4=J45)*(成型機資料庫!$G$2:$G$4=K45)),成型機資料庫!$L$2:$L$4),0)</f>
        <v>0</v>
      </c>
      <c r="W45" s="898">
        <f t="shared" ref="W45:W74" si="11">IFERROR(M45/V45,0)</f>
        <v>0</v>
      </c>
      <c r="X45" s="923">
        <f>IFERROR(T45*U45*60*AA45/Q45,0)</f>
        <v>0</v>
      </c>
      <c r="Y45" s="898">
        <f>IFERROR(M45/X45,0)</f>
        <v>0</v>
      </c>
      <c r="Z45" s="923"/>
      <c r="AA45" s="478">
        <f t="shared" ref="AA45:AA74" si="12">AB45+AC45/60</f>
        <v>0</v>
      </c>
      <c r="AB45" s="438"/>
      <c r="AC45" s="482"/>
      <c r="AD45" s="464"/>
      <c r="AE45" s="438"/>
      <c r="AF45" s="438"/>
    </row>
    <row r="46" spans="1:56" s="433" customFormat="1" ht="15.75">
      <c r="A46" s="434">
        <v>113</v>
      </c>
      <c r="B46" s="581"/>
      <c r="C46" s="581">
        <v>2</v>
      </c>
      <c r="D46" s="581"/>
      <c r="E46" s="581" t="s">
        <v>43</v>
      </c>
      <c r="F46" s="436" t="s">
        <v>44</v>
      </c>
      <c r="G46" s="926"/>
      <c r="H46" s="464"/>
      <c r="I46" s="429"/>
      <c r="J46" s="429"/>
      <c r="K46" s="429"/>
      <c r="L46" s="464"/>
      <c r="M46" s="464"/>
      <c r="N46" s="900">
        <f t="shared" ref="N46:N74" si="13">M46*Q46</f>
        <v>0</v>
      </c>
      <c r="O46" s="901">
        <f t="shared" si="8"/>
        <v>0</v>
      </c>
      <c r="P46" s="460"/>
      <c r="Q46" s="438">
        <f>IFERROR(LOOKUP(1,0/((成型機資料庫!$F$2:$F$4=J46)*(成型機資料庫!$G$2:$G$4=K46)),成型機資料庫!$K$2:$K$4),0)</f>
        <v>0</v>
      </c>
      <c r="R46" s="899">
        <f t="shared" si="9"/>
        <v>0</v>
      </c>
      <c r="S46" s="898">
        <f t="shared" si="10"/>
        <v>0</v>
      </c>
      <c r="T46" s="482">
        <f>IFERROR(LOOKUP(1,0/((成型機資料庫!$F$2:$F$4=J46)*(成型機資料庫!$G$2:$G$4=K46)),成型機資料庫!$I$2:$I$4),0)</f>
        <v>0</v>
      </c>
      <c r="U46" s="483">
        <f>IFERROR(LOOKUP(1,0/((成型機資料庫!$F$2:$F$4=J46)*(成型機資料庫!$G$2:$G$4=K46)),成型機資料庫!$J$2:$J$4),0)</f>
        <v>0</v>
      </c>
      <c r="V46" s="900">
        <f>IFERROR(LOOKUP(1,0/((成型機資料庫!$F$2:$F$4=J46)*(成型機資料庫!$G$2:$G$4=K46)),成型機資料庫!$L$2:$L$4),0)</f>
        <v>0</v>
      </c>
      <c r="W46" s="898">
        <f t="shared" si="11"/>
        <v>0</v>
      </c>
      <c r="X46" s="923">
        <f t="shared" ref="X46:X74" si="14">IFERROR(T46*U46*60*AA46/Q46,0)</f>
        <v>0</v>
      </c>
      <c r="Y46" s="898">
        <f t="shared" ref="Y46:Y74" si="15">IFERROR(M46/X46,0)</f>
        <v>0</v>
      </c>
      <c r="Z46" s="923"/>
      <c r="AA46" s="478">
        <f t="shared" si="12"/>
        <v>0</v>
      </c>
      <c r="AB46" s="438"/>
      <c r="AC46" s="482"/>
      <c r="AD46" s="464"/>
      <c r="AE46" s="438"/>
      <c r="AF46" s="438"/>
    </row>
    <row r="47" spans="1:56" s="433" customFormat="1" ht="15.75">
      <c r="A47" s="434">
        <v>113</v>
      </c>
      <c r="B47" s="581"/>
      <c r="C47" s="581">
        <v>3</v>
      </c>
      <c r="D47" s="581"/>
      <c r="E47" s="581" t="s">
        <v>43</v>
      </c>
      <c r="F47" s="436" t="s">
        <v>44</v>
      </c>
      <c r="G47" s="926"/>
      <c r="H47" s="464"/>
      <c r="I47" s="429"/>
      <c r="J47" s="429"/>
      <c r="K47" s="429"/>
      <c r="L47" s="464"/>
      <c r="M47" s="464"/>
      <c r="N47" s="900">
        <f t="shared" si="13"/>
        <v>0</v>
      </c>
      <c r="O47" s="901">
        <f t="shared" si="8"/>
        <v>0</v>
      </c>
      <c r="P47" s="460"/>
      <c r="Q47" s="438">
        <f>IFERROR(LOOKUP(1,0/((成型機資料庫!$F$2:$F$4=J47)*(成型機資料庫!$G$2:$G$4=K47)),成型機資料庫!$K$2:$K$4),0)</f>
        <v>0</v>
      </c>
      <c r="R47" s="899">
        <f t="shared" si="9"/>
        <v>0</v>
      </c>
      <c r="S47" s="898">
        <f t="shared" si="10"/>
        <v>0</v>
      </c>
      <c r="T47" s="482">
        <f>IFERROR(LOOKUP(1,0/((成型機資料庫!$F$2:$F$4=J47)*(成型機資料庫!$G$2:$G$4=K47)),成型機資料庫!$I$2:$I$4),0)</f>
        <v>0</v>
      </c>
      <c r="U47" s="483">
        <f>IFERROR(LOOKUP(1,0/((成型機資料庫!$F$2:$F$4=J47)*(成型機資料庫!$G$2:$G$4=K47)),成型機資料庫!$J$2:$J$4),0)</f>
        <v>0</v>
      </c>
      <c r="V47" s="900">
        <f>IFERROR(LOOKUP(1,0/((成型機資料庫!$F$2:$F$4=J47)*(成型機資料庫!$G$2:$G$4=K47)),成型機資料庫!$L$2:$L$4),0)</f>
        <v>0</v>
      </c>
      <c r="W47" s="898">
        <f t="shared" si="11"/>
        <v>0</v>
      </c>
      <c r="X47" s="923">
        <f t="shared" si="14"/>
        <v>0</v>
      </c>
      <c r="Y47" s="898">
        <f t="shared" si="15"/>
        <v>0</v>
      </c>
      <c r="Z47" s="923"/>
      <c r="AA47" s="478">
        <f t="shared" si="12"/>
        <v>0</v>
      </c>
      <c r="AB47" s="438"/>
      <c r="AC47" s="482"/>
      <c r="AD47" s="438"/>
      <c r="AE47" s="438"/>
      <c r="AF47" s="438"/>
    </row>
    <row r="48" spans="1:56" s="433" customFormat="1" ht="15.75">
      <c r="A48" s="434">
        <v>113</v>
      </c>
      <c r="B48" s="581"/>
      <c r="C48" s="581">
        <v>4</v>
      </c>
      <c r="D48" s="581"/>
      <c r="E48" s="581" t="s">
        <v>43</v>
      </c>
      <c r="F48" s="436" t="s">
        <v>44</v>
      </c>
      <c r="G48" s="926"/>
      <c r="H48" s="464"/>
      <c r="I48" s="429"/>
      <c r="J48" s="429"/>
      <c r="K48" s="429"/>
      <c r="L48" s="464"/>
      <c r="M48" s="464"/>
      <c r="N48" s="900">
        <f t="shared" si="13"/>
        <v>0</v>
      </c>
      <c r="O48" s="901">
        <f t="shared" si="8"/>
        <v>0</v>
      </c>
      <c r="P48" s="460"/>
      <c r="Q48" s="438">
        <f>IFERROR(LOOKUP(1,0/((成型機資料庫!$F$2:$F$4=J48)*(成型機資料庫!$G$2:$G$4=K48)),成型機資料庫!$K$2:$K$4),0)</f>
        <v>0</v>
      </c>
      <c r="R48" s="899">
        <f t="shared" si="9"/>
        <v>0</v>
      </c>
      <c r="S48" s="898">
        <f t="shared" si="10"/>
        <v>0</v>
      </c>
      <c r="T48" s="482">
        <f>IFERROR(LOOKUP(1,0/((成型機資料庫!$F$2:$F$4=J48)*(成型機資料庫!$G$2:$G$4=K48)),成型機資料庫!$I$2:$I$4),0)</f>
        <v>0</v>
      </c>
      <c r="U48" s="483">
        <f>IFERROR(LOOKUP(1,0/((成型機資料庫!$F$2:$F$4=J48)*(成型機資料庫!$G$2:$G$4=K48)),成型機資料庫!$J$2:$J$4),0)</f>
        <v>0</v>
      </c>
      <c r="V48" s="900">
        <f>IFERROR(LOOKUP(1,0/((成型機資料庫!$F$2:$F$4=J48)*(成型機資料庫!$G$2:$G$4=K48)),成型機資料庫!$L$2:$L$4),0)</f>
        <v>0</v>
      </c>
      <c r="W48" s="898">
        <f t="shared" si="11"/>
        <v>0</v>
      </c>
      <c r="X48" s="923">
        <f t="shared" si="14"/>
        <v>0</v>
      </c>
      <c r="Y48" s="898">
        <f t="shared" si="15"/>
        <v>0</v>
      </c>
      <c r="Z48" s="923"/>
      <c r="AA48" s="478">
        <f t="shared" si="12"/>
        <v>0</v>
      </c>
      <c r="AB48" s="438"/>
      <c r="AC48" s="482"/>
      <c r="AD48" s="438"/>
      <c r="AE48" s="464"/>
      <c r="AF48" s="438"/>
    </row>
    <row r="49" spans="1:32" s="433" customFormat="1" ht="15.75">
      <c r="A49" s="434">
        <v>113</v>
      </c>
      <c r="B49" s="581"/>
      <c r="C49" s="581">
        <v>5</v>
      </c>
      <c r="D49" s="581"/>
      <c r="E49" s="581" t="s">
        <v>43</v>
      </c>
      <c r="F49" s="436" t="s">
        <v>44</v>
      </c>
      <c r="G49" s="926"/>
      <c r="H49" s="464"/>
      <c r="I49" s="429"/>
      <c r="J49" s="429"/>
      <c r="K49" s="429"/>
      <c r="L49" s="464"/>
      <c r="M49" s="464"/>
      <c r="N49" s="900">
        <f t="shared" si="13"/>
        <v>0</v>
      </c>
      <c r="O49" s="901">
        <f t="shared" si="8"/>
        <v>0</v>
      </c>
      <c r="P49" s="460"/>
      <c r="Q49" s="438">
        <f>IFERROR(LOOKUP(1,0/((成型機資料庫!$F$2:$F$4=J49)*(成型機資料庫!$G$2:$G$4=K49)),成型機資料庫!$K$2:$K$4),0)</f>
        <v>0</v>
      </c>
      <c r="R49" s="899">
        <f t="shared" si="9"/>
        <v>0</v>
      </c>
      <c r="S49" s="898">
        <f t="shared" si="10"/>
        <v>0</v>
      </c>
      <c r="T49" s="482">
        <f>IFERROR(LOOKUP(1,0/((成型機資料庫!$F$2:$F$4=J49)*(成型機資料庫!$G$2:$G$4=K49)),成型機資料庫!$I$2:$I$4),0)</f>
        <v>0</v>
      </c>
      <c r="U49" s="483">
        <f>IFERROR(LOOKUP(1,0/((成型機資料庫!$F$2:$F$4=J49)*(成型機資料庫!$G$2:$G$4=K49)),成型機資料庫!$J$2:$J$4),0)</f>
        <v>0</v>
      </c>
      <c r="V49" s="900">
        <f>IFERROR(LOOKUP(1,0/((成型機資料庫!$F$2:$F$4=J49)*(成型機資料庫!$G$2:$G$4=K49)),成型機資料庫!$L$2:$L$4),0)</f>
        <v>0</v>
      </c>
      <c r="W49" s="898">
        <f t="shared" si="11"/>
        <v>0</v>
      </c>
      <c r="X49" s="923">
        <f t="shared" si="14"/>
        <v>0</v>
      </c>
      <c r="Y49" s="898">
        <f t="shared" si="15"/>
        <v>0</v>
      </c>
      <c r="Z49" s="923"/>
      <c r="AA49" s="478">
        <f t="shared" si="12"/>
        <v>0</v>
      </c>
      <c r="AB49" s="438"/>
      <c r="AC49" s="482"/>
      <c r="AD49" s="438"/>
      <c r="AE49" s="438"/>
      <c r="AF49" s="438"/>
    </row>
    <row r="50" spans="1:32" s="433" customFormat="1" ht="15.75">
      <c r="A50" s="434">
        <v>113</v>
      </c>
      <c r="B50" s="581"/>
      <c r="C50" s="581">
        <v>6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 t="shared" si="13"/>
        <v>0</v>
      </c>
      <c r="O50" s="901">
        <f t="shared" si="8"/>
        <v>0</v>
      </c>
      <c r="P50" s="460"/>
      <c r="Q50" s="438">
        <f>IFERROR(LOOKUP(1,0/((成型機資料庫!$F$2:$F$4=J50)*(成型機資料庫!$G$2:$G$4=K50)),成型機資料庫!$K$2:$K$4),0)</f>
        <v>0</v>
      </c>
      <c r="R50" s="899">
        <f t="shared" si="9"/>
        <v>0</v>
      </c>
      <c r="S50" s="898">
        <f t="shared" si="10"/>
        <v>0</v>
      </c>
      <c r="T50" s="482">
        <f>IFERROR(LOOKUP(1,0/((成型機資料庫!$F$2:$F$4=J50)*(成型機資料庫!$G$2:$G$4=K50)),成型機資料庫!$I$2:$I$4),0)</f>
        <v>0</v>
      </c>
      <c r="U50" s="483">
        <f>IFERROR(LOOKUP(1,0/((成型機資料庫!$F$2:$F$4=J50)*(成型機資料庫!$G$2:$G$4=K50)),成型機資料庫!$J$2:$J$4),0)</f>
        <v>0</v>
      </c>
      <c r="V50" s="900">
        <f>IFERROR(LOOKUP(1,0/((成型機資料庫!$F$2:$F$4=J50)*(成型機資料庫!$G$2:$G$4=K50)),成型機資料庫!$L$2:$L$4),0)</f>
        <v>0</v>
      </c>
      <c r="W50" s="898">
        <f t="shared" si="11"/>
        <v>0</v>
      </c>
      <c r="X50" s="923">
        <f t="shared" si="14"/>
        <v>0</v>
      </c>
      <c r="Y50" s="898">
        <f t="shared" si="15"/>
        <v>0</v>
      </c>
      <c r="Z50" s="923"/>
      <c r="AA50" s="478">
        <f t="shared" si="12"/>
        <v>0</v>
      </c>
      <c r="AB50" s="438"/>
      <c r="AC50" s="482"/>
      <c r="AD50" s="879"/>
      <c r="AE50" s="438"/>
      <c r="AF50" s="438"/>
    </row>
    <row r="51" spans="1:32" s="433" customFormat="1" ht="15.75">
      <c r="A51" s="434">
        <v>113</v>
      </c>
      <c r="B51" s="581"/>
      <c r="C51" s="581">
        <v>7</v>
      </c>
      <c r="D51" s="581"/>
      <c r="E51" s="581" t="s">
        <v>43</v>
      </c>
      <c r="F51" s="436" t="s">
        <v>44</v>
      </c>
      <c r="G51" s="927"/>
      <c r="H51" s="464"/>
      <c r="I51" s="429"/>
      <c r="J51" s="429"/>
      <c r="K51" s="429"/>
      <c r="L51" s="464"/>
      <c r="M51" s="464"/>
      <c r="N51" s="900">
        <f t="shared" si="13"/>
        <v>0</v>
      </c>
      <c r="O51" s="901">
        <f t="shared" si="8"/>
        <v>0</v>
      </c>
      <c r="P51" s="460"/>
      <c r="Q51" s="438">
        <f>IFERROR(LOOKUP(1,0/((成型機資料庫!$F$2:$F$4=J51)*(成型機資料庫!$G$2:$G$4=K51)),成型機資料庫!$K$2:$K$4),0)</f>
        <v>0</v>
      </c>
      <c r="R51" s="899">
        <f t="shared" si="9"/>
        <v>0</v>
      </c>
      <c r="S51" s="898">
        <f t="shared" si="10"/>
        <v>0</v>
      </c>
      <c r="T51" s="482">
        <f>IFERROR(LOOKUP(1,0/((成型機資料庫!$F$2:$F$4=J51)*(成型機資料庫!$G$2:$G$4=K51)),成型機資料庫!$I$2:$I$4),0)</f>
        <v>0</v>
      </c>
      <c r="U51" s="483">
        <f>IFERROR(LOOKUP(1,0/((成型機資料庫!$F$2:$F$4=J51)*(成型機資料庫!$G$2:$G$4=K51)),成型機資料庫!$J$2:$J$4),0)</f>
        <v>0</v>
      </c>
      <c r="V51" s="900">
        <f>IFERROR(LOOKUP(1,0/((成型機資料庫!$F$2:$F$4=J51)*(成型機資料庫!$G$2:$G$4=K51)),成型機資料庫!$L$2:$L$4),0)</f>
        <v>0</v>
      </c>
      <c r="W51" s="898">
        <f t="shared" si="11"/>
        <v>0</v>
      </c>
      <c r="X51" s="923">
        <f t="shared" si="14"/>
        <v>0</v>
      </c>
      <c r="Y51" s="898">
        <f t="shared" si="15"/>
        <v>0</v>
      </c>
      <c r="Z51" s="923"/>
      <c r="AA51" s="478">
        <f t="shared" si="12"/>
        <v>0</v>
      </c>
      <c r="AB51" s="438"/>
      <c r="AC51" s="482"/>
      <c r="AD51" s="464"/>
      <c r="AE51" s="438"/>
      <c r="AF51" s="438"/>
    </row>
    <row r="52" spans="1:32" s="433" customFormat="1" ht="15.75">
      <c r="A52" s="434">
        <v>113</v>
      </c>
      <c r="B52" s="581"/>
      <c r="C52" s="581">
        <v>8</v>
      </c>
      <c r="D52" s="581"/>
      <c r="E52" s="581" t="s">
        <v>43</v>
      </c>
      <c r="F52" s="436" t="s">
        <v>44</v>
      </c>
      <c r="G52" s="927"/>
      <c r="H52" s="464"/>
      <c r="I52" s="429"/>
      <c r="J52" s="429"/>
      <c r="K52" s="429"/>
      <c r="L52" s="464"/>
      <c r="M52" s="464"/>
      <c r="N52" s="900">
        <f t="shared" si="13"/>
        <v>0</v>
      </c>
      <c r="O52" s="901">
        <f t="shared" si="8"/>
        <v>0</v>
      </c>
      <c r="P52" s="460"/>
      <c r="Q52" s="438">
        <f>IFERROR(LOOKUP(1,0/((成型機資料庫!$F$2:$F$4=J52)*(成型機資料庫!$G$2:$G$4=K52)),成型機資料庫!$K$2:$K$4),0)</f>
        <v>0</v>
      </c>
      <c r="R52" s="899">
        <f t="shared" si="9"/>
        <v>0</v>
      </c>
      <c r="S52" s="898">
        <f t="shared" si="10"/>
        <v>0</v>
      </c>
      <c r="T52" s="482">
        <f>IFERROR(LOOKUP(1,0/((成型機資料庫!$F$2:$F$4=J52)*(成型機資料庫!$G$2:$G$4=K52)),成型機資料庫!$I$2:$I$4),0)</f>
        <v>0</v>
      </c>
      <c r="U52" s="483">
        <f>IFERROR(LOOKUP(1,0/((成型機資料庫!$F$2:$F$4=J52)*(成型機資料庫!$G$2:$G$4=K52)),成型機資料庫!$J$2:$J$4),0)</f>
        <v>0</v>
      </c>
      <c r="V52" s="900">
        <f>IFERROR(LOOKUP(1,0/((成型機資料庫!$F$2:$F$4=J52)*(成型機資料庫!$G$2:$G$4=K52)),成型機資料庫!$L$2:$L$4),0)</f>
        <v>0</v>
      </c>
      <c r="W52" s="898">
        <f t="shared" si="11"/>
        <v>0</v>
      </c>
      <c r="X52" s="923">
        <f t="shared" si="14"/>
        <v>0</v>
      </c>
      <c r="Y52" s="898">
        <f t="shared" si="15"/>
        <v>0</v>
      </c>
      <c r="Z52" s="923"/>
      <c r="AA52" s="478">
        <f t="shared" si="12"/>
        <v>0</v>
      </c>
      <c r="AB52" s="438"/>
      <c r="AC52" s="482"/>
      <c r="AD52" s="464"/>
      <c r="AE52" s="438"/>
      <c r="AF52" s="438"/>
    </row>
    <row r="53" spans="1:32" s="433" customFormat="1" ht="15.75">
      <c r="A53" s="434">
        <v>113</v>
      </c>
      <c r="B53" s="581"/>
      <c r="C53" s="581">
        <v>9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IFERROR(LOOKUP(1,0/((成型機資料庫!$F$2:$F$4=J53)*(成型機資料庫!$G$2:$G$4=K53)),成型機資料庫!$K$2:$K$4),0)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IFERROR(LOOKUP(1,0/((成型機資料庫!$F$2:$F$4=J53)*(成型機資料庫!$G$2:$G$4=K53)),成型機資料庫!$I$2:$I$4),0)</f>
        <v>0</v>
      </c>
      <c r="U53" s="483">
        <f>IFERROR(LOOKUP(1,0/((成型機資料庫!$F$2:$F$4=J53)*(成型機資料庫!$G$2:$G$4=K53)),成型機資料庫!$J$2:$J$4),0)</f>
        <v>0</v>
      </c>
      <c r="V53" s="900">
        <f>IFERROR(LOOKUP(1,0/((成型機資料庫!$F$2:$F$4=J53)*(成型機資料庫!$G$2:$G$4=K53)),成型機資料庫!$L$2:$L$4),0)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32" s="433" customFormat="1" ht="15.75">
      <c r="A54" s="434">
        <v>113</v>
      </c>
      <c r="B54" s="581"/>
      <c r="C54" s="581">
        <v>10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IFERROR(LOOKUP(1,0/((成型機資料庫!$F$2:$F$4=J54)*(成型機資料庫!$G$2:$G$4=K54)),成型機資料庫!$K$2:$K$4),0)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IFERROR(LOOKUP(1,0/((成型機資料庫!$F$2:$F$4=J54)*(成型機資料庫!$G$2:$G$4=K54)),成型機資料庫!$I$2:$I$4),0)</f>
        <v>0</v>
      </c>
      <c r="U54" s="483">
        <f>IFERROR(LOOKUP(1,0/((成型機資料庫!$F$2:$F$4=J54)*(成型機資料庫!$G$2:$G$4=K54)),成型機資料庫!$J$2:$J$4),0)</f>
        <v>0</v>
      </c>
      <c r="V54" s="900">
        <f>IFERROR(LOOKUP(1,0/((成型機資料庫!$F$2:$F$4=J54)*(成型機資料庫!$G$2:$G$4=K54)),成型機資料庫!$L$2:$L$4),0)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38"/>
      <c r="AF54" s="438"/>
    </row>
    <row r="55" spans="1:32" s="433" customFormat="1" ht="15.75">
      <c r="A55" s="434">
        <v>113</v>
      </c>
      <c r="B55" s="581"/>
      <c r="C55" s="581">
        <v>11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IFERROR(LOOKUP(1,0/((成型機資料庫!$F$2:$F$4=J55)*(成型機資料庫!$G$2:$G$4=K55)),成型機資料庫!$K$2:$K$4),0)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IFERROR(LOOKUP(1,0/((成型機資料庫!$F$2:$F$4=J55)*(成型機資料庫!$G$2:$G$4=K55)),成型機資料庫!$I$2:$I$4),0)</f>
        <v>0</v>
      </c>
      <c r="U55" s="483">
        <f>IFERROR(LOOKUP(1,0/((成型機資料庫!$F$2:$F$4=J55)*(成型機資料庫!$G$2:$G$4=K55)),成型機資料庫!$J$2:$J$4),0)</f>
        <v>0</v>
      </c>
      <c r="V55" s="900">
        <f>IFERROR(LOOKUP(1,0/((成型機資料庫!$F$2:$F$4=J55)*(成型機資料庫!$G$2:$G$4=K55)),成型機資料庫!$L$2:$L$4),0)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12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IFERROR(LOOKUP(1,0/((成型機資料庫!$F$2:$F$4=J56)*(成型機資料庫!$G$2:$G$4=K56)),成型機資料庫!$K$2:$K$4),0)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IFERROR(LOOKUP(1,0/((成型機資料庫!$F$2:$F$4=J56)*(成型機資料庫!$G$2:$G$4=K56)),成型機資料庫!$I$2:$I$4),0)</f>
        <v>0</v>
      </c>
      <c r="U56" s="483">
        <f>IFERROR(LOOKUP(1,0/((成型機資料庫!$F$2:$F$4=J56)*(成型機資料庫!$G$2:$G$4=K56)),成型機資料庫!$J$2:$J$4),0)</f>
        <v>0</v>
      </c>
      <c r="V56" s="900">
        <f>IFERROR(LOOKUP(1,0/((成型機資料庫!$F$2:$F$4=J56)*(成型機資料庫!$G$2:$G$4=K56)),成型機資料庫!$L$2:$L$4),0)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32" s="433" customFormat="1" ht="15.75">
      <c r="A57" s="434">
        <v>113</v>
      </c>
      <c r="B57" s="581"/>
      <c r="C57" s="581">
        <v>13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IFERROR(LOOKUP(1,0/((成型機資料庫!$F$2:$F$4=J57)*(成型機資料庫!$G$2:$G$4=K57)),成型機資料庫!$K$2:$K$4),0)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IFERROR(LOOKUP(1,0/((成型機資料庫!$F$2:$F$4=J57)*(成型機資料庫!$G$2:$G$4=K57)),成型機資料庫!$I$2:$I$4),0)</f>
        <v>0</v>
      </c>
      <c r="U57" s="483">
        <f>IFERROR(LOOKUP(1,0/((成型機資料庫!$F$2:$F$4=J57)*(成型機資料庫!$G$2:$G$4=K57)),成型機資料庫!$J$2:$J$4),0)</f>
        <v>0</v>
      </c>
      <c r="V57" s="900">
        <f>IFERROR(LOOKUP(1,0/((成型機資料庫!$F$2:$F$4=J57)*(成型機資料庫!$G$2:$G$4=K57)),成型機資料庫!$L$2:$L$4),0)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64"/>
      <c r="AE57" s="438"/>
      <c r="AF57" s="438"/>
    </row>
    <row r="58" spans="1:32" s="433" customFormat="1" ht="15.75">
      <c r="A58" s="434">
        <v>113</v>
      </c>
      <c r="B58" s="581"/>
      <c r="C58" s="581">
        <v>14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IFERROR(LOOKUP(1,0/((成型機資料庫!$F$2:$F$4=J58)*(成型機資料庫!$G$2:$G$4=K58)),成型機資料庫!$K$2:$K$4),0)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IFERROR(LOOKUP(1,0/((成型機資料庫!$F$2:$F$4=J58)*(成型機資料庫!$G$2:$G$4=K58)),成型機資料庫!$I$2:$I$4),0)</f>
        <v>0</v>
      </c>
      <c r="U58" s="483">
        <f>IFERROR(LOOKUP(1,0/((成型機資料庫!$F$2:$F$4=J58)*(成型機資料庫!$G$2:$G$4=K58)),成型機資料庫!$J$2:$J$4),0)</f>
        <v>0</v>
      </c>
      <c r="V58" s="900">
        <f>IFERROR(LOOKUP(1,0/((成型機資料庫!$F$2:$F$4=J58)*(成型機資料庫!$G$2:$G$4=K58)),成型機資料庫!$L$2:$L$4),0)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15</v>
      </c>
      <c r="D59" s="581"/>
      <c r="E59" s="581" t="s">
        <v>43</v>
      </c>
      <c r="F59" s="436" t="s">
        <v>44</v>
      </c>
      <c r="G59" s="927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IFERROR(LOOKUP(1,0/((成型機資料庫!$F$2:$F$4=J59)*(成型機資料庫!$G$2:$G$4=K59)),成型機資料庫!$K$2:$K$4),0)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IFERROR(LOOKUP(1,0/((成型機資料庫!$F$2:$F$4=J59)*(成型機資料庫!$G$2:$G$4=K59)),成型機資料庫!$I$2:$I$4),0)</f>
        <v>0</v>
      </c>
      <c r="U59" s="483">
        <f>IFERROR(LOOKUP(1,0/((成型機資料庫!$F$2:$F$4=J59)*(成型機資料庫!$G$2:$G$4=K59)),成型機資料庫!$J$2:$J$4),0)</f>
        <v>0</v>
      </c>
      <c r="V59" s="900">
        <f>IFERROR(LOOKUP(1,0/((成型機資料庫!$F$2:$F$4=J59)*(成型機資料庫!$G$2:$G$4=K59)),成型機資料庫!$L$2:$L$4),0)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38"/>
      <c r="AE59" s="438"/>
      <c r="AF59" s="438"/>
    </row>
    <row r="60" spans="1:32" s="433" customFormat="1" ht="15.75">
      <c r="A60" s="434">
        <v>113</v>
      </c>
      <c r="B60" s="581"/>
      <c r="C60" s="581">
        <v>16</v>
      </c>
      <c r="D60" s="581"/>
      <c r="E60" s="581" t="s">
        <v>43</v>
      </c>
      <c r="F60" s="436" t="s">
        <v>44</v>
      </c>
      <c r="G60" s="927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IFERROR(LOOKUP(1,0/((成型機資料庫!$F$2:$F$4=J60)*(成型機資料庫!$G$2:$G$4=K60)),成型機資料庫!$K$2:$K$4),0)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IFERROR(LOOKUP(1,0/((成型機資料庫!$F$2:$F$4=J60)*(成型機資料庫!$G$2:$G$4=K60)),成型機資料庫!$I$2:$I$4),0)</f>
        <v>0</v>
      </c>
      <c r="U60" s="483">
        <f>IFERROR(LOOKUP(1,0/((成型機資料庫!$F$2:$F$4=J60)*(成型機資料庫!$G$2:$G$4=K60)),成型機資料庫!$J$2:$J$4),0)</f>
        <v>0</v>
      </c>
      <c r="V60" s="900">
        <f>IFERROR(LOOKUP(1,0/((成型機資料庫!$F$2:$F$4=J60)*(成型機資料庫!$G$2:$G$4=K60)),成型機資料庫!$L$2:$L$4),0)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64"/>
      <c r="AF60" s="438"/>
    </row>
    <row r="61" spans="1:32" s="433" customFormat="1" ht="15.75">
      <c r="A61" s="434">
        <v>113</v>
      </c>
      <c r="B61" s="581"/>
      <c r="C61" s="581">
        <v>17</v>
      </c>
      <c r="D61" s="581"/>
      <c r="E61" s="581" t="s">
        <v>43</v>
      </c>
      <c r="F61" s="436" t="s">
        <v>44</v>
      </c>
      <c r="G61" s="927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IFERROR(LOOKUP(1,0/((成型機資料庫!$F$2:$F$4=J61)*(成型機資料庫!$G$2:$G$4=K61)),成型機資料庫!$K$2:$K$4),0)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IFERROR(LOOKUP(1,0/((成型機資料庫!$F$2:$F$4=J61)*(成型機資料庫!$G$2:$G$4=K61)),成型機資料庫!$I$2:$I$4),0)</f>
        <v>0</v>
      </c>
      <c r="U61" s="483">
        <f>IFERROR(LOOKUP(1,0/((成型機資料庫!$F$2:$F$4=J61)*(成型機資料庫!$G$2:$G$4=K61)),成型機資料庫!$J$2:$J$4),0)</f>
        <v>0</v>
      </c>
      <c r="V61" s="900">
        <f>IFERROR(LOOKUP(1,0/((成型機資料庫!$F$2:$F$4=J61)*(成型機資料庫!$G$2:$G$4=K61)),成型機資料庫!$L$2:$L$4),0)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434"/>
      <c r="C62" s="434">
        <v>18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IFERROR(LOOKUP(1,0/((成型機資料庫!$F$2:$F$4=J62)*(成型機資料庫!$G$2:$G$4=K62)),成型機資料庫!$K$2:$K$4),0)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IFERROR(LOOKUP(1,0/((成型機資料庫!$F$2:$F$4=J62)*(成型機資料庫!$G$2:$G$4=K62)),成型機資料庫!$I$2:$I$4),0)</f>
        <v>0</v>
      </c>
      <c r="U62" s="483">
        <f>IFERROR(LOOKUP(1,0/((成型機資料庫!$F$2:$F$4=J62)*(成型機資料庫!$G$2:$G$4=K62)),成型機資料庫!$J$2:$J$4),0)</f>
        <v>0</v>
      </c>
      <c r="V62" s="900">
        <f>IFERROR(LOOKUP(1,0/((成型機資料庫!$F$2:$F$4=J62)*(成型機資料庫!$G$2:$G$4=K62)),成型機資料庫!$L$2:$L$4),0)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32" s="433" customFormat="1" ht="15.75">
      <c r="A63" s="434">
        <v>113</v>
      </c>
      <c r="B63" s="434"/>
      <c r="C63" s="434">
        <v>19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IFERROR(LOOKUP(1,0/((成型機資料庫!$F$2:$F$4=J63)*(成型機資料庫!$G$2:$G$4=K63)),成型機資料庫!$K$2:$K$4),0)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IFERROR(LOOKUP(1,0/((成型機資料庫!$F$2:$F$4=J63)*(成型機資料庫!$G$2:$G$4=K63)),成型機資料庫!$I$2:$I$4),0)</f>
        <v>0</v>
      </c>
      <c r="U63" s="483">
        <f>IFERROR(LOOKUP(1,0/((成型機資料庫!$F$2:$F$4=J63)*(成型機資料庫!$G$2:$G$4=K63)),成型機資料庫!$J$2:$J$4),0)</f>
        <v>0</v>
      </c>
      <c r="V63" s="900">
        <f>IFERROR(LOOKUP(1,0/((成型機資料庫!$F$2:$F$4=J63)*(成型機資料庫!$G$2:$G$4=K63)),成型機資料庫!$L$2:$L$4),0)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32" s="433" customFormat="1" ht="15.75">
      <c r="A64" s="434">
        <v>113</v>
      </c>
      <c r="B64" s="434"/>
      <c r="C64" s="434">
        <v>20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IFERROR(LOOKUP(1,0/((成型機資料庫!$F$2:$F$4=J64)*(成型機資料庫!$G$2:$G$4=K64)),成型機資料庫!$K$2:$K$4),0)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IFERROR(LOOKUP(1,0/((成型機資料庫!$F$2:$F$4=J64)*(成型機資料庫!$G$2:$G$4=K64)),成型機資料庫!$I$2:$I$4),0)</f>
        <v>0</v>
      </c>
      <c r="U64" s="483">
        <f>IFERROR(LOOKUP(1,0/((成型機資料庫!$F$2:$F$4=J64)*(成型機資料庫!$G$2:$G$4=K64)),成型機資料庫!$J$2:$J$4),0)</f>
        <v>0</v>
      </c>
      <c r="V64" s="900">
        <f>IFERROR(LOOKUP(1,0/((成型機資料庫!$F$2:$F$4=J64)*(成型機資料庫!$G$2:$G$4=K64)),成型機資料庫!$L$2:$L$4),0)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56" s="433" customFormat="1" ht="15.75">
      <c r="A65" s="434">
        <v>113</v>
      </c>
      <c r="B65" s="434"/>
      <c r="C65" s="434">
        <v>21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IFERROR(LOOKUP(1,0/((成型機資料庫!$F$2:$F$4=J65)*(成型機資料庫!$G$2:$G$4=K65)),成型機資料庫!$K$2:$K$4),0)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IFERROR(LOOKUP(1,0/((成型機資料庫!$F$2:$F$4=J65)*(成型機資料庫!$G$2:$G$4=K65)),成型機資料庫!$I$2:$I$4),0)</f>
        <v>0</v>
      </c>
      <c r="U65" s="483">
        <f>IFERROR(LOOKUP(1,0/((成型機資料庫!$F$2:$F$4=J65)*(成型機資料庫!$G$2:$G$4=K65)),成型機資料庫!$J$2:$J$4),0)</f>
        <v>0</v>
      </c>
      <c r="V65" s="900">
        <f>IFERROR(LOOKUP(1,0/((成型機資料庫!$F$2:$F$4=J65)*(成型機資料庫!$G$2:$G$4=K65)),成型機資料庫!$L$2:$L$4),0)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56" s="433" customFormat="1" ht="15.75">
      <c r="A66" s="434">
        <v>113</v>
      </c>
      <c r="B66" s="434"/>
      <c r="C66" s="434">
        <v>22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IFERROR(LOOKUP(1,0/((成型機資料庫!$F$2:$F$4=J66)*(成型機資料庫!$G$2:$G$4=K66)),成型機資料庫!$K$2:$K$4),0)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IFERROR(LOOKUP(1,0/((成型機資料庫!$F$2:$F$4=J66)*(成型機資料庫!$G$2:$G$4=K66)),成型機資料庫!$I$2:$I$4),0)</f>
        <v>0</v>
      </c>
      <c r="U66" s="483">
        <f>IFERROR(LOOKUP(1,0/((成型機資料庫!$F$2:$F$4=J66)*(成型機資料庫!$G$2:$G$4=K66)),成型機資料庫!$J$2:$J$4),0)</f>
        <v>0</v>
      </c>
      <c r="V66" s="900">
        <f>IFERROR(LOOKUP(1,0/((成型機資料庫!$F$2:$F$4=J66)*(成型機資料庫!$G$2:$G$4=K66)),成型機資料庫!$L$2:$L$4),0)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56" s="433" customFormat="1" ht="15.75">
      <c r="A67" s="434">
        <v>113</v>
      </c>
      <c r="B67" s="434"/>
      <c r="C67" s="434">
        <v>23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IFERROR(LOOKUP(1,0/((成型機資料庫!$F$2:$F$4=J67)*(成型機資料庫!$G$2:$G$4=K67)),成型機資料庫!$K$2:$K$4),0)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IFERROR(LOOKUP(1,0/((成型機資料庫!$F$2:$F$4=J67)*(成型機資料庫!$G$2:$G$4=K67)),成型機資料庫!$I$2:$I$4),0)</f>
        <v>0</v>
      </c>
      <c r="U67" s="483">
        <f>IFERROR(LOOKUP(1,0/((成型機資料庫!$F$2:$F$4=J67)*(成型機資料庫!$G$2:$G$4=K67)),成型機資料庫!$J$2:$J$4),0)</f>
        <v>0</v>
      </c>
      <c r="V67" s="900">
        <f>IFERROR(LOOKUP(1,0/((成型機資料庫!$F$2:$F$4=J67)*(成型機資料庫!$G$2:$G$4=K67)),成型機資料庫!$L$2:$L$4),0)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64"/>
      <c r="AF67" s="438"/>
    </row>
    <row r="68" spans="1:56" s="433" customFormat="1" ht="15.75">
      <c r="A68" s="434">
        <v>113</v>
      </c>
      <c r="B68" s="434"/>
      <c r="C68" s="434">
        <v>24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IFERROR(LOOKUP(1,0/((成型機資料庫!$F$2:$F$4=J68)*(成型機資料庫!$G$2:$G$4=K68)),成型機資料庫!$K$2:$K$4),0)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IFERROR(LOOKUP(1,0/((成型機資料庫!$F$2:$F$4=J68)*(成型機資料庫!$G$2:$G$4=K68)),成型機資料庫!$I$2:$I$4),0)</f>
        <v>0</v>
      </c>
      <c r="U68" s="483">
        <f>IFERROR(LOOKUP(1,0/((成型機資料庫!$F$2:$F$4=J68)*(成型機資料庫!$G$2:$G$4=K68)),成型機資料庫!$J$2:$J$4),0)</f>
        <v>0</v>
      </c>
      <c r="V68" s="900">
        <f>IFERROR(LOOKUP(1,0/((成型機資料庫!$F$2:$F$4=J68)*(成型機資料庫!$G$2:$G$4=K68)),成型機資料庫!$L$2:$L$4),0)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56" s="433" customFormat="1" ht="15.75">
      <c r="A69" s="434">
        <v>113</v>
      </c>
      <c r="B69" s="434"/>
      <c r="C69" s="434">
        <v>25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IFERROR(LOOKUP(1,0/((成型機資料庫!$F$2:$F$4=J69)*(成型機資料庫!$G$2:$G$4=K69)),成型機資料庫!$K$2:$K$4),0)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IFERROR(LOOKUP(1,0/((成型機資料庫!$F$2:$F$4=J69)*(成型機資料庫!$G$2:$G$4=K69)),成型機資料庫!$I$2:$I$4),0)</f>
        <v>0</v>
      </c>
      <c r="U69" s="483">
        <f>IFERROR(LOOKUP(1,0/((成型機資料庫!$F$2:$F$4=J69)*(成型機資料庫!$G$2:$G$4=K69)),成型機資料庫!$J$2:$J$4),0)</f>
        <v>0</v>
      </c>
      <c r="V69" s="900">
        <f>IFERROR(LOOKUP(1,0/((成型機資料庫!$F$2:$F$4=J69)*(成型機資料庫!$G$2:$G$4=K69)),成型機資料庫!$L$2:$L$4),0)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64"/>
      <c r="AF69" s="438"/>
    </row>
    <row r="70" spans="1:56" s="433" customFormat="1" ht="15.75">
      <c r="A70" s="434">
        <v>113</v>
      </c>
      <c r="B70" s="434"/>
      <c r="C70" s="434">
        <v>26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IFERROR(LOOKUP(1,0/((成型機資料庫!$F$2:$F$4=J70)*(成型機資料庫!$G$2:$G$4=K70)),成型機資料庫!$K$2:$K$4),0)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IFERROR(LOOKUP(1,0/((成型機資料庫!$F$2:$F$4=J70)*(成型機資料庫!$G$2:$G$4=K70)),成型機資料庫!$I$2:$I$4),0)</f>
        <v>0</v>
      </c>
      <c r="U70" s="483">
        <f>IFERROR(LOOKUP(1,0/((成型機資料庫!$F$2:$F$4=J70)*(成型機資料庫!$G$2:$G$4=K70)),成型機資料庫!$J$2:$J$4),0)</f>
        <v>0</v>
      </c>
      <c r="V70" s="900">
        <f>IFERROR(LOOKUP(1,0/((成型機資料庫!$F$2:$F$4=J70)*(成型機資料庫!$G$2:$G$4=K70)),成型機資料庫!$L$2:$L$4),0)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38"/>
      <c r="AE70" s="464"/>
      <c r="AF70" s="438"/>
    </row>
    <row r="71" spans="1:56" s="433" customFormat="1" ht="15.75">
      <c r="A71" s="434">
        <v>113</v>
      </c>
      <c r="B71" s="434"/>
      <c r="C71" s="434">
        <v>27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IFERROR(LOOKUP(1,0/((成型機資料庫!$F$2:$F$4=J71)*(成型機資料庫!$G$2:$G$4=K71)),成型機資料庫!$K$2:$K$4),0)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IFERROR(LOOKUP(1,0/((成型機資料庫!$F$2:$F$4=J71)*(成型機資料庫!$G$2:$G$4=K71)),成型機資料庫!$I$2:$I$4),0)</f>
        <v>0</v>
      </c>
      <c r="U71" s="483">
        <f>IFERROR(LOOKUP(1,0/((成型機資料庫!$F$2:$F$4=J71)*(成型機資料庫!$G$2:$G$4=K71)),成型機資料庫!$J$2:$J$4),0)</f>
        <v>0</v>
      </c>
      <c r="V71" s="900">
        <f>IFERROR(LOOKUP(1,0/((成型機資料庫!$F$2:$F$4=J71)*(成型機資料庫!$G$2:$G$4=K71)),成型機資料庫!$L$2:$L$4),0)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56" s="433" customFormat="1" ht="15.75">
      <c r="A72" s="434">
        <v>113</v>
      </c>
      <c r="B72" s="581"/>
      <c r="C72" s="581">
        <v>28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IFERROR(LOOKUP(1,0/((成型機資料庫!$F$2:$F$4=J72)*(成型機資料庫!$G$2:$G$4=K72)),成型機資料庫!$K$2:$K$4),0)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IFERROR(LOOKUP(1,0/((成型機資料庫!$F$2:$F$4=J72)*(成型機資料庫!$G$2:$G$4=K72)),成型機資料庫!$I$2:$I$4),0)</f>
        <v>0</v>
      </c>
      <c r="U72" s="483">
        <f>IFERROR(LOOKUP(1,0/((成型機資料庫!$F$2:$F$4=J72)*(成型機資料庫!$G$2:$G$4=K72)),成型機資料庫!$J$2:$J$4),0)</f>
        <v>0</v>
      </c>
      <c r="V72" s="900">
        <f>IFERROR(LOOKUP(1,0/((成型機資料庫!$F$2:$F$4=J72)*(成型機資料庫!$G$2:$G$4=K72)),成型機資料庫!$L$2:$L$4),0)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56" s="433" customFormat="1" ht="15.75">
      <c r="A73" s="434">
        <v>113</v>
      </c>
      <c r="B73" s="581"/>
      <c r="C73" s="581">
        <v>29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IFERROR(LOOKUP(1,0/((成型機資料庫!$F$2:$F$4=J73)*(成型機資料庫!$G$2:$G$4=K73)),成型機資料庫!$K$2:$K$4),0)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IFERROR(LOOKUP(1,0/((成型機資料庫!$F$2:$F$4=J73)*(成型機資料庫!$G$2:$G$4=K73)),成型機資料庫!$I$2:$I$4),0)</f>
        <v>0</v>
      </c>
      <c r="U73" s="483">
        <f>IFERROR(LOOKUP(1,0/((成型機資料庫!$F$2:$F$4=J73)*(成型機資料庫!$G$2:$G$4=K73)),成型機資料庫!$J$2:$J$4),0)</f>
        <v>0</v>
      </c>
      <c r="V73" s="900">
        <f>IFERROR(LOOKUP(1,0/((成型機資料庫!$F$2:$F$4=J73)*(成型機資料庫!$G$2:$G$4=K73)),成型機資料庫!$L$2:$L$4),0)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64"/>
      <c r="AF73" s="438"/>
    </row>
    <row r="74" spans="1:56" s="433" customFormat="1" ht="15.75">
      <c r="A74" s="434">
        <v>113</v>
      </c>
      <c r="B74" s="581"/>
      <c r="C74" s="581">
        <v>30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IFERROR(LOOKUP(1,0/((成型機資料庫!$F$2:$F$4=J74)*(成型機資料庫!$G$2:$G$4=K74)),成型機資料庫!$K$2:$K$4),0)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IFERROR(LOOKUP(1,0/((成型機資料庫!$F$2:$F$4=J74)*(成型機資料庫!$G$2:$G$4=K74)),成型機資料庫!$I$2:$I$4),0)</f>
        <v>0</v>
      </c>
      <c r="U74" s="483">
        <f>IFERROR(LOOKUP(1,0/((成型機資料庫!$F$2:$F$4=J74)*(成型機資料庫!$G$2:$G$4=K74)),成型機資料庫!$J$2:$J$4),0)</f>
        <v>0</v>
      </c>
      <c r="V74" s="900">
        <f>IFERROR(LOOKUP(1,0/((成型機資料庫!$F$2:$F$4=J74)*(成型機資料庫!$G$2:$G$4=K74)),成型機資料庫!$L$2:$L$4),0)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56" s="433" customFormat="1" ht="15.75">
      <c r="A75" s="446"/>
      <c r="B75" s="456"/>
      <c r="C75" s="456"/>
      <c r="D75" s="456"/>
      <c r="E75" s="456"/>
      <c r="F75" s="448"/>
      <c r="G75" s="951"/>
      <c r="H75" s="452"/>
      <c r="I75" s="430"/>
      <c r="J75" s="469"/>
      <c r="K75" s="469"/>
      <c r="L75" s="452"/>
      <c r="M75" s="452"/>
      <c r="N75" s="945"/>
      <c r="O75" s="946"/>
      <c r="P75" s="868"/>
      <c r="Q75" s="467"/>
      <c r="R75" s="948"/>
      <c r="S75" s="936"/>
      <c r="T75" s="936"/>
      <c r="U75" s="936"/>
      <c r="V75" s="945"/>
      <c r="W75" s="936"/>
      <c r="X75" s="947"/>
      <c r="Y75" s="936"/>
      <c r="Z75" s="947"/>
      <c r="AA75" s="488"/>
      <c r="AB75" s="439"/>
      <c r="AC75" s="471"/>
      <c r="AD75" s="452"/>
      <c r="AE75" s="439"/>
      <c r="AF75" s="439"/>
    </row>
    <row r="76" spans="1:56" s="433" customFormat="1" ht="15.75">
      <c r="A76" s="446"/>
      <c r="B76" s="456"/>
      <c r="C76" s="456"/>
      <c r="D76" s="456"/>
      <c r="E76" s="456"/>
      <c r="F76" s="448"/>
      <c r="G76" s="951"/>
      <c r="H76" s="452"/>
      <c r="I76" s="430"/>
      <c r="J76" s="469"/>
      <c r="K76" s="469"/>
      <c r="L76" s="452"/>
      <c r="M76" s="452"/>
      <c r="N76" s="945"/>
      <c r="O76" s="946"/>
      <c r="P76" s="868"/>
      <c r="Q76" s="467"/>
      <c r="R76" s="948"/>
      <c r="S76" s="936"/>
      <c r="T76" s="936"/>
      <c r="U76" s="936"/>
      <c r="V76" s="945"/>
      <c r="W76" s="936"/>
      <c r="X76" s="947"/>
      <c r="Y76" s="936"/>
      <c r="Z76" s="947"/>
      <c r="AA76" s="488"/>
      <c r="AB76" s="439"/>
      <c r="AC76" s="471"/>
      <c r="AD76" s="452"/>
      <c r="AE76" s="439"/>
      <c r="AF76" s="439"/>
    </row>
    <row r="77" spans="1:56" s="433" customFormat="1" thickBot="1">
      <c r="A77" s="446"/>
      <c r="B77" s="446"/>
      <c r="C77" s="446"/>
      <c r="D77" s="446"/>
      <c r="E77" s="446"/>
      <c r="F77" s="448"/>
      <c r="G77" s="448"/>
      <c r="H77" s="430"/>
      <c r="I77" s="430"/>
      <c r="J77" s="430"/>
      <c r="K77" s="430"/>
      <c r="L77" s="439"/>
      <c r="M77" s="452"/>
      <c r="N77" s="452"/>
      <c r="O77" s="457"/>
      <c r="P77" s="466"/>
      <c r="Q77" s="467"/>
      <c r="R77" s="486"/>
      <c r="S77" s="457"/>
      <c r="T77" s="457"/>
      <c r="U77" s="457"/>
      <c r="V77" s="458"/>
      <c r="W77" s="487">
        <f>SUM(W45:W74)</f>
        <v>0</v>
      </c>
      <c r="X77" s="487"/>
      <c r="Y77" s="487"/>
      <c r="Z77" s="487"/>
      <c r="AA77" s="488"/>
      <c r="AB77" s="489"/>
      <c r="AC77" s="489"/>
      <c r="AD77" s="469" t="s">
        <v>46</v>
      </c>
      <c r="AE77" s="439"/>
      <c r="AF77" s="439"/>
    </row>
    <row r="78" spans="1:56" s="469" customFormat="1" ht="31.5">
      <c r="A78" s="479"/>
      <c r="B78" s="479"/>
      <c r="C78" s="479"/>
      <c r="D78" s="479"/>
      <c r="E78" s="479"/>
      <c r="F78" s="452"/>
      <c r="G78" s="524" t="s">
        <v>503</v>
      </c>
      <c r="H78" s="517"/>
      <c r="I78" s="518"/>
      <c r="L78" s="1842" t="s">
        <v>1349</v>
      </c>
      <c r="M78" s="525" t="s">
        <v>1294</v>
      </c>
      <c r="N78" s="525" t="s">
        <v>1295</v>
      </c>
      <c r="O78" s="526" t="s">
        <v>458</v>
      </c>
      <c r="P78" s="520"/>
      <c r="Q78" s="521"/>
      <c r="R78" s="524" t="s">
        <v>504</v>
      </c>
      <c r="S78" s="524" t="s">
        <v>455</v>
      </c>
      <c r="T78" s="521"/>
      <c r="U78" s="521"/>
      <c r="V78" s="524" t="s">
        <v>1293</v>
      </c>
      <c r="W78" s="524" t="s">
        <v>459</v>
      </c>
      <c r="X78" s="521"/>
      <c r="Y78" s="524" t="s">
        <v>1345</v>
      </c>
      <c r="Z78" s="524" t="s">
        <v>1350</v>
      </c>
      <c r="AA78" s="524" t="s">
        <v>1351</v>
      </c>
      <c r="AB78" s="524" t="s">
        <v>1353</v>
      </c>
      <c r="AC78" s="524" t="s">
        <v>1352</v>
      </c>
      <c r="AD78" s="469" t="s">
        <v>253</v>
      </c>
      <c r="AE78" s="452"/>
      <c r="AF78" s="452"/>
    </row>
    <row r="79" spans="1:56" thickBot="1">
      <c r="G79" s="522">
        <f>SUM(G45:G74)</f>
        <v>0</v>
      </c>
      <c r="I79" s="431"/>
      <c r="J79" s="518"/>
      <c r="K79" s="518"/>
      <c r="L79" s="1843"/>
      <c r="M79" s="522">
        <f>SUM(M45:M74)</f>
        <v>0</v>
      </c>
      <c r="N79" s="522">
        <f>SUM(N45:N74)</f>
        <v>0</v>
      </c>
      <c r="O79" s="902">
        <f>SUM(O45:O74)</f>
        <v>0</v>
      </c>
      <c r="P79" s="470"/>
      <c r="R79" s="924">
        <f>SUM(R45:R74)</f>
        <v>0</v>
      </c>
      <c r="S79" s="897" t="e">
        <f>(G79-R79)/G79</f>
        <v>#DIV/0!</v>
      </c>
      <c r="T79" s="446"/>
      <c r="U79" s="446"/>
      <c r="V79" s="686" t="e">
        <f>N79/W79</f>
        <v>#DIV/0!</v>
      </c>
      <c r="W79" s="516" t="e">
        <f>W77/Y79</f>
        <v>#DIV/0!</v>
      </c>
      <c r="X79" s="446"/>
      <c r="Y79" s="516"/>
      <c r="Z79" s="958">
        <f>SUM(Z45:Z74)</f>
        <v>0</v>
      </c>
      <c r="AA79" s="516">
        <f>SUM(AA45:AA74)</f>
        <v>0</v>
      </c>
      <c r="AB79" s="516">
        <f>Z79-AA79</f>
        <v>0</v>
      </c>
      <c r="AC79" s="896" t="e">
        <f>AA79/Z79</f>
        <v>#DIV/0!</v>
      </c>
    </row>
    <row r="80" spans="1:56" s="455" customFormat="1">
      <c r="A80" s="446"/>
      <c r="B80" s="446"/>
      <c r="C80" s="446"/>
      <c r="D80" s="446"/>
      <c r="E80" s="446"/>
      <c r="F80" s="433"/>
      <c r="G80" s="454"/>
      <c r="H80" s="449"/>
      <c r="I80" s="450"/>
      <c r="J80" s="450"/>
      <c r="K80" s="450"/>
      <c r="L80" s="446"/>
      <c r="M80" s="446"/>
      <c r="N80" s="446"/>
      <c r="O80" s="472"/>
      <c r="Q80" s="446"/>
      <c r="R80" s="441"/>
      <c r="S80" s="440"/>
      <c r="T80" s="440"/>
      <c r="U80" s="440"/>
      <c r="V80" s="456"/>
      <c r="W80"/>
      <c r="X80"/>
      <c r="Y80"/>
      <c r="Z80"/>
      <c r="AA80" s="445"/>
      <c r="AB80" s="432"/>
      <c r="AC80" s="432"/>
      <c r="AD80" s="451"/>
      <c r="AE80" s="433"/>
      <c r="AF80" s="433"/>
      <c r="AG80" s="446"/>
      <c r="AH80" s="446"/>
      <c r="AI80" s="446"/>
      <c r="AJ80" s="446"/>
      <c r="AK80" s="446"/>
      <c r="AL80" s="446"/>
      <c r="AM80" s="446"/>
      <c r="AN80" s="446"/>
      <c r="AO80" s="446"/>
      <c r="AP80" s="446"/>
      <c r="AQ80" s="446"/>
      <c r="AR80" s="446"/>
      <c r="AS80" s="446"/>
      <c r="AT80" s="446"/>
      <c r="AU80" s="446"/>
      <c r="AV80" s="446"/>
      <c r="AW80" s="446"/>
      <c r="AX80" s="446"/>
      <c r="AY80" s="446"/>
      <c r="AZ80" s="446"/>
      <c r="BA80" s="446"/>
      <c r="BB80" s="446"/>
      <c r="BC80" s="446"/>
      <c r="BD80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43:AF44"/>
    <mergeCell ref="L78:L79"/>
    <mergeCell ref="X43:X44"/>
    <mergeCell ref="Y43:Y44"/>
    <mergeCell ref="Z43:Z44"/>
    <mergeCell ref="AA43:AA44"/>
    <mergeCell ref="AB43:AC43"/>
    <mergeCell ref="AD43:AD44"/>
    <mergeCell ref="R43:R44"/>
    <mergeCell ref="S43:S44"/>
    <mergeCell ref="T43:T44"/>
    <mergeCell ref="U43:U44"/>
    <mergeCell ref="V43:V44"/>
    <mergeCell ref="W43:W44"/>
    <mergeCell ref="L43:L44"/>
    <mergeCell ref="P43:P44"/>
    <mergeCell ref="AB2:AC2"/>
    <mergeCell ref="AD2:AD3"/>
    <mergeCell ref="AE2:AE3"/>
    <mergeCell ref="M43:M44"/>
    <mergeCell ref="N43:N44"/>
    <mergeCell ref="O43:O44"/>
    <mergeCell ref="Q43:Q44"/>
    <mergeCell ref="AE43:AE44"/>
    <mergeCell ref="AF2:AF3"/>
    <mergeCell ref="L39:L40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3:A44"/>
    <mergeCell ref="B43:B44"/>
    <mergeCell ref="C43:C44"/>
    <mergeCell ref="D43:D44"/>
    <mergeCell ref="E43:E44"/>
    <mergeCell ref="K43:K44"/>
    <mergeCell ref="F43:F44"/>
    <mergeCell ref="G43:G44"/>
    <mergeCell ref="H43:H44"/>
    <mergeCell ref="I43:I44"/>
    <mergeCell ref="J43:J44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2">
    <cfRule type="cellIs" dxfId="893" priority="3" stopIfTrue="1" operator="equal">
      <formula>"未開機"</formula>
    </cfRule>
  </conditionalFormatting>
  <conditionalFormatting sqref="R45:U76">
    <cfRule type="expression" dxfId="892" priority="1" stopIfTrue="1">
      <formula>R45=0</formula>
    </cfRule>
  </conditionalFormatting>
  <conditionalFormatting sqref="W6:W37">
    <cfRule type="cellIs" dxfId="891" priority="34" stopIfTrue="1" operator="between">
      <formula>0.851</formula>
      <formula>1</formula>
    </cfRule>
    <cfRule type="cellIs" dxfId="890" priority="33" stopIfTrue="1" operator="lessThan">
      <formula>0.7</formula>
    </cfRule>
    <cfRule type="expression" dxfId="889" priority="32" stopIfTrue="1">
      <formula>W6=0</formula>
    </cfRule>
    <cfRule type="expression" dxfId="888" priority="36" stopIfTrue="1">
      <formula>W6=0</formula>
    </cfRule>
    <cfRule type="cellIs" dxfId="887" priority="35" stopIfTrue="1" operator="between">
      <formula>0.7</formula>
      <formula>0.85</formula>
    </cfRule>
  </conditionalFormatting>
  <conditionalFormatting sqref="W45:W76">
    <cfRule type="expression" dxfId="886" priority="15" stopIfTrue="1">
      <formula>W45=0</formula>
    </cfRule>
    <cfRule type="cellIs" dxfId="885" priority="16" stopIfTrue="1" operator="lessThan">
      <formula>0.7</formula>
    </cfRule>
    <cfRule type="cellIs" dxfId="884" priority="17" stopIfTrue="1" operator="between">
      <formula>0.851</formula>
      <formula>1</formula>
    </cfRule>
    <cfRule type="cellIs" dxfId="883" priority="18" stopIfTrue="1" operator="between">
      <formula>0.7</formula>
      <formula>0.85</formula>
    </cfRule>
    <cfRule type="expression" dxfId="882" priority="19" stopIfTrue="1">
      <formula>W45=0</formula>
    </cfRule>
  </conditionalFormatting>
  <conditionalFormatting sqref="W4:Y4 S4:U4 T5:U35 R6:S35 Z6:Z37 R36:U37">
    <cfRule type="expression" dxfId="881" priority="40" stopIfTrue="1">
      <formula>R4=0</formula>
    </cfRule>
  </conditionalFormatting>
  <conditionalFormatting sqref="W4:Y4">
    <cfRule type="cellIs" dxfId="880" priority="37" stopIfTrue="1" operator="lessThan">
      <formula>0.7</formula>
    </cfRule>
    <cfRule type="cellIs" dxfId="879" priority="38" stopIfTrue="1" operator="between">
      <formula>0.851</formula>
      <formula>1</formula>
    </cfRule>
    <cfRule type="cellIs" dxfId="878" priority="39" stopIfTrue="1" operator="between">
      <formula>0.7</formula>
      <formula>0.85</formula>
    </cfRule>
  </conditionalFormatting>
  <conditionalFormatting sqref="X7:X37">
    <cfRule type="cellIs" dxfId="877" priority="22" stopIfTrue="1" operator="lessThan">
      <formula>0.7</formula>
    </cfRule>
    <cfRule type="cellIs" dxfId="876" priority="23" stopIfTrue="1" operator="between">
      <formula>0.851</formula>
      <formula>1</formula>
    </cfRule>
    <cfRule type="cellIs" dxfId="875" priority="24" stopIfTrue="1" operator="between">
      <formula>0.7</formula>
      <formula>0.85</formula>
    </cfRule>
    <cfRule type="expression" dxfId="874" priority="25" stopIfTrue="1">
      <formula>X7=0</formula>
    </cfRule>
    <cfRule type="expression" dxfId="873" priority="21" stopIfTrue="1">
      <formula>X7=0</formula>
    </cfRule>
  </conditionalFormatting>
  <conditionalFormatting sqref="X46:X76">
    <cfRule type="expression" dxfId="872" priority="4" stopIfTrue="1">
      <formula>X46=0</formula>
    </cfRule>
    <cfRule type="cellIs" dxfId="871" priority="5" stopIfTrue="1" operator="lessThan">
      <formula>0.7</formula>
    </cfRule>
    <cfRule type="cellIs" dxfId="870" priority="6" stopIfTrue="1" operator="between">
      <formula>0.851</formula>
      <formula>1</formula>
    </cfRule>
    <cfRule type="cellIs" dxfId="869" priority="7" stopIfTrue="1" operator="between">
      <formula>0.7</formula>
      <formula>0.85</formula>
    </cfRule>
    <cfRule type="expression" dxfId="868" priority="8" stopIfTrue="1">
      <formula>X46=0</formula>
    </cfRule>
  </conditionalFormatting>
  <conditionalFormatting sqref="X6:Y6 Y7:Y37">
    <cfRule type="expression" dxfId="867" priority="27" stopIfTrue="1">
      <formula>X6=0</formula>
    </cfRule>
    <cfRule type="cellIs" dxfId="866" priority="28" stopIfTrue="1" operator="lessThan">
      <formula>0.7</formula>
    </cfRule>
    <cfRule type="cellIs" dxfId="865" priority="29" stopIfTrue="1" operator="between">
      <formula>0.851</formula>
      <formula>1</formula>
    </cfRule>
    <cfRule type="cellIs" dxfId="864" priority="30" stopIfTrue="1" operator="between">
      <formula>0.7</formula>
      <formula>0.85</formula>
    </cfRule>
    <cfRule type="expression" dxfId="863" priority="31" stopIfTrue="1">
      <formula>X6=0</formula>
    </cfRule>
  </conditionalFormatting>
  <conditionalFormatting sqref="X45:Y45 Y46:Y76">
    <cfRule type="expression" dxfId="862" priority="10" stopIfTrue="1">
      <formula>X45=0</formula>
    </cfRule>
    <cfRule type="expression" dxfId="861" priority="14" stopIfTrue="1">
      <formula>X45=0</formula>
    </cfRule>
    <cfRule type="cellIs" dxfId="860" priority="13" stopIfTrue="1" operator="between">
      <formula>0.7</formula>
      <formula>0.85</formula>
    </cfRule>
    <cfRule type="cellIs" dxfId="859" priority="12" stopIfTrue="1" operator="between">
      <formula>0.851</formula>
      <formula>1</formula>
    </cfRule>
    <cfRule type="cellIs" dxfId="858" priority="11" stopIfTrue="1" operator="lessThan">
      <formula>0.7</formula>
    </cfRule>
  </conditionalFormatting>
  <conditionalFormatting sqref="Y6:Y37">
    <cfRule type="cellIs" dxfId="857" priority="26" stopIfTrue="1" operator="greaterThan">
      <formula>1</formula>
    </cfRule>
  </conditionalFormatting>
  <conditionalFormatting sqref="Y45:Y76">
    <cfRule type="cellIs" dxfId="856" priority="9" stopIfTrue="1" operator="greaterThan">
      <formula>1</formula>
    </cfRule>
  </conditionalFormatting>
  <conditionalFormatting sqref="Z45:Z76">
    <cfRule type="expression" dxfId="855" priority="20" stopIfTrue="1">
      <formula>Z45=0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CA5B929-C6D5-444E-84E1-23A0A4780184}">
          <x14:formula1>
            <xm:f>成型機資料庫!$A$9:$A$11</xm:f>
          </x14:formula1>
          <xm:sqref>K4:K35 K45:K74</xm:sqref>
        </x14:dataValidation>
        <x14:dataValidation type="list" allowBlank="1" showInputMessage="1" showErrorMessage="1" xr:uid="{65B0BFC9-C4F4-43F4-85F9-1D7E1306B866}">
          <x14:formula1>
            <xm:f>規格清單!$A$22</xm:f>
          </x14:formula1>
          <xm:sqref>J45:J74 J4:J35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ED291-6571-4AB8-86F7-A912EF8C7256}">
  <dimension ref="A1:BD80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645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441</v>
      </c>
      <c r="I4" s="429" t="s">
        <v>177</v>
      </c>
      <c r="J4" s="429" t="s">
        <v>1470</v>
      </c>
      <c r="K4" s="429" t="s">
        <v>1301</v>
      </c>
      <c r="L4" s="464">
        <v>216</v>
      </c>
      <c r="M4" s="464"/>
      <c r="N4" s="464"/>
      <c r="O4" s="443">
        <f>L4*M4</f>
        <v>0</v>
      </c>
      <c r="P4" s="461">
        <v>5.6</v>
      </c>
      <c r="Q4" s="438">
        <f>IFERROR(LOOKUP(1,0/((成型機資料庫!$F$5:$F$7=J4)*(成型機資料庫!$G$5:$G$7=K4)),成型機資料庫!$K$5:$K$7),0)</f>
        <v>600</v>
      </c>
      <c r="R4" s="477">
        <f>M4*Q4*P4/1000</f>
        <v>0</v>
      </c>
      <c r="S4" s="898">
        <f>IFERROR((G4-R4)/G4,0)</f>
        <v>0</v>
      </c>
      <c r="T4" s="482">
        <f>IFERROR(LOOKUP(1,0/((成型機資料庫!$F$5:$F$7=J4)*(成型機資料庫!$G$5:$G$7=K4)),成型機資料庫!$I$5:$I$7),0)</f>
        <v>24</v>
      </c>
      <c r="U4" s="483">
        <f>IFERROR(LOOKUP(1,0/((成型機資料庫!$F$5:$F$7=J4)*(成型機資料庫!$G$5:$G$7=K4)),成型機資料庫!$J$5:$J$7),0)</f>
        <v>6.1</v>
      </c>
      <c r="V4" s="900">
        <f>IFERROR(LOOKUP(1,0/((成型機資料庫!$F$5:$F$7=J4)*(成型機資料庫!$G$5:$G$7=K4)),成型機資料庫!$L$5:$L$7),0)</f>
        <v>161.03999999999996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thickBot="1">
      <c r="A5" s="496"/>
      <c r="B5" s="496"/>
      <c r="C5" s="496"/>
      <c r="D5" s="496"/>
      <c r="E5" s="496"/>
      <c r="F5" s="497"/>
      <c r="G5" s="500"/>
      <c r="H5" s="500"/>
      <c r="I5" s="498"/>
      <c r="J5" s="498"/>
      <c r="K5" s="498"/>
      <c r="L5" s="500"/>
      <c r="M5" s="500"/>
      <c r="N5" s="500"/>
      <c r="O5" s="501">
        <f t="shared" ref="O5:O35" si="0">L5*M5</f>
        <v>0</v>
      </c>
      <c r="P5" s="528"/>
      <c r="Q5" s="499">
        <f>IFERROR(LOOKUP(1,0/((成型機資料庫!$F$5:$F$7=J5)*(成型機資料庫!$G$5:$G$7=K5)),成型機資料庫!$K$5:$K$7),0)</f>
        <v>0</v>
      </c>
      <c r="R5" s="502"/>
      <c r="S5" s="503"/>
      <c r="T5" s="509">
        <f>IFERROR(LOOKUP(1,0/((成型機資料庫!$F$5:$F$7=J5)*(成型機資料庫!$G$5:$G$7=K5)),成型機資料庫!$I$5:$I$7),0)</f>
        <v>0</v>
      </c>
      <c r="U5" s="505">
        <f>IFERROR(LOOKUP(1,0/((成型機資料庫!$F$5:$F$7=J5)*(成型機資料庫!$G$5:$G$7=K5)),成型機資料庫!$J$5:$J$7),0)</f>
        <v>0</v>
      </c>
      <c r="V5" s="991">
        <f>IFERROR(LOOKUP(1,0/((成型機資料庫!$F$5:$F$7=J5)*(成型機資料庫!$G$5:$G$7=K5)),成型機資料庫!$L$5:$L$7),0)</f>
        <v>0</v>
      </c>
      <c r="W5" s="507"/>
      <c r="X5" s="507"/>
      <c r="Y5" s="507"/>
      <c r="Z5" s="507"/>
      <c r="AA5" s="508">
        <f t="shared" ref="AA5:AA35" si="1">AB5+AC5/60</f>
        <v>0</v>
      </c>
      <c r="AB5" s="499"/>
      <c r="AC5" s="509"/>
      <c r="AD5" s="529"/>
      <c r="AE5" s="499"/>
      <c r="AF5" s="499"/>
    </row>
    <row r="6" spans="1:56" s="433" customFormat="1" ht="15.75">
      <c r="A6" s="935">
        <v>113</v>
      </c>
      <c r="B6" s="935"/>
      <c r="C6" s="935">
        <v>1</v>
      </c>
      <c r="D6" s="889"/>
      <c r="E6" s="889" t="s">
        <v>0</v>
      </c>
      <c r="F6" s="962" t="s">
        <v>44</v>
      </c>
      <c r="G6" s="999"/>
      <c r="H6" s="532"/>
      <c r="I6" s="964"/>
      <c r="J6" s="964"/>
      <c r="K6" s="964"/>
      <c r="L6" s="532"/>
      <c r="M6" s="532"/>
      <c r="N6" s="927">
        <f>M6*Q6</f>
        <v>0</v>
      </c>
      <c r="O6" s="995">
        <f t="shared" si="0"/>
        <v>0</v>
      </c>
      <c r="P6" s="1000"/>
      <c r="Q6" s="480">
        <f>IFERROR(LOOKUP(1,0/((成型機資料庫!$F$5:$F$7=J6)*(成型機資料庫!$G$5:$G$7=K6)),成型機資料庫!$K$5:$K$7),0)</f>
        <v>0</v>
      </c>
      <c r="R6" s="997">
        <f t="shared" ref="R6:R35" si="2">M6*Q6*P6/1000</f>
        <v>0</v>
      </c>
      <c r="S6" s="996">
        <f t="shared" ref="S6:S35" si="3">IFERROR((G6-R6)/G6,0)</f>
        <v>0</v>
      </c>
      <c r="T6" s="968">
        <f>IFERROR(LOOKUP(1,0/((成型機資料庫!$F$5:$F$7=J6)*(成型機資料庫!$G$5:$G$7=K6)),成型機資料庫!$I$5:$I$7),0)</f>
        <v>0</v>
      </c>
      <c r="U6" s="967">
        <f>IFERROR(LOOKUP(1,0/((成型機資料庫!$F$5:$F$7=J6)*(成型機資料庫!$G$5:$G$7=K6)),成型機資料庫!$J$5:$J$7),0)</f>
        <v>0</v>
      </c>
      <c r="V6" s="927">
        <f>IFERROR(LOOKUP(1,0/((成型機資料庫!$F$5:$F$7=J6)*(成型機資料庫!$G$5:$G$7=K6)),成型機資料庫!$L$5:$L$7),0)</f>
        <v>0</v>
      </c>
      <c r="W6" s="996">
        <f t="shared" ref="W6:W35" si="4">IFERROR(M6/V6,0)</f>
        <v>0</v>
      </c>
      <c r="X6" s="987">
        <f>IFERROR(T6*U6*60*AA6/Q6,0)</f>
        <v>0</v>
      </c>
      <c r="Y6" s="996">
        <f>IFERROR(M6/X6,0)</f>
        <v>0</v>
      </c>
      <c r="Z6" s="987"/>
      <c r="AA6" s="495">
        <f t="shared" si="1"/>
        <v>0</v>
      </c>
      <c r="AB6" s="480"/>
      <c r="AC6" s="968"/>
      <c r="AD6" s="532"/>
      <c r="AE6" s="480"/>
      <c r="AF6" s="480"/>
    </row>
    <row r="7" spans="1:56" s="433" customFormat="1" ht="15.75">
      <c r="A7" s="434">
        <v>113</v>
      </c>
      <c r="B7" s="581"/>
      <c r="C7" s="581">
        <v>2</v>
      </c>
      <c r="D7" s="581"/>
      <c r="E7" s="581" t="s">
        <v>0</v>
      </c>
      <c r="F7" s="962" t="s">
        <v>44</v>
      </c>
      <c r="G7" s="926"/>
      <c r="H7" s="464"/>
      <c r="I7" s="429"/>
      <c r="J7" s="429"/>
      <c r="K7" s="429"/>
      <c r="L7" s="464"/>
      <c r="M7" s="464"/>
      <c r="N7" s="900">
        <f t="shared" ref="N7:N35" si="5">M7*Q7</f>
        <v>0</v>
      </c>
      <c r="O7" s="901">
        <f t="shared" si="0"/>
        <v>0</v>
      </c>
      <c r="P7" s="460"/>
      <c r="Q7" s="438">
        <f>IFERROR(LOOKUP(1,0/((成型機資料庫!$F$5:$F$7=J7)*(成型機資料庫!$G$5:$G$7=K7)),成型機資料庫!$K$5:$K$7),0)</f>
        <v>0</v>
      </c>
      <c r="R7" s="899">
        <f t="shared" si="2"/>
        <v>0</v>
      </c>
      <c r="S7" s="898">
        <f t="shared" si="3"/>
        <v>0</v>
      </c>
      <c r="T7" s="482">
        <f>IFERROR(LOOKUP(1,0/((成型機資料庫!$F$5:$F$7=J7)*(成型機資料庫!$G$5:$G$7=K7)),成型機資料庫!$I$5:$I$7),0)</f>
        <v>0</v>
      </c>
      <c r="U7" s="483">
        <f>IFERROR(LOOKUP(1,0/((成型機資料庫!$F$5:$F$7=J7)*(成型機資料庫!$G$5:$G$7=K7)),成型機資料庫!$J$5:$J$7),0)</f>
        <v>0</v>
      </c>
      <c r="V7" s="900">
        <f>IFERROR(LOOKUP(1,0/((成型機資料庫!$F$5:$F$7=J7)*(成型機資料庫!$G$5:$G$7=K7)),成型機資料庫!$L$5:$L$7),0)</f>
        <v>0</v>
      </c>
      <c r="W7" s="898">
        <f t="shared" si="4"/>
        <v>0</v>
      </c>
      <c r="X7" s="923">
        <f t="shared" ref="X7:X35" si="6">IFERROR(T7*U7*60*AA7/Q7,0)</f>
        <v>0</v>
      </c>
      <c r="Y7" s="898">
        <f t="shared" ref="Y7:Y35" si="7">IFERROR(M7/X7,0)</f>
        <v>0</v>
      </c>
      <c r="Z7" s="923"/>
      <c r="AA7" s="478">
        <f t="shared" si="1"/>
        <v>0</v>
      </c>
      <c r="AB7" s="438"/>
      <c r="AC7" s="482"/>
      <c r="AD7" s="464"/>
      <c r="AE7" s="438"/>
      <c r="AF7" s="438"/>
    </row>
    <row r="8" spans="1:56" s="433" customFormat="1" ht="15.75">
      <c r="A8" s="434">
        <v>113</v>
      </c>
      <c r="B8" s="581"/>
      <c r="C8" s="581">
        <v>3</v>
      </c>
      <c r="D8" s="581"/>
      <c r="E8" s="581" t="s">
        <v>0</v>
      </c>
      <c r="F8" s="962" t="s">
        <v>44</v>
      </c>
      <c r="G8" s="926"/>
      <c r="H8" s="464"/>
      <c r="I8" s="429"/>
      <c r="J8" s="429"/>
      <c r="K8" s="429"/>
      <c r="L8" s="464"/>
      <c r="M8" s="464"/>
      <c r="N8" s="900">
        <f t="shared" si="5"/>
        <v>0</v>
      </c>
      <c r="O8" s="901">
        <f t="shared" si="0"/>
        <v>0</v>
      </c>
      <c r="P8" s="460"/>
      <c r="Q8" s="438">
        <f>IFERROR(LOOKUP(1,0/((成型機資料庫!$F$5:$F$7=J8)*(成型機資料庫!$G$5:$G$7=K8)),成型機資料庫!$K$5:$K$7),0)</f>
        <v>0</v>
      </c>
      <c r="R8" s="899">
        <f t="shared" si="2"/>
        <v>0</v>
      </c>
      <c r="S8" s="898">
        <f t="shared" si="3"/>
        <v>0</v>
      </c>
      <c r="T8" s="482">
        <f>IFERROR(LOOKUP(1,0/((成型機資料庫!$F$5:$F$7=J8)*(成型機資料庫!$G$5:$G$7=K8)),成型機資料庫!$I$5:$I$7),0)</f>
        <v>0</v>
      </c>
      <c r="U8" s="483">
        <f>IFERROR(LOOKUP(1,0/((成型機資料庫!$F$5:$F$7=J8)*(成型機資料庫!$G$5:$G$7=K8)),成型機資料庫!$J$5:$J$7),0)</f>
        <v>0</v>
      </c>
      <c r="V8" s="900">
        <f>IFERROR(LOOKUP(1,0/((成型機資料庫!$F$5:$F$7=J8)*(成型機資料庫!$G$5:$G$7=K8)),成型機資料庫!$L$5:$L$7),0)</f>
        <v>0</v>
      </c>
      <c r="W8" s="898">
        <f t="shared" si="4"/>
        <v>0</v>
      </c>
      <c r="X8" s="923">
        <f t="shared" si="6"/>
        <v>0</v>
      </c>
      <c r="Y8" s="898">
        <f t="shared" si="7"/>
        <v>0</v>
      </c>
      <c r="Z8" s="923"/>
      <c r="AA8" s="478">
        <f t="shared" si="1"/>
        <v>0</v>
      </c>
      <c r="AB8" s="438"/>
      <c r="AC8" s="482"/>
      <c r="AD8" s="438"/>
      <c r="AE8" s="438"/>
      <c r="AF8" s="438"/>
    </row>
    <row r="9" spans="1:56" s="433" customFormat="1" ht="15.75">
      <c r="A9" s="434">
        <v>113</v>
      </c>
      <c r="B9" s="581"/>
      <c r="C9" s="581">
        <v>4</v>
      </c>
      <c r="D9" s="581"/>
      <c r="E9" s="581" t="s">
        <v>0</v>
      </c>
      <c r="F9" s="962" t="s">
        <v>44</v>
      </c>
      <c r="G9" s="926"/>
      <c r="H9" s="464"/>
      <c r="I9" s="429"/>
      <c r="J9" s="429"/>
      <c r="K9" s="429"/>
      <c r="L9" s="464"/>
      <c r="M9" s="464"/>
      <c r="N9" s="900">
        <f t="shared" si="5"/>
        <v>0</v>
      </c>
      <c r="O9" s="901">
        <f t="shared" si="0"/>
        <v>0</v>
      </c>
      <c r="P9" s="460"/>
      <c r="Q9" s="438">
        <f>IFERROR(LOOKUP(1,0/((成型機資料庫!$F$5:$F$7=J9)*(成型機資料庫!$G$5:$G$7=K9)),成型機資料庫!$K$5:$K$7),0)</f>
        <v>0</v>
      </c>
      <c r="R9" s="899">
        <f t="shared" si="2"/>
        <v>0</v>
      </c>
      <c r="S9" s="898">
        <f t="shared" si="3"/>
        <v>0</v>
      </c>
      <c r="T9" s="482">
        <f>IFERROR(LOOKUP(1,0/((成型機資料庫!$F$5:$F$7=J9)*(成型機資料庫!$G$5:$G$7=K9)),成型機資料庫!$I$5:$I$7),0)</f>
        <v>0</v>
      </c>
      <c r="U9" s="483">
        <f>IFERROR(LOOKUP(1,0/((成型機資料庫!$F$5:$F$7=J9)*(成型機資料庫!$G$5:$G$7=K9)),成型機資料庫!$J$5:$J$7),0)</f>
        <v>0</v>
      </c>
      <c r="V9" s="900">
        <f>IFERROR(LOOKUP(1,0/((成型機資料庫!$F$5:$F$7=J9)*(成型機資料庫!$G$5:$G$7=K9)),成型機資料庫!$L$5:$L$7),0)</f>
        <v>0</v>
      </c>
      <c r="W9" s="898">
        <f t="shared" si="4"/>
        <v>0</v>
      </c>
      <c r="X9" s="923">
        <f t="shared" si="6"/>
        <v>0</v>
      </c>
      <c r="Y9" s="898">
        <f t="shared" si="7"/>
        <v>0</v>
      </c>
      <c r="Z9" s="923"/>
      <c r="AA9" s="478">
        <f t="shared" si="1"/>
        <v>0</v>
      </c>
      <c r="AB9" s="438"/>
      <c r="AC9" s="482"/>
      <c r="AD9" s="438"/>
      <c r="AE9" s="464"/>
      <c r="AF9" s="438"/>
    </row>
    <row r="10" spans="1:56" s="433" customFormat="1" ht="15.75">
      <c r="A10" s="434">
        <v>113</v>
      </c>
      <c r="B10" s="581"/>
      <c r="C10" s="581">
        <v>5</v>
      </c>
      <c r="D10" s="581"/>
      <c r="E10" s="889" t="s">
        <v>0</v>
      </c>
      <c r="F10" s="962" t="s">
        <v>44</v>
      </c>
      <c r="G10" s="926"/>
      <c r="H10" s="464"/>
      <c r="I10" s="429"/>
      <c r="J10" s="429"/>
      <c r="K10" s="429"/>
      <c r="L10" s="464"/>
      <c r="M10" s="464"/>
      <c r="N10" s="900">
        <f t="shared" si="5"/>
        <v>0</v>
      </c>
      <c r="O10" s="901">
        <f t="shared" si="0"/>
        <v>0</v>
      </c>
      <c r="P10" s="460"/>
      <c r="Q10" s="438">
        <f>IFERROR(LOOKUP(1,0/((成型機資料庫!$F$5:$F$7=J10)*(成型機資料庫!$G$5:$G$7=K10)),成型機資料庫!$K$5:$K$7),0)</f>
        <v>0</v>
      </c>
      <c r="R10" s="899">
        <f t="shared" si="2"/>
        <v>0</v>
      </c>
      <c r="S10" s="898">
        <f t="shared" si="3"/>
        <v>0</v>
      </c>
      <c r="T10" s="482">
        <f>IFERROR(LOOKUP(1,0/((成型機資料庫!$F$5:$F$7=J10)*(成型機資料庫!$G$5:$G$7=K10)),成型機資料庫!$I$5:$I$7),0)</f>
        <v>0</v>
      </c>
      <c r="U10" s="483">
        <f>IFERROR(LOOKUP(1,0/((成型機資料庫!$F$5:$F$7=J10)*(成型機資料庫!$G$5:$G$7=K10)),成型機資料庫!$J$5:$J$7),0)</f>
        <v>0</v>
      </c>
      <c r="V10" s="900">
        <f>IFERROR(LOOKUP(1,0/((成型機資料庫!$F$5:$F$7=J10)*(成型機資料庫!$G$5:$G$7=K10)),成型機資料庫!$L$5:$L$7),0)</f>
        <v>0</v>
      </c>
      <c r="W10" s="898">
        <f t="shared" si="4"/>
        <v>0</v>
      </c>
      <c r="X10" s="923">
        <f t="shared" si="6"/>
        <v>0</v>
      </c>
      <c r="Y10" s="898">
        <f t="shared" si="7"/>
        <v>0</v>
      </c>
      <c r="Z10" s="923"/>
      <c r="AA10" s="478">
        <f t="shared" si="1"/>
        <v>0</v>
      </c>
      <c r="AB10" s="438"/>
      <c r="AC10" s="482"/>
      <c r="AD10" s="438"/>
      <c r="AE10" s="438"/>
      <c r="AF10" s="438"/>
    </row>
    <row r="11" spans="1:56" s="433" customFormat="1" ht="15.75">
      <c r="A11" s="434">
        <v>113</v>
      </c>
      <c r="B11" s="581"/>
      <c r="C11" s="581">
        <v>6</v>
      </c>
      <c r="D11" s="581"/>
      <c r="E11" s="889" t="s">
        <v>0</v>
      </c>
      <c r="F11" s="962" t="s">
        <v>44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0"/>
        <v>0</v>
      </c>
      <c r="P11" s="460"/>
      <c r="Q11" s="438">
        <f>IFERROR(LOOKUP(1,0/((成型機資料庫!$F$5:$F$7=J11)*(成型機資料庫!$G$5:$G$7=K11)),成型機資料庫!$K$5:$K$7),0)</f>
        <v>0</v>
      </c>
      <c r="R11" s="899">
        <f t="shared" si="2"/>
        <v>0</v>
      </c>
      <c r="S11" s="898">
        <f t="shared" si="3"/>
        <v>0</v>
      </c>
      <c r="T11" s="482">
        <f>IFERROR(LOOKUP(1,0/((成型機資料庫!$F$5:$F$7=J11)*(成型機資料庫!$G$5:$G$7=K11)),成型機資料庫!$I$5:$I$7),0)</f>
        <v>0</v>
      </c>
      <c r="U11" s="483">
        <f>IFERROR(LOOKUP(1,0/((成型機資料庫!$F$5:$F$7=J11)*(成型機資料庫!$G$5:$G$7=K11)),成型機資料庫!$J$5:$J$7),0)</f>
        <v>0</v>
      </c>
      <c r="V11" s="900">
        <f>IFERROR(LOOKUP(1,0/((成型機資料庫!$F$5:$F$7=J11)*(成型機資料庫!$G$5:$G$7=K11)),成型機資料庫!$L$5:$L$7),0)</f>
        <v>0</v>
      </c>
      <c r="W11" s="898">
        <f t="shared" si="4"/>
        <v>0</v>
      </c>
      <c r="X11" s="923">
        <f t="shared" si="6"/>
        <v>0</v>
      </c>
      <c r="Y11" s="898">
        <f t="shared" si="7"/>
        <v>0</v>
      </c>
      <c r="Z11" s="923"/>
      <c r="AA11" s="478">
        <f t="shared" si="1"/>
        <v>0</v>
      </c>
      <c r="AB11" s="438"/>
      <c r="AC11" s="482"/>
      <c r="AD11" s="879"/>
      <c r="AE11" s="438"/>
      <c r="AF11" s="438"/>
    </row>
    <row r="12" spans="1:56" s="433" customFormat="1" ht="15.75">
      <c r="A12" s="434">
        <v>113</v>
      </c>
      <c r="B12" s="581"/>
      <c r="C12" s="581">
        <v>7</v>
      </c>
      <c r="D12" s="581"/>
      <c r="E12" s="889" t="s">
        <v>0</v>
      </c>
      <c r="F12" s="962" t="s">
        <v>44</v>
      </c>
      <c r="G12" s="927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0"/>
        <v>0</v>
      </c>
      <c r="P12" s="460"/>
      <c r="Q12" s="438">
        <f>IFERROR(LOOKUP(1,0/((成型機資料庫!$F$5:$F$7=J12)*(成型機資料庫!$G$5:$G$7=K12)),成型機資料庫!$K$5:$K$7),0)</f>
        <v>0</v>
      </c>
      <c r="R12" s="899">
        <f t="shared" si="2"/>
        <v>0</v>
      </c>
      <c r="S12" s="898">
        <f t="shared" si="3"/>
        <v>0</v>
      </c>
      <c r="T12" s="482">
        <f>IFERROR(LOOKUP(1,0/((成型機資料庫!$F$5:$F$7=J12)*(成型機資料庫!$G$5:$G$7=K12)),成型機資料庫!$I$5:$I$7),0)</f>
        <v>0</v>
      </c>
      <c r="U12" s="483">
        <f>IFERROR(LOOKUP(1,0/((成型機資料庫!$F$5:$F$7=J12)*(成型機資料庫!$G$5:$G$7=K12)),成型機資料庫!$J$5:$J$7),0)</f>
        <v>0</v>
      </c>
      <c r="V12" s="900">
        <f>IFERROR(LOOKUP(1,0/((成型機資料庫!$F$5:$F$7=J12)*(成型機資料庫!$G$5:$G$7=K12)),成型機資料庫!$L$5:$L$7),0)</f>
        <v>0</v>
      </c>
      <c r="W12" s="898">
        <f t="shared" si="4"/>
        <v>0</v>
      </c>
      <c r="X12" s="923">
        <f t="shared" si="6"/>
        <v>0</v>
      </c>
      <c r="Y12" s="898">
        <f t="shared" si="7"/>
        <v>0</v>
      </c>
      <c r="Z12" s="923"/>
      <c r="AA12" s="478">
        <f t="shared" si="1"/>
        <v>0</v>
      </c>
      <c r="AB12" s="438"/>
      <c r="AC12" s="482"/>
      <c r="AD12" s="464"/>
      <c r="AE12" s="438"/>
      <c r="AF12" s="438"/>
    </row>
    <row r="13" spans="1:56" s="433" customFormat="1" ht="15.75">
      <c r="A13" s="434">
        <v>113</v>
      </c>
      <c r="B13" s="581"/>
      <c r="C13" s="581">
        <v>8</v>
      </c>
      <c r="D13" s="581"/>
      <c r="E13" s="889" t="s">
        <v>0</v>
      </c>
      <c r="F13" s="962" t="s">
        <v>44</v>
      </c>
      <c r="G13" s="927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0"/>
        <v>0</v>
      </c>
      <c r="P13" s="460"/>
      <c r="Q13" s="438">
        <f>IFERROR(LOOKUP(1,0/((成型機資料庫!$F$5:$F$7=J13)*(成型機資料庫!$G$5:$G$7=K13)),成型機資料庫!$K$5:$K$7),0)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IFERROR(LOOKUP(1,0/((成型機資料庫!$F$5:$F$7=J13)*(成型機資料庫!$G$5:$G$7=K13)),成型機資料庫!$I$5:$I$7),0)</f>
        <v>0</v>
      </c>
      <c r="U13" s="483">
        <f>IFERROR(LOOKUP(1,0/((成型機資料庫!$F$5:$F$7=J13)*(成型機資料庫!$G$5:$G$7=K13)),成型機資料庫!$J$5:$J$7),0)</f>
        <v>0</v>
      </c>
      <c r="V13" s="900">
        <f>IFERROR(LOOKUP(1,0/((成型機資料庫!$F$5:$F$7=J13)*(成型機資料庫!$G$5:$G$7=K13)),成型機資料庫!$L$5:$L$7),0)</f>
        <v>0</v>
      </c>
      <c r="W13" s="898">
        <f t="shared" si="4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1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9</v>
      </c>
      <c r="D14" s="581"/>
      <c r="E14" s="889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IFERROR(LOOKUP(1,0/((成型機資料庫!$F$5:$F$7=J14)*(成型機資料庫!$G$5:$G$7=K14)),成型機資料庫!$K$5:$K$7),0)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IFERROR(LOOKUP(1,0/((成型機資料庫!$F$5:$F$7=J14)*(成型機資料庫!$G$5:$G$7=K14)),成型機資料庫!$I$5:$I$7),0)</f>
        <v>0</v>
      </c>
      <c r="U14" s="483">
        <f>IFERROR(LOOKUP(1,0/((成型機資料庫!$F$5:$F$7=J14)*(成型機資料庫!$G$5:$G$7=K14)),成型機資料庫!$J$5:$J$7),0)</f>
        <v>0</v>
      </c>
      <c r="V14" s="900">
        <f>IFERROR(LOOKUP(1,0/((成型機資料庫!$F$5:$F$7=J14)*(成型機資料庫!$G$5:$G$7=K14)),成型機資料庫!$L$5:$L$7),0)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10</v>
      </c>
      <c r="D15" s="581"/>
      <c r="E15" s="889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IFERROR(LOOKUP(1,0/((成型機資料庫!$F$5:$F$7=J15)*(成型機資料庫!$G$5:$G$7=K15)),成型機資料庫!$K$5:$K$7),0)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IFERROR(LOOKUP(1,0/((成型機資料庫!$F$5:$F$7=J15)*(成型機資料庫!$G$5:$G$7=K15)),成型機資料庫!$I$5:$I$7),0)</f>
        <v>0</v>
      </c>
      <c r="U15" s="483">
        <f>IFERROR(LOOKUP(1,0/((成型機資料庫!$F$5:$F$7=J15)*(成型機資料庫!$G$5:$G$7=K15)),成型機資料庫!$J$5:$J$7),0)</f>
        <v>0</v>
      </c>
      <c r="V15" s="900">
        <f>IFERROR(LOOKUP(1,0/((成型機資料庫!$F$5:$F$7=J15)*(成型機資料庫!$G$5:$G$7=K15)),成型機資料庫!$L$5:$L$7),0)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11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IFERROR(LOOKUP(1,0/((成型機資料庫!$F$5:$F$7=J16)*(成型機資料庫!$G$5:$G$7=K16)),成型機資料庫!$K$5:$K$7),0)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IFERROR(LOOKUP(1,0/((成型機資料庫!$F$5:$F$7=J16)*(成型機資料庫!$G$5:$G$7=K16)),成型機資料庫!$I$5:$I$7),0)</f>
        <v>0</v>
      </c>
      <c r="U16" s="483">
        <f>IFERROR(LOOKUP(1,0/((成型機資料庫!$F$5:$F$7=J16)*(成型機資料庫!$G$5:$G$7=K16)),成型機資料庫!$J$5:$J$7),0)</f>
        <v>0</v>
      </c>
      <c r="V16" s="900">
        <f>IFERROR(LOOKUP(1,0/((成型機資料庫!$F$5:$F$7=J16)*(成型機資料庫!$G$5:$G$7=K16)),成型機資料庫!$L$5:$L$7),0)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12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IFERROR(LOOKUP(1,0/((成型機資料庫!$F$5:$F$7=J17)*(成型機資料庫!$G$5:$G$7=K17)),成型機資料庫!$K$5:$K$7),0)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IFERROR(LOOKUP(1,0/((成型機資料庫!$F$5:$F$7=J17)*(成型機資料庫!$G$5:$G$7=K17)),成型機資料庫!$I$5:$I$7),0)</f>
        <v>0</v>
      </c>
      <c r="U17" s="483">
        <f>IFERROR(LOOKUP(1,0/((成型機資料庫!$F$5:$F$7=J17)*(成型機資料庫!$G$5:$G$7=K17)),成型機資料庫!$J$5:$J$7),0)</f>
        <v>0</v>
      </c>
      <c r="V17" s="900">
        <f>IFERROR(LOOKUP(1,0/((成型機資料庫!$F$5:$F$7=J17)*(成型機資料庫!$G$5:$G$7=K17)),成型機資料庫!$L$5:$L$7),0)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13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IFERROR(LOOKUP(1,0/((成型機資料庫!$F$5:$F$7=J18)*(成型機資料庫!$G$5:$G$7=K18)),成型機資料庫!$K$5:$K$7),0)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IFERROR(LOOKUP(1,0/((成型機資料庫!$F$5:$F$7=J18)*(成型機資料庫!$G$5:$G$7=K18)),成型機資料庫!$I$5:$I$7),0)</f>
        <v>0</v>
      </c>
      <c r="U18" s="483">
        <f>IFERROR(LOOKUP(1,0/((成型機資料庫!$F$5:$F$7=J18)*(成型機資料庫!$G$5:$G$7=K18)),成型機資料庫!$J$5:$J$7),0)</f>
        <v>0</v>
      </c>
      <c r="V18" s="900">
        <f>IFERROR(LOOKUP(1,0/((成型機資料庫!$F$5:$F$7=J18)*(成型機資料庫!$G$5:$G$7=K18)),成型機資料庫!$L$5:$L$7),0)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14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IFERROR(LOOKUP(1,0/((成型機資料庫!$F$5:$F$7=J19)*(成型機資料庫!$G$5:$G$7=K19)),成型機資料庫!$K$5:$K$7),0)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IFERROR(LOOKUP(1,0/((成型機資料庫!$F$5:$F$7=J19)*(成型機資料庫!$G$5:$G$7=K19)),成型機資料庫!$I$5:$I$7),0)</f>
        <v>0</v>
      </c>
      <c r="U19" s="483">
        <f>IFERROR(LOOKUP(1,0/((成型機資料庫!$F$5:$F$7=J19)*(成型機資料庫!$G$5:$G$7=K19)),成型機資料庫!$J$5:$J$7),0)</f>
        <v>0</v>
      </c>
      <c r="V19" s="900">
        <f>IFERROR(LOOKUP(1,0/((成型機資料庫!$F$5:$F$7=J19)*(成型機資料庫!$G$5:$G$7=K19)),成型機資料庫!$L$5:$L$7),0)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15</v>
      </c>
      <c r="D20" s="581"/>
      <c r="E20" s="889" t="s">
        <v>0</v>
      </c>
      <c r="F20" s="962" t="s">
        <v>44</v>
      </c>
      <c r="G20" s="927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IFERROR(LOOKUP(1,0/((成型機資料庫!$F$5:$F$7=J20)*(成型機資料庫!$G$5:$G$7=K20)),成型機資料庫!$K$5:$K$7),0)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IFERROR(LOOKUP(1,0/((成型機資料庫!$F$5:$F$7=J20)*(成型機資料庫!$G$5:$G$7=K20)),成型機資料庫!$I$5:$I$7),0)</f>
        <v>0</v>
      </c>
      <c r="U20" s="483">
        <f>IFERROR(LOOKUP(1,0/((成型機資料庫!$F$5:$F$7=J20)*(成型機資料庫!$G$5:$G$7=K20)),成型機資料庫!$J$5:$J$7),0)</f>
        <v>0</v>
      </c>
      <c r="V20" s="900">
        <f>IFERROR(LOOKUP(1,0/((成型機資料庫!$F$5:$F$7=J20)*(成型機資料庫!$G$5:$G$7=K20)),成型機資料庫!$L$5:$L$7),0)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16</v>
      </c>
      <c r="D21" s="581"/>
      <c r="E21" s="889" t="s">
        <v>0</v>
      </c>
      <c r="F21" s="962" t="s">
        <v>44</v>
      </c>
      <c r="G21" s="927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IFERROR(LOOKUP(1,0/((成型機資料庫!$F$5:$F$7=J21)*(成型機資料庫!$G$5:$G$7=K21)),成型機資料庫!$K$5:$K$7),0)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IFERROR(LOOKUP(1,0/((成型機資料庫!$F$5:$F$7=J21)*(成型機資料庫!$G$5:$G$7=K21)),成型機資料庫!$I$5:$I$7),0)</f>
        <v>0</v>
      </c>
      <c r="U21" s="483">
        <f>IFERROR(LOOKUP(1,0/((成型機資料庫!$F$5:$F$7=J21)*(成型機資料庫!$G$5:$G$7=K21)),成型機資料庫!$J$5:$J$7),0)</f>
        <v>0</v>
      </c>
      <c r="V21" s="900">
        <f>IFERROR(LOOKUP(1,0/((成型機資料庫!$F$5:$F$7=J21)*(成型機資料庫!$G$5:$G$7=K21)),成型機資料庫!$L$5:$L$7),0)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64"/>
      <c r="AF21" s="438"/>
    </row>
    <row r="22" spans="1:32" s="433" customFormat="1" ht="15.75">
      <c r="A22" s="434">
        <v>113</v>
      </c>
      <c r="B22" s="581"/>
      <c r="C22" s="581">
        <v>17</v>
      </c>
      <c r="D22" s="581"/>
      <c r="E22" s="889" t="s">
        <v>0</v>
      </c>
      <c r="F22" s="962" t="s">
        <v>44</v>
      </c>
      <c r="G22" s="927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IFERROR(LOOKUP(1,0/((成型機資料庫!$F$5:$F$7=J22)*(成型機資料庫!$G$5:$G$7=K22)),成型機資料庫!$K$5:$K$7),0)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IFERROR(LOOKUP(1,0/((成型機資料庫!$F$5:$F$7=J22)*(成型機資料庫!$G$5:$G$7=K22)),成型機資料庫!$I$5:$I$7),0)</f>
        <v>0</v>
      </c>
      <c r="U22" s="483">
        <f>IFERROR(LOOKUP(1,0/((成型機資料庫!$F$5:$F$7=J22)*(成型機資料庫!$G$5:$G$7=K22)),成型機資料庫!$J$5:$J$7),0)</f>
        <v>0</v>
      </c>
      <c r="V22" s="900">
        <f>IFERROR(LOOKUP(1,0/((成型機資料庫!$F$5:$F$7=J22)*(成型機資料庫!$G$5:$G$7=K22)),成型機資料庫!$L$5:$L$7),0)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434"/>
      <c r="C23" s="434">
        <v>18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IFERROR(LOOKUP(1,0/((成型機資料庫!$F$5:$F$7=J23)*(成型機資料庫!$G$5:$G$7=K23)),成型機資料庫!$K$5:$K$7),0)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IFERROR(LOOKUP(1,0/((成型機資料庫!$F$5:$F$7=J23)*(成型機資料庫!$G$5:$G$7=K23)),成型機資料庫!$I$5:$I$7),0)</f>
        <v>0</v>
      </c>
      <c r="U23" s="483">
        <f>IFERROR(LOOKUP(1,0/((成型機資料庫!$F$5:$F$7=J23)*(成型機資料庫!$G$5:$G$7=K23)),成型機資料庫!$J$5:$J$7),0)</f>
        <v>0</v>
      </c>
      <c r="V23" s="900">
        <f>IFERROR(LOOKUP(1,0/((成型機資料庫!$F$5:$F$7=J23)*(成型機資料庫!$G$5:$G$7=K23)),成型機資料庫!$L$5:$L$7),0)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434"/>
      <c r="C24" s="434">
        <v>19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IFERROR(LOOKUP(1,0/((成型機資料庫!$F$5:$F$7=J24)*(成型機資料庫!$G$5:$G$7=K24)),成型機資料庫!$K$5:$K$7),0)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IFERROR(LOOKUP(1,0/((成型機資料庫!$F$5:$F$7=J24)*(成型機資料庫!$G$5:$G$7=K24)),成型機資料庫!$I$5:$I$7),0)</f>
        <v>0</v>
      </c>
      <c r="U24" s="483">
        <f>IFERROR(LOOKUP(1,0/((成型機資料庫!$F$5:$F$7=J24)*(成型機資料庫!$G$5:$G$7=K24)),成型機資料庫!$J$5:$J$7),0)</f>
        <v>0</v>
      </c>
      <c r="V24" s="900">
        <f>IFERROR(LOOKUP(1,0/((成型機資料庫!$F$5:$F$7=J24)*(成型機資料庫!$G$5:$G$7=K24)),成型機資料庫!$L$5:$L$7),0)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434"/>
      <c r="C25" s="434">
        <v>20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IFERROR(LOOKUP(1,0/((成型機資料庫!$F$5:$F$7=J25)*(成型機資料庫!$G$5:$G$7=K25)),成型機資料庫!$K$5:$K$7),0)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IFERROR(LOOKUP(1,0/((成型機資料庫!$F$5:$F$7=J25)*(成型機資料庫!$G$5:$G$7=K25)),成型機資料庫!$I$5:$I$7),0)</f>
        <v>0</v>
      </c>
      <c r="U25" s="483">
        <f>IFERROR(LOOKUP(1,0/((成型機資料庫!$F$5:$F$7=J25)*(成型機資料庫!$G$5:$G$7=K25)),成型機資料庫!$J$5:$J$7),0)</f>
        <v>0</v>
      </c>
      <c r="V25" s="900">
        <f>IFERROR(LOOKUP(1,0/((成型機資料庫!$F$5:$F$7=J25)*(成型機資料庫!$G$5:$G$7=K25)),成型機資料庫!$L$5:$L$7),0)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21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IFERROR(LOOKUP(1,0/((成型機資料庫!$F$5:$F$7=J26)*(成型機資料庫!$G$5:$G$7=K26)),成型機資料庫!$K$5:$K$7),0)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IFERROR(LOOKUP(1,0/((成型機資料庫!$F$5:$F$7=J26)*(成型機資料庫!$G$5:$G$7=K26)),成型機資料庫!$I$5:$I$7),0)</f>
        <v>0</v>
      </c>
      <c r="U26" s="483">
        <f>IFERROR(LOOKUP(1,0/((成型機資料庫!$F$5:$F$7=J26)*(成型機資料庫!$G$5:$G$7=K26)),成型機資料庫!$J$5:$J$7),0)</f>
        <v>0</v>
      </c>
      <c r="V26" s="900">
        <f>IFERROR(LOOKUP(1,0/((成型機資料庫!$F$5:$F$7=J26)*(成型機資料庫!$G$5:$G$7=K26)),成型機資料庫!$L$5:$L$7),0)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22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IFERROR(LOOKUP(1,0/((成型機資料庫!$F$5:$F$7=J27)*(成型機資料庫!$G$5:$G$7=K27)),成型機資料庫!$K$5:$K$7),0)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IFERROR(LOOKUP(1,0/((成型機資料庫!$F$5:$F$7=J27)*(成型機資料庫!$G$5:$G$7=K27)),成型機資料庫!$I$5:$I$7),0)</f>
        <v>0</v>
      </c>
      <c r="U27" s="483">
        <f>IFERROR(LOOKUP(1,0/((成型機資料庫!$F$5:$F$7=J27)*(成型機資料庫!$G$5:$G$7=K27)),成型機資料庫!$J$5:$J$7),0)</f>
        <v>0</v>
      </c>
      <c r="V27" s="900">
        <f>IFERROR(LOOKUP(1,0/((成型機資料庫!$F$5:$F$7=J27)*(成型機資料庫!$G$5:$G$7=K27)),成型機資料庫!$L$5:$L$7),0)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23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IFERROR(LOOKUP(1,0/((成型機資料庫!$F$5:$F$7=J28)*(成型機資料庫!$G$5:$G$7=K28)),成型機資料庫!$K$5:$K$7),0)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IFERROR(LOOKUP(1,0/((成型機資料庫!$F$5:$F$7=J28)*(成型機資料庫!$G$5:$G$7=K28)),成型機資料庫!$I$5:$I$7),0)</f>
        <v>0</v>
      </c>
      <c r="U28" s="483">
        <f>IFERROR(LOOKUP(1,0/((成型機資料庫!$F$5:$F$7=J28)*(成型機資料庫!$G$5:$G$7=K28)),成型機資料庫!$J$5:$J$7),0)</f>
        <v>0</v>
      </c>
      <c r="V28" s="900">
        <f>IFERROR(LOOKUP(1,0/((成型機資料庫!$F$5:$F$7=J28)*(成型機資料庫!$G$5:$G$7=K28)),成型機資料庫!$L$5:$L$7),0)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64"/>
      <c r="AF28" s="438"/>
    </row>
    <row r="29" spans="1:32" s="433" customFormat="1" ht="15.75">
      <c r="A29" s="434">
        <v>113</v>
      </c>
      <c r="B29" s="434"/>
      <c r="C29" s="434">
        <v>24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IFERROR(LOOKUP(1,0/((成型機資料庫!$F$5:$F$7=J29)*(成型機資料庫!$G$5:$G$7=K29)),成型機資料庫!$K$5:$K$7),0)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IFERROR(LOOKUP(1,0/((成型機資料庫!$F$5:$F$7=J29)*(成型機資料庫!$G$5:$G$7=K29)),成型機資料庫!$I$5:$I$7),0)</f>
        <v>0</v>
      </c>
      <c r="U29" s="483">
        <f>IFERROR(LOOKUP(1,0/((成型機資料庫!$F$5:$F$7=J29)*(成型機資料庫!$G$5:$G$7=K29)),成型機資料庫!$J$5:$J$7),0)</f>
        <v>0</v>
      </c>
      <c r="V29" s="900">
        <f>IFERROR(LOOKUP(1,0/((成型機資料庫!$F$5:$F$7=J29)*(成型機資料庫!$G$5:$G$7=K29)),成型機資料庫!$L$5:$L$7),0)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25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IFERROR(LOOKUP(1,0/((成型機資料庫!$F$5:$F$7=J30)*(成型機資料庫!$G$5:$G$7=K30)),成型機資料庫!$K$5:$K$7),0)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IFERROR(LOOKUP(1,0/((成型機資料庫!$F$5:$F$7=J30)*(成型機資料庫!$G$5:$G$7=K30)),成型機資料庫!$I$5:$I$7),0)</f>
        <v>0</v>
      </c>
      <c r="U30" s="483">
        <f>IFERROR(LOOKUP(1,0/((成型機資料庫!$F$5:$F$7=J30)*(成型機資料庫!$G$5:$G$7=K30)),成型機資料庫!$J$5:$J$7),0)</f>
        <v>0</v>
      </c>
      <c r="V30" s="900">
        <f>IFERROR(LOOKUP(1,0/((成型機資料庫!$F$5:$F$7=J30)*(成型機資料庫!$G$5:$G$7=K30)),成型機資料庫!$L$5:$L$7),0)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64"/>
      <c r="AF30" s="438"/>
    </row>
    <row r="31" spans="1:32" s="433" customFormat="1" ht="15.75">
      <c r="A31" s="434">
        <v>113</v>
      </c>
      <c r="B31" s="434"/>
      <c r="C31" s="434">
        <v>26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IFERROR(LOOKUP(1,0/((成型機資料庫!$F$5:$F$7=J31)*(成型機資料庫!$G$5:$G$7=K31)),成型機資料庫!$K$5:$K$7),0)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IFERROR(LOOKUP(1,0/((成型機資料庫!$F$5:$F$7=J31)*(成型機資料庫!$G$5:$G$7=K31)),成型機資料庫!$I$5:$I$7),0)</f>
        <v>0</v>
      </c>
      <c r="U31" s="483">
        <f>IFERROR(LOOKUP(1,0/((成型機資料庫!$F$5:$F$7=J31)*(成型機資料庫!$G$5:$G$7=K31)),成型機資料庫!$J$5:$J$7),0)</f>
        <v>0</v>
      </c>
      <c r="V31" s="900">
        <f>IFERROR(LOOKUP(1,0/((成型機資料庫!$F$5:$F$7=J31)*(成型機資料庫!$G$5:$G$7=K31)),成型機資料庫!$L$5:$L$7),0)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38"/>
      <c r="AE31" s="464"/>
      <c r="AF31" s="438"/>
    </row>
    <row r="32" spans="1:32" s="433" customFormat="1" ht="15.75">
      <c r="A32" s="434">
        <v>113</v>
      </c>
      <c r="B32" s="434"/>
      <c r="C32" s="434">
        <v>27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IFERROR(LOOKUP(1,0/((成型機資料庫!$F$5:$F$7=J32)*(成型機資料庫!$G$5:$G$7=K32)),成型機資料庫!$K$5:$K$7),0)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IFERROR(LOOKUP(1,0/((成型機資料庫!$F$5:$F$7=J32)*(成型機資料庫!$G$5:$G$7=K32)),成型機資料庫!$I$5:$I$7),0)</f>
        <v>0</v>
      </c>
      <c r="U32" s="483">
        <f>IFERROR(LOOKUP(1,0/((成型機資料庫!$F$5:$F$7=J32)*(成型機資料庫!$G$5:$G$7=K32)),成型機資料庫!$J$5:$J$7),0)</f>
        <v>0</v>
      </c>
      <c r="V32" s="900">
        <f>IFERROR(LOOKUP(1,0/((成型機資料庫!$F$5:$F$7=J32)*(成型機資料庫!$G$5:$G$7=K32)),成型機資料庫!$L$5:$L$7),0)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56" s="433" customFormat="1" ht="15.75">
      <c r="A33" s="434">
        <v>113</v>
      </c>
      <c r="B33" s="581"/>
      <c r="C33" s="581">
        <v>28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IFERROR(LOOKUP(1,0/((成型機資料庫!$F$5:$F$7=J33)*(成型機資料庫!$G$5:$G$7=K33)),成型機資料庫!$K$5:$K$7),0)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IFERROR(LOOKUP(1,0/((成型機資料庫!$F$5:$F$7=J33)*(成型機資料庫!$G$5:$G$7=K33)),成型機資料庫!$I$5:$I$7),0)</f>
        <v>0</v>
      </c>
      <c r="U33" s="483">
        <f>IFERROR(LOOKUP(1,0/((成型機資料庫!$F$5:$F$7=J33)*(成型機資料庫!$G$5:$G$7=K33)),成型機資料庫!$J$5:$J$7),0)</f>
        <v>0</v>
      </c>
      <c r="V33" s="900">
        <f>IFERROR(LOOKUP(1,0/((成型機資料庫!$F$5:$F$7=J33)*(成型機資料庫!$G$5:$G$7=K33)),成型機資料庫!$L$5:$L$7),0)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56" s="433" customFormat="1" ht="15.75">
      <c r="A34" s="434">
        <v>113</v>
      </c>
      <c r="B34" s="581"/>
      <c r="C34" s="581">
        <v>29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IFERROR(LOOKUP(1,0/((成型機資料庫!$F$5:$F$7=J34)*(成型機資料庫!$G$5:$G$7=K34)),成型機資料庫!$K$5:$K$7),0)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IFERROR(LOOKUP(1,0/((成型機資料庫!$F$5:$F$7=J34)*(成型機資料庫!$G$5:$G$7=K34)),成型機資料庫!$I$5:$I$7),0)</f>
        <v>0</v>
      </c>
      <c r="U34" s="483">
        <f>IFERROR(LOOKUP(1,0/((成型機資料庫!$F$5:$F$7=J34)*(成型機資料庫!$G$5:$G$7=K34)),成型機資料庫!$J$5:$J$7),0)</f>
        <v>0</v>
      </c>
      <c r="V34" s="900">
        <f>IFERROR(LOOKUP(1,0/((成型機資料庫!$F$5:$F$7=J34)*(成型機資料庫!$G$5:$G$7=K34)),成型機資料庫!$L$5:$L$7),0)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64"/>
      <c r="AF34" s="438"/>
    </row>
    <row r="35" spans="1:56" s="433" customFormat="1" ht="15.75">
      <c r="A35" s="434">
        <v>113</v>
      </c>
      <c r="B35" s="581"/>
      <c r="C35" s="581">
        <v>30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IFERROR(LOOKUP(1,0/((成型機資料庫!$F$5:$F$7=J35)*(成型機資料庫!$G$5:$G$7=K35)),成型機資料庫!$K$5:$K$7),0)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IFERROR(LOOKUP(1,0/((成型機資料庫!$F$5:$F$7=J35)*(成型機資料庫!$G$5:$G$7=K35)),成型機資料庫!$I$5:$I$7),0)</f>
        <v>0</v>
      </c>
      <c r="U35" s="483">
        <f>IFERROR(LOOKUP(1,0/((成型機資料庫!$F$5:$F$7=J35)*(成型機資料庫!$G$5:$G$7=K35)),成型機資料庫!$J$5:$J$7),0)</f>
        <v>0</v>
      </c>
      <c r="V35" s="900">
        <f>IFERROR(LOOKUP(1,0/((成型機資料庫!$F$5:$F$7=J35)*(成型機資料庫!$G$5:$G$7=K35)),成型機資料庫!$L$5:$L$7),0)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56" s="433" customFormat="1" ht="15.75">
      <c r="A36" s="446"/>
      <c r="B36" s="456"/>
      <c r="C36" s="456"/>
      <c r="D36" s="456"/>
      <c r="E36" s="456"/>
      <c r="F36" s="448"/>
      <c r="G36" s="951"/>
      <c r="H36" s="452"/>
      <c r="I36" s="430"/>
      <c r="J36" s="430"/>
      <c r="K36" s="430"/>
      <c r="L36" s="452"/>
      <c r="M36" s="452"/>
      <c r="N36" s="945"/>
      <c r="O36" s="946"/>
      <c r="P36" s="868"/>
      <c r="Q36" s="467"/>
      <c r="R36" s="948"/>
      <c r="S36" s="936"/>
      <c r="T36" s="936"/>
      <c r="U36" s="936"/>
      <c r="V36" s="945"/>
      <c r="W36" s="936"/>
      <c r="X36" s="947"/>
      <c r="Y36" s="936"/>
      <c r="Z36" s="947"/>
      <c r="AA36" s="488"/>
      <c r="AB36" s="439"/>
      <c r="AC36" s="471"/>
      <c r="AD36" s="452"/>
      <c r="AE36" s="439"/>
      <c r="AF36" s="439"/>
    </row>
    <row r="37" spans="1:56" s="433" customFormat="1" ht="15.75">
      <c r="A37" s="446"/>
      <c r="B37" s="456"/>
      <c r="C37" s="456"/>
      <c r="D37" s="456"/>
      <c r="E37" s="456"/>
      <c r="F37" s="448"/>
      <c r="G37" s="951"/>
      <c r="H37" s="452"/>
      <c r="I37" s="430"/>
      <c r="J37" s="430"/>
      <c r="K37" s="430"/>
      <c r="L37" s="452"/>
      <c r="M37" s="452"/>
      <c r="N37" s="945"/>
      <c r="O37" s="946"/>
      <c r="P37" s="868"/>
      <c r="Q37" s="467"/>
      <c r="R37" s="948"/>
      <c r="S37" s="936"/>
      <c r="T37" s="936"/>
      <c r="U37" s="936"/>
      <c r="V37" s="945"/>
      <c r="W37" s="936"/>
      <c r="X37" s="947"/>
      <c r="Y37" s="936"/>
      <c r="Z37" s="947"/>
      <c r="AA37" s="488"/>
      <c r="AB37" s="439"/>
      <c r="AC37" s="471"/>
      <c r="AD37" s="452"/>
      <c r="AE37" s="439"/>
      <c r="AF37" s="439"/>
    </row>
    <row r="38" spans="1:56" s="433" customFormat="1" thickBot="1">
      <c r="A38" s="446"/>
      <c r="B38" s="446"/>
      <c r="C38" s="446"/>
      <c r="D38" s="446"/>
      <c r="E38" s="446"/>
      <c r="F38" s="448"/>
      <c r="G38" s="448"/>
      <c r="H38" s="430"/>
      <c r="I38" s="430"/>
      <c r="J38" s="430"/>
      <c r="K38" s="430"/>
      <c r="L38" s="439"/>
      <c r="M38" s="452"/>
      <c r="N38" s="452"/>
      <c r="O38" s="457"/>
      <c r="P38" s="466"/>
      <c r="Q38" s="467"/>
      <c r="R38" s="486"/>
      <c r="S38" s="457"/>
      <c r="T38" s="457"/>
      <c r="U38" s="457"/>
      <c r="V38" s="458"/>
      <c r="W38" s="487">
        <f>SUM(W6:W35)</f>
        <v>0</v>
      </c>
      <c r="X38" s="487"/>
      <c r="Y38" s="487"/>
      <c r="Z38" s="487"/>
      <c r="AA38" s="488"/>
      <c r="AB38" s="489"/>
      <c r="AC38" s="489"/>
      <c r="AD38" s="469" t="s">
        <v>46</v>
      </c>
      <c r="AE38" s="439"/>
      <c r="AF38" s="439"/>
    </row>
    <row r="39" spans="1:56" s="469" customFormat="1" ht="31.5">
      <c r="A39" s="479"/>
      <c r="B39" s="479"/>
      <c r="C39" s="479"/>
      <c r="D39" s="479"/>
      <c r="E39" s="479"/>
      <c r="F39" s="452"/>
      <c r="G39" s="524" t="s">
        <v>503</v>
      </c>
      <c r="H39" s="517"/>
      <c r="I39" s="518"/>
      <c r="L39" s="1842" t="s">
        <v>1348</v>
      </c>
      <c r="M39" s="525" t="s">
        <v>1294</v>
      </c>
      <c r="N39" s="525" t="s">
        <v>1295</v>
      </c>
      <c r="O39" s="526" t="s">
        <v>458</v>
      </c>
      <c r="P39" s="520"/>
      <c r="Q39" s="521"/>
      <c r="R39" s="524" t="s">
        <v>504</v>
      </c>
      <c r="S39" s="524" t="s">
        <v>455</v>
      </c>
      <c r="T39" s="521"/>
      <c r="U39" s="521"/>
      <c r="V39" s="524" t="s">
        <v>1293</v>
      </c>
      <c r="W39" s="524" t="s">
        <v>459</v>
      </c>
      <c r="X39" s="521"/>
      <c r="Y39" s="524" t="s">
        <v>1345</v>
      </c>
      <c r="Z39" s="524" t="s">
        <v>1350</v>
      </c>
      <c r="AA39" s="524" t="s">
        <v>1351</v>
      </c>
      <c r="AB39" s="524" t="s">
        <v>1353</v>
      </c>
      <c r="AC39" s="524" t="s">
        <v>1352</v>
      </c>
      <c r="AD39" s="469" t="s">
        <v>253</v>
      </c>
      <c r="AE39" s="452"/>
      <c r="AF39" s="452"/>
    </row>
    <row r="40" spans="1:56" thickBot="1">
      <c r="G40" s="522">
        <f>SUM(G6:G35)</f>
        <v>0</v>
      </c>
      <c r="I40" s="431"/>
      <c r="J40" s="518"/>
      <c r="K40" s="518"/>
      <c r="L40" s="1843"/>
      <c r="M40" s="522">
        <f>SUM(M6:M35)</f>
        <v>0</v>
      </c>
      <c r="N40" s="522">
        <f>SUM(N6:N35)</f>
        <v>0</v>
      </c>
      <c r="O40" s="902">
        <f>SUM(O6:O35)</f>
        <v>0</v>
      </c>
      <c r="P40" s="470"/>
      <c r="R40" s="924">
        <f>SUM(R6:R35)</f>
        <v>0</v>
      </c>
      <c r="S40" s="897" t="e">
        <f>(G40-R40)/G40</f>
        <v>#DIV/0!</v>
      </c>
      <c r="T40" s="446"/>
      <c r="U40" s="446"/>
      <c r="V40" s="686" t="e">
        <f>N40/W40</f>
        <v>#DIV/0!</v>
      </c>
      <c r="W40" s="516" t="e">
        <f>W38/Y40</f>
        <v>#DIV/0!</v>
      </c>
      <c r="X40" s="446"/>
      <c r="Y40" s="516"/>
      <c r="Z40" s="958">
        <f>SUM(Z6:Z35)</f>
        <v>0</v>
      </c>
      <c r="AA40" s="516">
        <f>SUM(AA6:AA35)</f>
        <v>0</v>
      </c>
      <c r="AB40" s="516">
        <f>Z40-AA40</f>
        <v>0</v>
      </c>
      <c r="AC40" s="896" t="e">
        <f>AA40/Z40</f>
        <v>#DIV/0!</v>
      </c>
    </row>
    <row r="41" spans="1:56">
      <c r="G41" s="453"/>
      <c r="M41" s="453"/>
      <c r="N41" s="453"/>
      <c r="O41"/>
      <c r="P41" s="470"/>
      <c r="R41"/>
      <c r="S41"/>
      <c r="T41"/>
      <c r="U41"/>
    </row>
    <row r="42" spans="1:56" ht="17.25" thickBot="1"/>
    <row r="43" spans="1:56" ht="15.75">
      <c r="A43" s="1824" t="s">
        <v>668</v>
      </c>
      <c r="B43" s="1824" t="s">
        <v>330</v>
      </c>
      <c r="C43" s="1826" t="s">
        <v>311</v>
      </c>
      <c r="D43" s="1828" t="s">
        <v>331</v>
      </c>
      <c r="E43" s="1828" t="s">
        <v>332</v>
      </c>
      <c r="F43" s="1830" t="s">
        <v>194</v>
      </c>
      <c r="G43" s="1830" t="s">
        <v>386</v>
      </c>
      <c r="H43" s="1832" t="s">
        <v>360</v>
      </c>
      <c r="I43" s="1832" t="s">
        <v>361</v>
      </c>
      <c r="J43" s="1832" t="s">
        <v>510</v>
      </c>
      <c r="K43" s="1832" t="s">
        <v>1320</v>
      </c>
      <c r="L43" s="1828" t="s">
        <v>362</v>
      </c>
      <c r="M43" s="1828" t="s">
        <v>514</v>
      </c>
      <c r="N43" s="1856" t="s">
        <v>511</v>
      </c>
      <c r="O43" s="1858" t="s">
        <v>457</v>
      </c>
      <c r="P43" s="1836" t="s">
        <v>379</v>
      </c>
      <c r="Q43" s="1828" t="s">
        <v>627</v>
      </c>
      <c r="R43" s="1852" t="s">
        <v>381</v>
      </c>
      <c r="S43" s="1854" t="s">
        <v>435</v>
      </c>
      <c r="T43" s="1834" t="s">
        <v>365</v>
      </c>
      <c r="U43" s="1836" t="s">
        <v>366</v>
      </c>
      <c r="V43" s="1844" t="s">
        <v>1286</v>
      </c>
      <c r="W43" s="1846" t="s">
        <v>201</v>
      </c>
      <c r="X43" s="1846" t="s">
        <v>1318</v>
      </c>
      <c r="Y43" s="1846" t="s">
        <v>1319</v>
      </c>
      <c r="Z43" s="1849" t="s">
        <v>1285</v>
      </c>
      <c r="AA43" s="1849" t="s">
        <v>339</v>
      </c>
      <c r="AB43" s="1860" t="s">
        <v>340</v>
      </c>
      <c r="AC43" s="1861"/>
      <c r="AD43" s="1862" t="s">
        <v>371</v>
      </c>
      <c r="AE43" s="1862" t="s">
        <v>383</v>
      </c>
      <c r="AF43" s="1840" t="s">
        <v>29</v>
      </c>
    </row>
    <row r="44" spans="1:56" s="447" customFormat="1" thickBot="1">
      <c r="A44" s="1825"/>
      <c r="B44" s="1825"/>
      <c r="C44" s="1827"/>
      <c r="D44" s="1829"/>
      <c r="E44" s="1829"/>
      <c r="F44" s="1831"/>
      <c r="G44" s="1831"/>
      <c r="H44" s="1833"/>
      <c r="I44" s="1833"/>
      <c r="J44" s="1833"/>
      <c r="K44" s="1838"/>
      <c r="L44" s="1829"/>
      <c r="M44" s="1839"/>
      <c r="N44" s="1857"/>
      <c r="O44" s="1859"/>
      <c r="P44" s="1837"/>
      <c r="Q44" s="1829"/>
      <c r="R44" s="1853"/>
      <c r="S44" s="1855"/>
      <c r="T44" s="1835"/>
      <c r="U44" s="1837"/>
      <c r="V44" s="1845"/>
      <c r="W44" s="1847"/>
      <c r="X44" s="1848"/>
      <c r="Y44" s="1848"/>
      <c r="Z44" s="1850"/>
      <c r="AA44" s="1851"/>
      <c r="AB44" s="491" t="s">
        <v>350</v>
      </c>
      <c r="AC44" s="491" t="s">
        <v>351</v>
      </c>
      <c r="AD44" s="1863"/>
      <c r="AE44" s="1863"/>
      <c r="AF44" s="1841"/>
      <c r="AG44" s="446"/>
      <c r="AH44" s="446"/>
      <c r="AU44" s="446"/>
      <c r="AV44" s="446"/>
      <c r="AW44" s="446"/>
      <c r="AX44" s="446"/>
      <c r="AY44" s="446"/>
      <c r="AZ44" s="446"/>
      <c r="BA44" s="446"/>
      <c r="BB44" s="446"/>
      <c r="BC44" s="446"/>
      <c r="BD44" s="446"/>
    </row>
    <row r="45" spans="1:56" s="433" customFormat="1" ht="15.75">
      <c r="A45" s="434">
        <v>113</v>
      </c>
      <c r="B45" s="434"/>
      <c r="C45" s="434">
        <v>1</v>
      </c>
      <c r="D45" s="581"/>
      <c r="E45" s="581" t="s">
        <v>43</v>
      </c>
      <c r="F45" s="436" t="s">
        <v>44</v>
      </c>
      <c r="G45" s="926"/>
      <c r="H45" s="464"/>
      <c r="I45" s="429"/>
      <c r="J45" s="429"/>
      <c r="K45" s="429"/>
      <c r="L45" s="464"/>
      <c r="M45" s="464"/>
      <c r="N45" s="900">
        <f>M45*Q45</f>
        <v>0</v>
      </c>
      <c r="O45" s="901">
        <f t="shared" ref="O45:O74" si="8">L45*M45</f>
        <v>0</v>
      </c>
      <c r="P45" s="460"/>
      <c r="Q45" s="438">
        <f>IFERROR(LOOKUP(1,0/((成型機資料庫!$F$5:$F$7=J45)*(成型機資料庫!$G$5:$G$7=K45)),成型機資料庫!$K$5:$K$7),0)</f>
        <v>0</v>
      </c>
      <c r="R45" s="899">
        <f t="shared" ref="R45:R74" si="9">M45*Q45*P45/1000</f>
        <v>0</v>
      </c>
      <c r="S45" s="898">
        <f t="shared" ref="S45:S74" si="10">IFERROR((G45-R45)/G45,0)</f>
        <v>0</v>
      </c>
      <c r="T45" s="482">
        <f>IFERROR(LOOKUP(1,0/((成型機資料庫!$F$5:$F$7=J45)*(成型機資料庫!$G$5:$G$7=K45)),成型機資料庫!$I$5:$I$7),0)</f>
        <v>0</v>
      </c>
      <c r="U45" s="483">
        <f>IFERROR(LOOKUP(1,0/((成型機資料庫!$F$5:$F$7=J45)*(成型機資料庫!$G$5:$G$7=K45)),成型機資料庫!$J$5:$J$7),0)</f>
        <v>0</v>
      </c>
      <c r="V45" s="900">
        <f>IFERROR(LOOKUP(1,0/((成型機資料庫!$F$5:$F$7=J45)*(成型機資料庫!$G$5:$G$7=K45)),成型機資料庫!$L$5:$L$7),0)</f>
        <v>0</v>
      </c>
      <c r="W45" s="898">
        <f t="shared" ref="W45:W74" si="11">IFERROR(M45/V45,0)</f>
        <v>0</v>
      </c>
      <c r="X45" s="923">
        <f>IFERROR(T45*U45*60*AA45/Q45,0)</f>
        <v>0</v>
      </c>
      <c r="Y45" s="898">
        <f>IFERROR(M45/X45,0)</f>
        <v>0</v>
      </c>
      <c r="Z45" s="923"/>
      <c r="AA45" s="478">
        <f t="shared" ref="AA45:AA74" si="12">AB45+AC45/60</f>
        <v>0</v>
      </c>
      <c r="AB45" s="438"/>
      <c r="AC45" s="482"/>
      <c r="AD45" s="464"/>
      <c r="AE45" s="438"/>
      <c r="AF45" s="438"/>
    </row>
    <row r="46" spans="1:56" s="433" customFormat="1" ht="15.75">
      <c r="A46" s="434">
        <v>113</v>
      </c>
      <c r="B46" s="581"/>
      <c r="C46" s="581">
        <v>2</v>
      </c>
      <c r="D46" s="581"/>
      <c r="E46" s="581" t="s">
        <v>43</v>
      </c>
      <c r="F46" s="436" t="s">
        <v>44</v>
      </c>
      <c r="G46" s="926"/>
      <c r="H46" s="464"/>
      <c r="I46" s="429"/>
      <c r="J46" s="429"/>
      <c r="K46" s="429"/>
      <c r="L46" s="464"/>
      <c r="M46" s="464"/>
      <c r="N46" s="900">
        <f t="shared" ref="N46:N74" si="13">M46*Q46</f>
        <v>0</v>
      </c>
      <c r="O46" s="901">
        <f t="shared" si="8"/>
        <v>0</v>
      </c>
      <c r="P46" s="460"/>
      <c r="Q46" s="438">
        <f>IFERROR(LOOKUP(1,0/((成型機資料庫!$F$5:$F$7=J46)*(成型機資料庫!$G$5:$G$7=K46)),成型機資料庫!$K$5:$K$7),0)</f>
        <v>0</v>
      </c>
      <c r="R46" s="899">
        <f t="shared" si="9"/>
        <v>0</v>
      </c>
      <c r="S46" s="898">
        <f t="shared" si="10"/>
        <v>0</v>
      </c>
      <c r="T46" s="482">
        <f>IFERROR(LOOKUP(1,0/((成型機資料庫!$F$5:$F$7=J46)*(成型機資料庫!$G$5:$G$7=K46)),成型機資料庫!$I$5:$I$7),0)</f>
        <v>0</v>
      </c>
      <c r="U46" s="483">
        <f>IFERROR(LOOKUP(1,0/((成型機資料庫!$F$5:$F$7=J46)*(成型機資料庫!$G$5:$G$7=K46)),成型機資料庫!$J$5:$J$7),0)</f>
        <v>0</v>
      </c>
      <c r="V46" s="900">
        <f>IFERROR(LOOKUP(1,0/((成型機資料庫!$F$5:$F$7=J46)*(成型機資料庫!$G$5:$G$7=K46)),成型機資料庫!$L$5:$L$7),0)</f>
        <v>0</v>
      </c>
      <c r="W46" s="898">
        <f t="shared" si="11"/>
        <v>0</v>
      </c>
      <c r="X46" s="923">
        <f t="shared" ref="X46:X74" si="14">IFERROR(T46*U46*60*AA46/Q46,0)</f>
        <v>0</v>
      </c>
      <c r="Y46" s="898">
        <f t="shared" ref="Y46:Y74" si="15">IFERROR(M46/X46,0)</f>
        <v>0</v>
      </c>
      <c r="Z46" s="923"/>
      <c r="AA46" s="478">
        <f t="shared" si="12"/>
        <v>0</v>
      </c>
      <c r="AB46" s="438"/>
      <c r="AC46" s="482"/>
      <c r="AD46" s="464"/>
      <c r="AE46" s="438"/>
      <c r="AF46" s="438"/>
    </row>
    <row r="47" spans="1:56" s="433" customFormat="1" ht="15.75">
      <c r="A47" s="434">
        <v>113</v>
      </c>
      <c r="B47" s="581"/>
      <c r="C47" s="581">
        <v>3</v>
      </c>
      <c r="D47" s="581"/>
      <c r="E47" s="581" t="s">
        <v>43</v>
      </c>
      <c r="F47" s="436" t="s">
        <v>44</v>
      </c>
      <c r="G47" s="926"/>
      <c r="H47" s="464"/>
      <c r="I47" s="429"/>
      <c r="J47" s="429"/>
      <c r="K47" s="429"/>
      <c r="L47" s="464"/>
      <c r="M47" s="464"/>
      <c r="N47" s="900">
        <f t="shared" si="13"/>
        <v>0</v>
      </c>
      <c r="O47" s="901">
        <f t="shared" si="8"/>
        <v>0</v>
      </c>
      <c r="P47" s="460"/>
      <c r="Q47" s="438">
        <f>IFERROR(LOOKUP(1,0/((成型機資料庫!$F$5:$F$7=J47)*(成型機資料庫!$G$5:$G$7=K47)),成型機資料庫!$K$5:$K$7),0)</f>
        <v>0</v>
      </c>
      <c r="R47" s="899">
        <f t="shared" si="9"/>
        <v>0</v>
      </c>
      <c r="S47" s="898">
        <f t="shared" si="10"/>
        <v>0</v>
      </c>
      <c r="T47" s="482">
        <f>IFERROR(LOOKUP(1,0/((成型機資料庫!$F$5:$F$7=J47)*(成型機資料庫!$G$5:$G$7=K47)),成型機資料庫!$I$5:$I$7),0)</f>
        <v>0</v>
      </c>
      <c r="U47" s="483">
        <f>IFERROR(LOOKUP(1,0/((成型機資料庫!$F$5:$F$7=J47)*(成型機資料庫!$G$5:$G$7=K47)),成型機資料庫!$J$5:$J$7),0)</f>
        <v>0</v>
      </c>
      <c r="V47" s="900">
        <f>IFERROR(LOOKUP(1,0/((成型機資料庫!$F$5:$F$7=J47)*(成型機資料庫!$G$5:$G$7=K47)),成型機資料庫!$L$5:$L$7),0)</f>
        <v>0</v>
      </c>
      <c r="W47" s="898">
        <f t="shared" si="11"/>
        <v>0</v>
      </c>
      <c r="X47" s="923">
        <f t="shared" si="14"/>
        <v>0</v>
      </c>
      <c r="Y47" s="898">
        <f t="shared" si="15"/>
        <v>0</v>
      </c>
      <c r="Z47" s="923"/>
      <c r="AA47" s="478">
        <f t="shared" si="12"/>
        <v>0</v>
      </c>
      <c r="AB47" s="438"/>
      <c r="AC47" s="482"/>
      <c r="AD47" s="438"/>
      <c r="AE47" s="438"/>
      <c r="AF47" s="438"/>
    </row>
    <row r="48" spans="1:56" s="433" customFormat="1" ht="15.75">
      <c r="A48" s="434">
        <v>113</v>
      </c>
      <c r="B48" s="581"/>
      <c r="C48" s="581">
        <v>4</v>
      </c>
      <c r="D48" s="581"/>
      <c r="E48" s="581" t="s">
        <v>43</v>
      </c>
      <c r="F48" s="436" t="s">
        <v>44</v>
      </c>
      <c r="G48" s="926"/>
      <c r="H48" s="464"/>
      <c r="I48" s="429"/>
      <c r="J48" s="429"/>
      <c r="K48" s="429"/>
      <c r="L48" s="464"/>
      <c r="M48" s="464"/>
      <c r="N48" s="900">
        <f t="shared" si="13"/>
        <v>0</v>
      </c>
      <c r="O48" s="901">
        <f t="shared" si="8"/>
        <v>0</v>
      </c>
      <c r="P48" s="460"/>
      <c r="Q48" s="438">
        <f>IFERROR(LOOKUP(1,0/((成型機資料庫!$F$5:$F$7=J48)*(成型機資料庫!$G$5:$G$7=K48)),成型機資料庫!$K$5:$K$7),0)</f>
        <v>0</v>
      </c>
      <c r="R48" s="899">
        <f t="shared" si="9"/>
        <v>0</v>
      </c>
      <c r="S48" s="898">
        <f t="shared" si="10"/>
        <v>0</v>
      </c>
      <c r="T48" s="482">
        <f>IFERROR(LOOKUP(1,0/((成型機資料庫!$F$5:$F$7=J48)*(成型機資料庫!$G$5:$G$7=K48)),成型機資料庫!$I$5:$I$7),0)</f>
        <v>0</v>
      </c>
      <c r="U48" s="483">
        <f>IFERROR(LOOKUP(1,0/((成型機資料庫!$F$5:$F$7=J48)*(成型機資料庫!$G$5:$G$7=K48)),成型機資料庫!$J$5:$J$7),0)</f>
        <v>0</v>
      </c>
      <c r="V48" s="900">
        <f>IFERROR(LOOKUP(1,0/((成型機資料庫!$F$5:$F$7=J48)*(成型機資料庫!$G$5:$G$7=K48)),成型機資料庫!$L$5:$L$7),0)</f>
        <v>0</v>
      </c>
      <c r="W48" s="898">
        <f t="shared" si="11"/>
        <v>0</v>
      </c>
      <c r="X48" s="923">
        <f t="shared" si="14"/>
        <v>0</v>
      </c>
      <c r="Y48" s="898">
        <f t="shared" si="15"/>
        <v>0</v>
      </c>
      <c r="Z48" s="923"/>
      <c r="AA48" s="478">
        <f t="shared" si="12"/>
        <v>0</v>
      </c>
      <c r="AB48" s="438"/>
      <c r="AC48" s="482"/>
      <c r="AD48" s="438"/>
      <c r="AE48" s="464"/>
      <c r="AF48" s="438"/>
    </row>
    <row r="49" spans="1:32" s="433" customFormat="1" ht="15.75">
      <c r="A49" s="434">
        <v>113</v>
      </c>
      <c r="B49" s="581"/>
      <c r="C49" s="581">
        <v>5</v>
      </c>
      <c r="D49" s="581"/>
      <c r="E49" s="581" t="s">
        <v>43</v>
      </c>
      <c r="F49" s="436" t="s">
        <v>44</v>
      </c>
      <c r="G49" s="926"/>
      <c r="H49" s="464"/>
      <c r="I49" s="429"/>
      <c r="J49" s="429"/>
      <c r="K49" s="429"/>
      <c r="L49" s="464"/>
      <c r="M49" s="464"/>
      <c r="N49" s="900">
        <f t="shared" si="13"/>
        <v>0</v>
      </c>
      <c r="O49" s="901">
        <f t="shared" si="8"/>
        <v>0</v>
      </c>
      <c r="P49" s="460"/>
      <c r="Q49" s="438">
        <f>IFERROR(LOOKUP(1,0/((成型機資料庫!$F$5:$F$7=J49)*(成型機資料庫!$G$5:$G$7=K49)),成型機資料庫!$K$5:$K$7),0)</f>
        <v>0</v>
      </c>
      <c r="R49" s="899">
        <f t="shared" si="9"/>
        <v>0</v>
      </c>
      <c r="S49" s="898">
        <f t="shared" si="10"/>
        <v>0</v>
      </c>
      <c r="T49" s="482">
        <f>IFERROR(LOOKUP(1,0/((成型機資料庫!$F$5:$F$7=J49)*(成型機資料庫!$G$5:$G$7=K49)),成型機資料庫!$I$5:$I$7),0)</f>
        <v>0</v>
      </c>
      <c r="U49" s="483">
        <f>IFERROR(LOOKUP(1,0/((成型機資料庫!$F$5:$F$7=J49)*(成型機資料庫!$G$5:$G$7=K49)),成型機資料庫!$J$5:$J$7),0)</f>
        <v>0</v>
      </c>
      <c r="V49" s="900">
        <f>IFERROR(LOOKUP(1,0/((成型機資料庫!$F$5:$F$7=J49)*(成型機資料庫!$G$5:$G$7=K49)),成型機資料庫!$L$5:$L$7),0)</f>
        <v>0</v>
      </c>
      <c r="W49" s="898">
        <f t="shared" si="11"/>
        <v>0</v>
      </c>
      <c r="X49" s="923">
        <f t="shared" si="14"/>
        <v>0</v>
      </c>
      <c r="Y49" s="898">
        <f t="shared" si="15"/>
        <v>0</v>
      </c>
      <c r="Z49" s="923"/>
      <c r="AA49" s="478">
        <f t="shared" si="12"/>
        <v>0</v>
      </c>
      <c r="AB49" s="438"/>
      <c r="AC49" s="482"/>
      <c r="AD49" s="438"/>
      <c r="AE49" s="438"/>
      <c r="AF49" s="438"/>
    </row>
    <row r="50" spans="1:32" s="433" customFormat="1" ht="15.75">
      <c r="A50" s="434">
        <v>113</v>
      </c>
      <c r="B50" s="581"/>
      <c r="C50" s="581">
        <v>6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 t="shared" si="13"/>
        <v>0</v>
      </c>
      <c r="O50" s="901">
        <f t="shared" si="8"/>
        <v>0</v>
      </c>
      <c r="P50" s="460"/>
      <c r="Q50" s="438">
        <f>IFERROR(LOOKUP(1,0/((成型機資料庫!$F$5:$F$7=J50)*(成型機資料庫!$G$5:$G$7=K50)),成型機資料庫!$K$5:$K$7),0)</f>
        <v>0</v>
      </c>
      <c r="R50" s="899">
        <f t="shared" si="9"/>
        <v>0</v>
      </c>
      <c r="S50" s="898">
        <f t="shared" si="10"/>
        <v>0</v>
      </c>
      <c r="T50" s="482">
        <f>IFERROR(LOOKUP(1,0/((成型機資料庫!$F$5:$F$7=J50)*(成型機資料庫!$G$5:$G$7=K50)),成型機資料庫!$I$5:$I$7),0)</f>
        <v>0</v>
      </c>
      <c r="U50" s="483">
        <f>IFERROR(LOOKUP(1,0/((成型機資料庫!$F$5:$F$7=J50)*(成型機資料庫!$G$5:$G$7=K50)),成型機資料庫!$J$5:$J$7),0)</f>
        <v>0</v>
      </c>
      <c r="V50" s="900">
        <f>IFERROR(LOOKUP(1,0/((成型機資料庫!$F$5:$F$7=J50)*(成型機資料庫!$G$5:$G$7=K50)),成型機資料庫!$L$5:$L$7),0)</f>
        <v>0</v>
      </c>
      <c r="W50" s="898">
        <f t="shared" si="11"/>
        <v>0</v>
      </c>
      <c r="X50" s="923">
        <f t="shared" si="14"/>
        <v>0</v>
      </c>
      <c r="Y50" s="898">
        <f t="shared" si="15"/>
        <v>0</v>
      </c>
      <c r="Z50" s="923"/>
      <c r="AA50" s="478">
        <f t="shared" si="12"/>
        <v>0</v>
      </c>
      <c r="AB50" s="438"/>
      <c r="AC50" s="482"/>
      <c r="AD50" s="879"/>
      <c r="AE50" s="438"/>
      <c r="AF50" s="438"/>
    </row>
    <row r="51" spans="1:32" s="433" customFormat="1" ht="15.75">
      <c r="A51" s="434">
        <v>113</v>
      </c>
      <c r="B51" s="581"/>
      <c r="C51" s="581">
        <v>7</v>
      </c>
      <c r="D51" s="581"/>
      <c r="E51" s="581" t="s">
        <v>43</v>
      </c>
      <c r="F51" s="436" t="s">
        <v>44</v>
      </c>
      <c r="G51" s="927"/>
      <c r="H51" s="464"/>
      <c r="I51" s="429"/>
      <c r="J51" s="429"/>
      <c r="K51" s="429"/>
      <c r="L51" s="464"/>
      <c r="M51" s="464"/>
      <c r="N51" s="900">
        <f t="shared" si="13"/>
        <v>0</v>
      </c>
      <c r="O51" s="901">
        <f t="shared" si="8"/>
        <v>0</v>
      </c>
      <c r="P51" s="460"/>
      <c r="Q51" s="438">
        <f>IFERROR(LOOKUP(1,0/((成型機資料庫!$F$5:$F$7=J51)*(成型機資料庫!$G$5:$G$7=K51)),成型機資料庫!$K$5:$K$7),0)</f>
        <v>0</v>
      </c>
      <c r="R51" s="899">
        <f t="shared" si="9"/>
        <v>0</v>
      </c>
      <c r="S51" s="898">
        <f t="shared" si="10"/>
        <v>0</v>
      </c>
      <c r="T51" s="482">
        <f>IFERROR(LOOKUP(1,0/((成型機資料庫!$F$5:$F$7=J51)*(成型機資料庫!$G$5:$G$7=K51)),成型機資料庫!$I$5:$I$7),0)</f>
        <v>0</v>
      </c>
      <c r="U51" s="483">
        <f>IFERROR(LOOKUP(1,0/((成型機資料庫!$F$5:$F$7=J51)*(成型機資料庫!$G$5:$G$7=K51)),成型機資料庫!$J$5:$J$7),0)</f>
        <v>0</v>
      </c>
      <c r="V51" s="900">
        <f>IFERROR(LOOKUP(1,0/((成型機資料庫!$F$5:$F$7=J51)*(成型機資料庫!$G$5:$G$7=K51)),成型機資料庫!$L$5:$L$7),0)</f>
        <v>0</v>
      </c>
      <c r="W51" s="898">
        <f t="shared" si="11"/>
        <v>0</v>
      </c>
      <c r="X51" s="923">
        <f t="shared" si="14"/>
        <v>0</v>
      </c>
      <c r="Y51" s="898">
        <f t="shared" si="15"/>
        <v>0</v>
      </c>
      <c r="Z51" s="923"/>
      <c r="AA51" s="478">
        <f t="shared" si="12"/>
        <v>0</v>
      </c>
      <c r="AB51" s="438"/>
      <c r="AC51" s="482"/>
      <c r="AD51" s="464"/>
      <c r="AE51" s="438"/>
      <c r="AF51" s="438"/>
    </row>
    <row r="52" spans="1:32" s="433" customFormat="1" ht="15.75">
      <c r="A52" s="434">
        <v>113</v>
      </c>
      <c r="B52" s="581"/>
      <c r="C52" s="581">
        <v>8</v>
      </c>
      <c r="D52" s="581"/>
      <c r="E52" s="581" t="s">
        <v>43</v>
      </c>
      <c r="F52" s="436" t="s">
        <v>44</v>
      </c>
      <c r="G52" s="927"/>
      <c r="H52" s="464"/>
      <c r="I52" s="429"/>
      <c r="J52" s="429"/>
      <c r="K52" s="429"/>
      <c r="L52" s="464"/>
      <c r="M52" s="464"/>
      <c r="N52" s="900">
        <f t="shared" si="13"/>
        <v>0</v>
      </c>
      <c r="O52" s="901">
        <f t="shared" si="8"/>
        <v>0</v>
      </c>
      <c r="P52" s="460"/>
      <c r="Q52" s="438">
        <f>IFERROR(LOOKUP(1,0/((成型機資料庫!$F$5:$F$7=J52)*(成型機資料庫!$G$5:$G$7=K52)),成型機資料庫!$K$5:$K$7),0)</f>
        <v>0</v>
      </c>
      <c r="R52" s="899">
        <f t="shared" si="9"/>
        <v>0</v>
      </c>
      <c r="S52" s="898">
        <f t="shared" si="10"/>
        <v>0</v>
      </c>
      <c r="T52" s="482">
        <f>IFERROR(LOOKUP(1,0/((成型機資料庫!$F$5:$F$7=J52)*(成型機資料庫!$G$5:$G$7=K52)),成型機資料庫!$I$5:$I$7),0)</f>
        <v>0</v>
      </c>
      <c r="U52" s="483">
        <f>IFERROR(LOOKUP(1,0/((成型機資料庫!$F$5:$F$7=J52)*(成型機資料庫!$G$5:$G$7=K52)),成型機資料庫!$J$5:$J$7),0)</f>
        <v>0</v>
      </c>
      <c r="V52" s="900">
        <f>IFERROR(LOOKUP(1,0/((成型機資料庫!$F$5:$F$7=J52)*(成型機資料庫!$G$5:$G$7=K52)),成型機資料庫!$L$5:$L$7),0)</f>
        <v>0</v>
      </c>
      <c r="W52" s="898">
        <f t="shared" si="11"/>
        <v>0</v>
      </c>
      <c r="X52" s="923">
        <f t="shared" si="14"/>
        <v>0</v>
      </c>
      <c r="Y52" s="898">
        <f t="shared" si="15"/>
        <v>0</v>
      </c>
      <c r="Z52" s="923"/>
      <c r="AA52" s="478">
        <f t="shared" si="12"/>
        <v>0</v>
      </c>
      <c r="AB52" s="438"/>
      <c r="AC52" s="482"/>
      <c r="AD52" s="464"/>
      <c r="AE52" s="438"/>
      <c r="AF52" s="438"/>
    </row>
    <row r="53" spans="1:32" s="433" customFormat="1" ht="15.75">
      <c r="A53" s="434">
        <v>113</v>
      </c>
      <c r="B53" s="581"/>
      <c r="C53" s="581">
        <v>9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IFERROR(LOOKUP(1,0/((成型機資料庫!$F$5:$F$7=J53)*(成型機資料庫!$G$5:$G$7=K53)),成型機資料庫!$K$5:$K$7),0)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IFERROR(LOOKUP(1,0/((成型機資料庫!$F$5:$F$7=J53)*(成型機資料庫!$G$5:$G$7=K53)),成型機資料庫!$I$5:$I$7),0)</f>
        <v>0</v>
      </c>
      <c r="U53" s="483">
        <f>IFERROR(LOOKUP(1,0/((成型機資料庫!$F$5:$F$7=J53)*(成型機資料庫!$G$5:$G$7=K53)),成型機資料庫!$J$5:$J$7),0)</f>
        <v>0</v>
      </c>
      <c r="V53" s="900">
        <f>IFERROR(LOOKUP(1,0/((成型機資料庫!$F$5:$F$7=J53)*(成型機資料庫!$G$5:$G$7=K53)),成型機資料庫!$L$5:$L$7),0)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32" s="433" customFormat="1" ht="15.75">
      <c r="A54" s="434">
        <v>113</v>
      </c>
      <c r="B54" s="581"/>
      <c r="C54" s="581">
        <v>10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IFERROR(LOOKUP(1,0/((成型機資料庫!$F$5:$F$7=J54)*(成型機資料庫!$G$5:$G$7=K54)),成型機資料庫!$K$5:$K$7),0)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IFERROR(LOOKUP(1,0/((成型機資料庫!$F$5:$F$7=J54)*(成型機資料庫!$G$5:$G$7=K54)),成型機資料庫!$I$5:$I$7),0)</f>
        <v>0</v>
      </c>
      <c r="U54" s="483">
        <f>IFERROR(LOOKUP(1,0/((成型機資料庫!$F$5:$F$7=J54)*(成型機資料庫!$G$5:$G$7=K54)),成型機資料庫!$J$5:$J$7),0)</f>
        <v>0</v>
      </c>
      <c r="V54" s="900">
        <f>IFERROR(LOOKUP(1,0/((成型機資料庫!$F$5:$F$7=J54)*(成型機資料庫!$G$5:$G$7=K54)),成型機資料庫!$L$5:$L$7),0)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38"/>
      <c r="AF54" s="438"/>
    </row>
    <row r="55" spans="1:32" s="433" customFormat="1" ht="15.75">
      <c r="A55" s="434">
        <v>113</v>
      </c>
      <c r="B55" s="581"/>
      <c r="C55" s="581">
        <v>11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IFERROR(LOOKUP(1,0/((成型機資料庫!$F$5:$F$7=J55)*(成型機資料庫!$G$5:$G$7=K55)),成型機資料庫!$K$5:$K$7),0)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IFERROR(LOOKUP(1,0/((成型機資料庫!$F$5:$F$7=J55)*(成型機資料庫!$G$5:$G$7=K55)),成型機資料庫!$I$5:$I$7),0)</f>
        <v>0</v>
      </c>
      <c r="U55" s="483">
        <f>IFERROR(LOOKUP(1,0/((成型機資料庫!$F$5:$F$7=J55)*(成型機資料庫!$G$5:$G$7=K55)),成型機資料庫!$J$5:$J$7),0)</f>
        <v>0</v>
      </c>
      <c r="V55" s="900">
        <f>IFERROR(LOOKUP(1,0/((成型機資料庫!$F$5:$F$7=J55)*(成型機資料庫!$G$5:$G$7=K55)),成型機資料庫!$L$5:$L$7),0)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12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IFERROR(LOOKUP(1,0/((成型機資料庫!$F$5:$F$7=J56)*(成型機資料庫!$G$5:$G$7=K56)),成型機資料庫!$K$5:$K$7),0)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IFERROR(LOOKUP(1,0/((成型機資料庫!$F$5:$F$7=J56)*(成型機資料庫!$G$5:$G$7=K56)),成型機資料庫!$I$5:$I$7),0)</f>
        <v>0</v>
      </c>
      <c r="U56" s="483">
        <f>IFERROR(LOOKUP(1,0/((成型機資料庫!$F$5:$F$7=J56)*(成型機資料庫!$G$5:$G$7=K56)),成型機資料庫!$J$5:$J$7),0)</f>
        <v>0</v>
      </c>
      <c r="V56" s="900">
        <f>IFERROR(LOOKUP(1,0/((成型機資料庫!$F$5:$F$7=J56)*(成型機資料庫!$G$5:$G$7=K56)),成型機資料庫!$L$5:$L$7),0)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32" s="433" customFormat="1" ht="15.75">
      <c r="A57" s="434">
        <v>113</v>
      </c>
      <c r="B57" s="581"/>
      <c r="C57" s="581">
        <v>13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IFERROR(LOOKUP(1,0/((成型機資料庫!$F$5:$F$7=J57)*(成型機資料庫!$G$5:$G$7=K57)),成型機資料庫!$K$5:$K$7),0)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IFERROR(LOOKUP(1,0/((成型機資料庫!$F$5:$F$7=J57)*(成型機資料庫!$G$5:$G$7=K57)),成型機資料庫!$I$5:$I$7),0)</f>
        <v>0</v>
      </c>
      <c r="U57" s="483">
        <f>IFERROR(LOOKUP(1,0/((成型機資料庫!$F$5:$F$7=J57)*(成型機資料庫!$G$5:$G$7=K57)),成型機資料庫!$J$5:$J$7),0)</f>
        <v>0</v>
      </c>
      <c r="V57" s="900">
        <f>IFERROR(LOOKUP(1,0/((成型機資料庫!$F$5:$F$7=J57)*(成型機資料庫!$G$5:$G$7=K57)),成型機資料庫!$L$5:$L$7),0)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64"/>
      <c r="AE57" s="438"/>
      <c r="AF57" s="438"/>
    </row>
    <row r="58" spans="1:32" s="433" customFormat="1" ht="15.75">
      <c r="A58" s="434">
        <v>113</v>
      </c>
      <c r="B58" s="581"/>
      <c r="C58" s="581">
        <v>14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IFERROR(LOOKUP(1,0/((成型機資料庫!$F$5:$F$7=J58)*(成型機資料庫!$G$5:$G$7=K58)),成型機資料庫!$K$5:$K$7),0)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IFERROR(LOOKUP(1,0/((成型機資料庫!$F$5:$F$7=J58)*(成型機資料庫!$G$5:$G$7=K58)),成型機資料庫!$I$5:$I$7),0)</f>
        <v>0</v>
      </c>
      <c r="U58" s="483">
        <f>IFERROR(LOOKUP(1,0/((成型機資料庫!$F$5:$F$7=J58)*(成型機資料庫!$G$5:$G$7=K58)),成型機資料庫!$J$5:$J$7),0)</f>
        <v>0</v>
      </c>
      <c r="V58" s="900">
        <f>IFERROR(LOOKUP(1,0/((成型機資料庫!$F$5:$F$7=J58)*(成型機資料庫!$G$5:$G$7=K58)),成型機資料庫!$L$5:$L$7),0)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15</v>
      </c>
      <c r="D59" s="581"/>
      <c r="E59" s="581" t="s">
        <v>43</v>
      </c>
      <c r="F59" s="436" t="s">
        <v>44</v>
      </c>
      <c r="G59" s="927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IFERROR(LOOKUP(1,0/((成型機資料庫!$F$5:$F$7=J59)*(成型機資料庫!$G$5:$G$7=K59)),成型機資料庫!$K$5:$K$7),0)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IFERROR(LOOKUP(1,0/((成型機資料庫!$F$5:$F$7=J59)*(成型機資料庫!$G$5:$G$7=K59)),成型機資料庫!$I$5:$I$7),0)</f>
        <v>0</v>
      </c>
      <c r="U59" s="483">
        <f>IFERROR(LOOKUP(1,0/((成型機資料庫!$F$5:$F$7=J59)*(成型機資料庫!$G$5:$G$7=K59)),成型機資料庫!$J$5:$J$7),0)</f>
        <v>0</v>
      </c>
      <c r="V59" s="900">
        <f>IFERROR(LOOKUP(1,0/((成型機資料庫!$F$5:$F$7=J59)*(成型機資料庫!$G$5:$G$7=K59)),成型機資料庫!$L$5:$L$7),0)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38"/>
      <c r="AE59" s="438"/>
      <c r="AF59" s="438"/>
    </row>
    <row r="60" spans="1:32" s="433" customFormat="1" ht="15.75">
      <c r="A60" s="434">
        <v>113</v>
      </c>
      <c r="B60" s="581"/>
      <c r="C60" s="581">
        <v>16</v>
      </c>
      <c r="D60" s="581"/>
      <c r="E60" s="581" t="s">
        <v>43</v>
      </c>
      <c r="F60" s="436" t="s">
        <v>44</v>
      </c>
      <c r="G60" s="927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IFERROR(LOOKUP(1,0/((成型機資料庫!$F$5:$F$7=J60)*(成型機資料庫!$G$5:$G$7=K60)),成型機資料庫!$K$5:$K$7),0)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IFERROR(LOOKUP(1,0/((成型機資料庫!$F$5:$F$7=J60)*(成型機資料庫!$G$5:$G$7=K60)),成型機資料庫!$I$5:$I$7),0)</f>
        <v>0</v>
      </c>
      <c r="U60" s="483">
        <f>IFERROR(LOOKUP(1,0/((成型機資料庫!$F$5:$F$7=J60)*(成型機資料庫!$G$5:$G$7=K60)),成型機資料庫!$J$5:$J$7),0)</f>
        <v>0</v>
      </c>
      <c r="V60" s="900">
        <f>IFERROR(LOOKUP(1,0/((成型機資料庫!$F$5:$F$7=J60)*(成型機資料庫!$G$5:$G$7=K60)),成型機資料庫!$L$5:$L$7),0)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64"/>
      <c r="AF60" s="438"/>
    </row>
    <row r="61" spans="1:32" s="433" customFormat="1" ht="15.75">
      <c r="A61" s="434">
        <v>113</v>
      </c>
      <c r="B61" s="581"/>
      <c r="C61" s="581">
        <v>17</v>
      </c>
      <c r="D61" s="581"/>
      <c r="E61" s="581" t="s">
        <v>43</v>
      </c>
      <c r="F61" s="436" t="s">
        <v>44</v>
      </c>
      <c r="G61" s="927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IFERROR(LOOKUP(1,0/((成型機資料庫!$F$5:$F$7=J61)*(成型機資料庫!$G$5:$G$7=K61)),成型機資料庫!$K$5:$K$7),0)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IFERROR(LOOKUP(1,0/((成型機資料庫!$F$5:$F$7=J61)*(成型機資料庫!$G$5:$G$7=K61)),成型機資料庫!$I$5:$I$7),0)</f>
        <v>0</v>
      </c>
      <c r="U61" s="483">
        <f>IFERROR(LOOKUP(1,0/((成型機資料庫!$F$5:$F$7=J61)*(成型機資料庫!$G$5:$G$7=K61)),成型機資料庫!$J$5:$J$7),0)</f>
        <v>0</v>
      </c>
      <c r="V61" s="900">
        <f>IFERROR(LOOKUP(1,0/((成型機資料庫!$F$5:$F$7=J61)*(成型機資料庫!$G$5:$G$7=K61)),成型機資料庫!$L$5:$L$7),0)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434"/>
      <c r="C62" s="434">
        <v>18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IFERROR(LOOKUP(1,0/((成型機資料庫!$F$5:$F$7=J62)*(成型機資料庫!$G$5:$G$7=K62)),成型機資料庫!$K$5:$K$7),0)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IFERROR(LOOKUP(1,0/((成型機資料庫!$F$5:$F$7=J62)*(成型機資料庫!$G$5:$G$7=K62)),成型機資料庫!$I$5:$I$7),0)</f>
        <v>0</v>
      </c>
      <c r="U62" s="483">
        <f>IFERROR(LOOKUP(1,0/((成型機資料庫!$F$5:$F$7=J62)*(成型機資料庫!$G$5:$G$7=K62)),成型機資料庫!$J$5:$J$7),0)</f>
        <v>0</v>
      </c>
      <c r="V62" s="900">
        <f>IFERROR(LOOKUP(1,0/((成型機資料庫!$F$5:$F$7=J62)*(成型機資料庫!$G$5:$G$7=K62)),成型機資料庫!$L$5:$L$7),0)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32" s="433" customFormat="1" ht="15.75">
      <c r="A63" s="434">
        <v>113</v>
      </c>
      <c r="B63" s="434"/>
      <c r="C63" s="434">
        <v>19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IFERROR(LOOKUP(1,0/((成型機資料庫!$F$5:$F$7=J63)*(成型機資料庫!$G$5:$G$7=K63)),成型機資料庫!$K$5:$K$7),0)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IFERROR(LOOKUP(1,0/((成型機資料庫!$F$5:$F$7=J63)*(成型機資料庫!$G$5:$G$7=K63)),成型機資料庫!$I$5:$I$7),0)</f>
        <v>0</v>
      </c>
      <c r="U63" s="483">
        <f>IFERROR(LOOKUP(1,0/((成型機資料庫!$F$5:$F$7=J63)*(成型機資料庫!$G$5:$G$7=K63)),成型機資料庫!$J$5:$J$7),0)</f>
        <v>0</v>
      </c>
      <c r="V63" s="900">
        <f>IFERROR(LOOKUP(1,0/((成型機資料庫!$F$5:$F$7=J63)*(成型機資料庫!$G$5:$G$7=K63)),成型機資料庫!$L$5:$L$7),0)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32" s="433" customFormat="1" ht="15.75">
      <c r="A64" s="434">
        <v>113</v>
      </c>
      <c r="B64" s="434"/>
      <c r="C64" s="434">
        <v>20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IFERROR(LOOKUP(1,0/((成型機資料庫!$F$5:$F$7=J64)*(成型機資料庫!$G$5:$G$7=K64)),成型機資料庫!$K$5:$K$7),0)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IFERROR(LOOKUP(1,0/((成型機資料庫!$F$5:$F$7=J64)*(成型機資料庫!$G$5:$G$7=K64)),成型機資料庫!$I$5:$I$7),0)</f>
        <v>0</v>
      </c>
      <c r="U64" s="483">
        <f>IFERROR(LOOKUP(1,0/((成型機資料庫!$F$5:$F$7=J64)*(成型機資料庫!$G$5:$G$7=K64)),成型機資料庫!$J$5:$J$7),0)</f>
        <v>0</v>
      </c>
      <c r="V64" s="900">
        <f>IFERROR(LOOKUP(1,0/((成型機資料庫!$F$5:$F$7=J64)*(成型機資料庫!$G$5:$G$7=K64)),成型機資料庫!$L$5:$L$7),0)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56" s="433" customFormat="1" ht="15.75">
      <c r="A65" s="434">
        <v>113</v>
      </c>
      <c r="B65" s="434"/>
      <c r="C65" s="434">
        <v>21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IFERROR(LOOKUP(1,0/((成型機資料庫!$F$5:$F$7=J65)*(成型機資料庫!$G$5:$G$7=K65)),成型機資料庫!$K$5:$K$7),0)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IFERROR(LOOKUP(1,0/((成型機資料庫!$F$5:$F$7=J65)*(成型機資料庫!$G$5:$G$7=K65)),成型機資料庫!$I$5:$I$7),0)</f>
        <v>0</v>
      </c>
      <c r="U65" s="483">
        <f>IFERROR(LOOKUP(1,0/((成型機資料庫!$F$5:$F$7=J65)*(成型機資料庫!$G$5:$G$7=K65)),成型機資料庫!$J$5:$J$7),0)</f>
        <v>0</v>
      </c>
      <c r="V65" s="900">
        <f>IFERROR(LOOKUP(1,0/((成型機資料庫!$F$5:$F$7=J65)*(成型機資料庫!$G$5:$G$7=K65)),成型機資料庫!$L$5:$L$7),0)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56" s="433" customFormat="1" ht="15.75">
      <c r="A66" s="434">
        <v>113</v>
      </c>
      <c r="B66" s="434"/>
      <c r="C66" s="434">
        <v>22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IFERROR(LOOKUP(1,0/((成型機資料庫!$F$5:$F$7=J66)*(成型機資料庫!$G$5:$G$7=K66)),成型機資料庫!$K$5:$K$7),0)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IFERROR(LOOKUP(1,0/((成型機資料庫!$F$5:$F$7=J66)*(成型機資料庫!$G$5:$G$7=K66)),成型機資料庫!$I$5:$I$7),0)</f>
        <v>0</v>
      </c>
      <c r="U66" s="483">
        <f>IFERROR(LOOKUP(1,0/((成型機資料庫!$F$5:$F$7=J66)*(成型機資料庫!$G$5:$G$7=K66)),成型機資料庫!$J$5:$J$7),0)</f>
        <v>0</v>
      </c>
      <c r="V66" s="900">
        <f>IFERROR(LOOKUP(1,0/((成型機資料庫!$F$5:$F$7=J66)*(成型機資料庫!$G$5:$G$7=K66)),成型機資料庫!$L$5:$L$7),0)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56" s="433" customFormat="1" ht="15.75">
      <c r="A67" s="434">
        <v>113</v>
      </c>
      <c r="B67" s="434"/>
      <c r="C67" s="434">
        <v>23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IFERROR(LOOKUP(1,0/((成型機資料庫!$F$5:$F$7=J67)*(成型機資料庫!$G$5:$G$7=K67)),成型機資料庫!$K$5:$K$7),0)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IFERROR(LOOKUP(1,0/((成型機資料庫!$F$5:$F$7=J67)*(成型機資料庫!$G$5:$G$7=K67)),成型機資料庫!$I$5:$I$7),0)</f>
        <v>0</v>
      </c>
      <c r="U67" s="483">
        <f>IFERROR(LOOKUP(1,0/((成型機資料庫!$F$5:$F$7=J67)*(成型機資料庫!$G$5:$G$7=K67)),成型機資料庫!$J$5:$J$7),0)</f>
        <v>0</v>
      </c>
      <c r="V67" s="900">
        <f>IFERROR(LOOKUP(1,0/((成型機資料庫!$F$5:$F$7=J67)*(成型機資料庫!$G$5:$G$7=K67)),成型機資料庫!$L$5:$L$7),0)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64"/>
      <c r="AF67" s="438"/>
    </row>
    <row r="68" spans="1:56" s="433" customFormat="1" ht="15.75">
      <c r="A68" s="434">
        <v>113</v>
      </c>
      <c r="B68" s="434"/>
      <c r="C68" s="434">
        <v>24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IFERROR(LOOKUP(1,0/((成型機資料庫!$F$5:$F$7=J68)*(成型機資料庫!$G$5:$G$7=K68)),成型機資料庫!$K$5:$K$7),0)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IFERROR(LOOKUP(1,0/((成型機資料庫!$F$5:$F$7=J68)*(成型機資料庫!$G$5:$G$7=K68)),成型機資料庫!$I$5:$I$7),0)</f>
        <v>0</v>
      </c>
      <c r="U68" s="483">
        <f>IFERROR(LOOKUP(1,0/((成型機資料庫!$F$5:$F$7=J68)*(成型機資料庫!$G$5:$G$7=K68)),成型機資料庫!$J$5:$J$7),0)</f>
        <v>0</v>
      </c>
      <c r="V68" s="900">
        <f>IFERROR(LOOKUP(1,0/((成型機資料庫!$F$5:$F$7=J68)*(成型機資料庫!$G$5:$G$7=K68)),成型機資料庫!$L$5:$L$7),0)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56" s="433" customFormat="1" ht="15.75">
      <c r="A69" s="434">
        <v>113</v>
      </c>
      <c r="B69" s="434"/>
      <c r="C69" s="434">
        <v>25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IFERROR(LOOKUP(1,0/((成型機資料庫!$F$5:$F$7=J69)*(成型機資料庫!$G$5:$G$7=K69)),成型機資料庫!$K$5:$K$7),0)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IFERROR(LOOKUP(1,0/((成型機資料庫!$F$5:$F$7=J69)*(成型機資料庫!$G$5:$G$7=K69)),成型機資料庫!$I$5:$I$7),0)</f>
        <v>0</v>
      </c>
      <c r="U69" s="483">
        <f>IFERROR(LOOKUP(1,0/((成型機資料庫!$F$5:$F$7=J69)*(成型機資料庫!$G$5:$G$7=K69)),成型機資料庫!$J$5:$J$7),0)</f>
        <v>0</v>
      </c>
      <c r="V69" s="900">
        <f>IFERROR(LOOKUP(1,0/((成型機資料庫!$F$5:$F$7=J69)*(成型機資料庫!$G$5:$G$7=K69)),成型機資料庫!$L$5:$L$7),0)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64"/>
      <c r="AF69" s="438"/>
    </row>
    <row r="70" spans="1:56" s="433" customFormat="1" ht="15.75">
      <c r="A70" s="434">
        <v>113</v>
      </c>
      <c r="B70" s="434"/>
      <c r="C70" s="434">
        <v>26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IFERROR(LOOKUP(1,0/((成型機資料庫!$F$5:$F$7=J70)*(成型機資料庫!$G$5:$G$7=K70)),成型機資料庫!$K$5:$K$7),0)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IFERROR(LOOKUP(1,0/((成型機資料庫!$F$5:$F$7=J70)*(成型機資料庫!$G$5:$G$7=K70)),成型機資料庫!$I$5:$I$7),0)</f>
        <v>0</v>
      </c>
      <c r="U70" s="483">
        <f>IFERROR(LOOKUP(1,0/((成型機資料庫!$F$5:$F$7=J70)*(成型機資料庫!$G$5:$G$7=K70)),成型機資料庫!$J$5:$J$7),0)</f>
        <v>0</v>
      </c>
      <c r="V70" s="900">
        <f>IFERROR(LOOKUP(1,0/((成型機資料庫!$F$5:$F$7=J70)*(成型機資料庫!$G$5:$G$7=K70)),成型機資料庫!$L$5:$L$7),0)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38"/>
      <c r="AE70" s="464"/>
      <c r="AF70" s="438"/>
    </row>
    <row r="71" spans="1:56" s="433" customFormat="1" ht="15.75">
      <c r="A71" s="434">
        <v>113</v>
      </c>
      <c r="B71" s="434"/>
      <c r="C71" s="434">
        <v>27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IFERROR(LOOKUP(1,0/((成型機資料庫!$F$5:$F$7=J71)*(成型機資料庫!$G$5:$G$7=K71)),成型機資料庫!$K$5:$K$7),0)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IFERROR(LOOKUP(1,0/((成型機資料庫!$F$5:$F$7=J71)*(成型機資料庫!$G$5:$G$7=K71)),成型機資料庫!$I$5:$I$7),0)</f>
        <v>0</v>
      </c>
      <c r="U71" s="483">
        <f>IFERROR(LOOKUP(1,0/((成型機資料庫!$F$5:$F$7=J71)*(成型機資料庫!$G$5:$G$7=K71)),成型機資料庫!$J$5:$J$7),0)</f>
        <v>0</v>
      </c>
      <c r="V71" s="900">
        <f>IFERROR(LOOKUP(1,0/((成型機資料庫!$F$5:$F$7=J71)*(成型機資料庫!$G$5:$G$7=K71)),成型機資料庫!$L$5:$L$7),0)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56" s="433" customFormat="1" ht="15.75">
      <c r="A72" s="434">
        <v>113</v>
      </c>
      <c r="B72" s="581"/>
      <c r="C72" s="581">
        <v>28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IFERROR(LOOKUP(1,0/((成型機資料庫!$F$5:$F$7=J72)*(成型機資料庫!$G$5:$G$7=K72)),成型機資料庫!$K$5:$K$7),0)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IFERROR(LOOKUP(1,0/((成型機資料庫!$F$5:$F$7=J72)*(成型機資料庫!$G$5:$G$7=K72)),成型機資料庫!$I$5:$I$7),0)</f>
        <v>0</v>
      </c>
      <c r="U72" s="483">
        <f>IFERROR(LOOKUP(1,0/((成型機資料庫!$F$5:$F$7=J72)*(成型機資料庫!$G$5:$G$7=K72)),成型機資料庫!$J$5:$J$7),0)</f>
        <v>0</v>
      </c>
      <c r="V72" s="900">
        <f>IFERROR(LOOKUP(1,0/((成型機資料庫!$F$5:$F$7=J72)*(成型機資料庫!$G$5:$G$7=K72)),成型機資料庫!$L$5:$L$7),0)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56" s="433" customFormat="1" ht="15.75">
      <c r="A73" s="434">
        <v>113</v>
      </c>
      <c r="B73" s="581"/>
      <c r="C73" s="581">
        <v>29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IFERROR(LOOKUP(1,0/((成型機資料庫!$F$5:$F$7=J73)*(成型機資料庫!$G$5:$G$7=K73)),成型機資料庫!$K$5:$K$7),0)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IFERROR(LOOKUP(1,0/((成型機資料庫!$F$5:$F$7=J73)*(成型機資料庫!$G$5:$G$7=K73)),成型機資料庫!$I$5:$I$7),0)</f>
        <v>0</v>
      </c>
      <c r="U73" s="483">
        <f>IFERROR(LOOKUP(1,0/((成型機資料庫!$F$5:$F$7=J73)*(成型機資料庫!$G$5:$G$7=K73)),成型機資料庫!$J$5:$J$7),0)</f>
        <v>0</v>
      </c>
      <c r="V73" s="900">
        <f>IFERROR(LOOKUP(1,0/((成型機資料庫!$F$5:$F$7=J73)*(成型機資料庫!$G$5:$G$7=K73)),成型機資料庫!$L$5:$L$7),0)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64"/>
      <c r="AF73" s="438"/>
    </row>
    <row r="74" spans="1:56" s="433" customFormat="1" ht="15.75">
      <c r="A74" s="434">
        <v>113</v>
      </c>
      <c r="B74" s="581"/>
      <c r="C74" s="581">
        <v>30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IFERROR(LOOKUP(1,0/((成型機資料庫!$F$5:$F$7=J74)*(成型機資料庫!$G$5:$G$7=K74)),成型機資料庫!$K$5:$K$7),0)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IFERROR(LOOKUP(1,0/((成型機資料庫!$F$5:$F$7=J74)*(成型機資料庫!$G$5:$G$7=K74)),成型機資料庫!$I$5:$I$7),0)</f>
        <v>0</v>
      </c>
      <c r="U74" s="483">
        <f>IFERROR(LOOKUP(1,0/((成型機資料庫!$F$5:$F$7=J74)*(成型機資料庫!$G$5:$G$7=K74)),成型機資料庫!$J$5:$J$7),0)</f>
        <v>0</v>
      </c>
      <c r="V74" s="900">
        <f>IFERROR(LOOKUP(1,0/((成型機資料庫!$F$5:$F$7=J74)*(成型機資料庫!$G$5:$G$7=K74)),成型機資料庫!$L$5:$L$7),0)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56" s="433" customFormat="1" ht="15.75">
      <c r="A75" s="446"/>
      <c r="B75" s="456"/>
      <c r="C75" s="456"/>
      <c r="D75" s="456"/>
      <c r="E75" s="456"/>
      <c r="F75" s="448"/>
      <c r="G75" s="951"/>
      <c r="H75" s="452"/>
      <c r="I75" s="430"/>
      <c r="J75" s="469"/>
      <c r="K75" s="469"/>
      <c r="L75" s="452"/>
      <c r="M75" s="452"/>
      <c r="N75" s="945"/>
      <c r="O75" s="946"/>
      <c r="P75" s="868"/>
      <c r="Q75" s="467"/>
      <c r="R75" s="948"/>
      <c r="S75" s="936"/>
      <c r="T75" s="936"/>
      <c r="U75" s="936"/>
      <c r="V75" s="945"/>
      <c r="W75" s="936"/>
      <c r="X75" s="947"/>
      <c r="Y75" s="936"/>
      <c r="Z75" s="947"/>
      <c r="AA75" s="488"/>
      <c r="AB75" s="439"/>
      <c r="AC75" s="471"/>
      <c r="AD75" s="452"/>
      <c r="AE75" s="439"/>
      <c r="AF75" s="439"/>
    </row>
    <row r="76" spans="1:56" s="433" customFormat="1" ht="15.75">
      <c r="A76" s="446"/>
      <c r="B76" s="456"/>
      <c r="C76" s="456"/>
      <c r="D76" s="456"/>
      <c r="E76" s="456"/>
      <c r="F76" s="448"/>
      <c r="G76" s="951"/>
      <c r="H76" s="452"/>
      <c r="I76" s="430"/>
      <c r="J76" s="469"/>
      <c r="K76" s="469"/>
      <c r="L76" s="452"/>
      <c r="M76" s="452"/>
      <c r="N76" s="945"/>
      <c r="O76" s="946"/>
      <c r="P76" s="868"/>
      <c r="Q76" s="467"/>
      <c r="R76" s="948"/>
      <c r="S76" s="936"/>
      <c r="T76" s="936"/>
      <c r="U76" s="936"/>
      <c r="V76" s="945"/>
      <c r="W76" s="936"/>
      <c r="X76" s="947"/>
      <c r="Y76" s="936"/>
      <c r="Z76" s="947"/>
      <c r="AA76" s="488"/>
      <c r="AB76" s="439"/>
      <c r="AC76" s="471"/>
      <c r="AD76" s="452"/>
      <c r="AE76" s="439"/>
      <c r="AF76" s="439"/>
    </row>
    <row r="77" spans="1:56" s="433" customFormat="1" thickBot="1">
      <c r="A77" s="446"/>
      <c r="B77" s="446"/>
      <c r="C77" s="446"/>
      <c r="D77" s="446"/>
      <c r="E77" s="446"/>
      <c r="F77" s="448"/>
      <c r="G77" s="448"/>
      <c r="H77" s="430"/>
      <c r="I77" s="430"/>
      <c r="J77" s="430"/>
      <c r="K77" s="430"/>
      <c r="L77" s="439"/>
      <c r="M77" s="452"/>
      <c r="N77" s="452"/>
      <c r="O77" s="457"/>
      <c r="P77" s="466"/>
      <c r="Q77" s="467"/>
      <c r="R77" s="486"/>
      <c r="S77" s="457"/>
      <c r="T77" s="457"/>
      <c r="U77" s="457"/>
      <c r="V77" s="458"/>
      <c r="W77" s="487">
        <f>SUM(W45:W74)</f>
        <v>0</v>
      </c>
      <c r="X77" s="487"/>
      <c r="Y77" s="487"/>
      <c r="Z77" s="487"/>
      <c r="AA77" s="488"/>
      <c r="AB77" s="489"/>
      <c r="AC77" s="489"/>
      <c r="AD77" s="469" t="s">
        <v>46</v>
      </c>
      <c r="AE77" s="439"/>
      <c r="AF77" s="439"/>
    </row>
    <row r="78" spans="1:56" s="469" customFormat="1" ht="31.5">
      <c r="A78" s="479"/>
      <c r="B78" s="479"/>
      <c r="C78" s="479"/>
      <c r="D78" s="479"/>
      <c r="E78" s="479"/>
      <c r="F78" s="452"/>
      <c r="G78" s="524" t="s">
        <v>503</v>
      </c>
      <c r="H78" s="517"/>
      <c r="I78" s="518"/>
      <c r="L78" s="1842" t="s">
        <v>1349</v>
      </c>
      <c r="M78" s="525" t="s">
        <v>1294</v>
      </c>
      <c r="N78" s="525" t="s">
        <v>1295</v>
      </c>
      <c r="O78" s="526" t="s">
        <v>458</v>
      </c>
      <c r="P78" s="520"/>
      <c r="Q78" s="521"/>
      <c r="R78" s="524" t="s">
        <v>504</v>
      </c>
      <c r="S78" s="524" t="s">
        <v>455</v>
      </c>
      <c r="T78" s="521"/>
      <c r="U78" s="521"/>
      <c r="V78" s="524" t="s">
        <v>1293</v>
      </c>
      <c r="W78" s="524" t="s">
        <v>459</v>
      </c>
      <c r="X78" s="521"/>
      <c r="Y78" s="524" t="s">
        <v>1345</v>
      </c>
      <c r="Z78" s="524" t="s">
        <v>1350</v>
      </c>
      <c r="AA78" s="524" t="s">
        <v>1351</v>
      </c>
      <c r="AB78" s="524" t="s">
        <v>1353</v>
      </c>
      <c r="AC78" s="524" t="s">
        <v>1352</v>
      </c>
      <c r="AD78" s="469" t="s">
        <v>253</v>
      </c>
      <c r="AE78" s="452"/>
      <c r="AF78" s="452"/>
    </row>
    <row r="79" spans="1:56" thickBot="1">
      <c r="G79" s="522">
        <f>SUM(G45:G74)</f>
        <v>0</v>
      </c>
      <c r="I79" s="431"/>
      <c r="J79" s="518"/>
      <c r="K79" s="518"/>
      <c r="L79" s="1843"/>
      <c r="M79" s="522">
        <f>SUM(M45:M74)</f>
        <v>0</v>
      </c>
      <c r="N79" s="522">
        <f>SUM(N45:N74)</f>
        <v>0</v>
      </c>
      <c r="O79" s="902">
        <f>SUM(O45:O74)</f>
        <v>0</v>
      </c>
      <c r="P79" s="470"/>
      <c r="R79" s="924">
        <f>SUM(R45:R74)</f>
        <v>0</v>
      </c>
      <c r="S79" s="897" t="e">
        <f>(G79-R79)/G79</f>
        <v>#DIV/0!</v>
      </c>
      <c r="T79" s="446"/>
      <c r="U79" s="446"/>
      <c r="V79" s="686" t="e">
        <f>N79/W79</f>
        <v>#DIV/0!</v>
      </c>
      <c r="W79" s="516" t="e">
        <f>W77/Y79</f>
        <v>#DIV/0!</v>
      </c>
      <c r="X79" s="446"/>
      <c r="Y79" s="516"/>
      <c r="Z79" s="958">
        <f>SUM(Z45:Z74)</f>
        <v>0</v>
      </c>
      <c r="AA79" s="516">
        <f>SUM(AA45:AA74)</f>
        <v>0</v>
      </c>
      <c r="AB79" s="516">
        <f>Z79-AA79</f>
        <v>0</v>
      </c>
      <c r="AC79" s="896" t="e">
        <f>AA79/Z79</f>
        <v>#DIV/0!</v>
      </c>
    </row>
    <row r="80" spans="1:56" s="455" customFormat="1">
      <c r="A80" s="446"/>
      <c r="B80" s="446"/>
      <c r="C80" s="446"/>
      <c r="D80" s="446"/>
      <c r="E80" s="446"/>
      <c r="F80" s="433"/>
      <c r="G80" s="454"/>
      <c r="H80" s="449"/>
      <c r="I80" s="450"/>
      <c r="J80" s="450"/>
      <c r="K80" s="450"/>
      <c r="L80" s="446"/>
      <c r="M80" s="446"/>
      <c r="N80" s="446"/>
      <c r="O80" s="472"/>
      <c r="Q80" s="446"/>
      <c r="R80" s="441"/>
      <c r="S80" s="440"/>
      <c r="T80" s="440"/>
      <c r="U80" s="440"/>
      <c r="V80" s="456"/>
      <c r="W80"/>
      <c r="X80"/>
      <c r="Y80"/>
      <c r="Z80"/>
      <c r="AA80" s="445"/>
      <c r="AB80" s="432"/>
      <c r="AC80" s="432"/>
      <c r="AD80" s="451"/>
      <c r="AE80" s="433"/>
      <c r="AF80" s="433"/>
      <c r="AG80" s="446"/>
      <c r="AH80" s="446"/>
      <c r="AI80" s="446"/>
      <c r="AJ80" s="446"/>
      <c r="AK80" s="446"/>
      <c r="AL80" s="446"/>
      <c r="AM80" s="446"/>
      <c r="AN80" s="446"/>
      <c r="AO80" s="446"/>
      <c r="AP80" s="446"/>
      <c r="AQ80" s="446"/>
      <c r="AR80" s="446"/>
      <c r="AS80" s="446"/>
      <c r="AT80" s="446"/>
      <c r="AU80" s="446"/>
      <c r="AV80" s="446"/>
      <c r="AW80" s="446"/>
      <c r="AX80" s="446"/>
      <c r="AY80" s="446"/>
      <c r="AZ80" s="446"/>
      <c r="BA80" s="446"/>
      <c r="BB80" s="446"/>
      <c r="BC80" s="446"/>
      <c r="BD80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43:AF44"/>
    <mergeCell ref="L78:L79"/>
    <mergeCell ref="X43:X44"/>
    <mergeCell ref="Y43:Y44"/>
    <mergeCell ref="Z43:Z44"/>
    <mergeCell ref="AA43:AA44"/>
    <mergeCell ref="AB43:AC43"/>
    <mergeCell ref="AD43:AD44"/>
    <mergeCell ref="R43:R44"/>
    <mergeCell ref="S43:S44"/>
    <mergeCell ref="T43:T44"/>
    <mergeCell ref="U43:U44"/>
    <mergeCell ref="V43:V44"/>
    <mergeCell ref="W43:W44"/>
    <mergeCell ref="L43:L44"/>
    <mergeCell ref="P43:P44"/>
    <mergeCell ref="AB2:AC2"/>
    <mergeCell ref="AD2:AD3"/>
    <mergeCell ref="AE2:AE3"/>
    <mergeCell ref="M43:M44"/>
    <mergeCell ref="N43:N44"/>
    <mergeCell ref="O43:O44"/>
    <mergeCell ref="Q43:Q44"/>
    <mergeCell ref="AE43:AE44"/>
    <mergeCell ref="AF2:AF3"/>
    <mergeCell ref="L39:L40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3:A44"/>
    <mergeCell ref="B43:B44"/>
    <mergeCell ref="C43:C44"/>
    <mergeCell ref="D43:D44"/>
    <mergeCell ref="E43:E44"/>
    <mergeCell ref="K43:K44"/>
    <mergeCell ref="F43:F44"/>
    <mergeCell ref="G43:G44"/>
    <mergeCell ref="H43:H44"/>
    <mergeCell ref="I43:I44"/>
    <mergeCell ref="J43:J44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2">
    <cfRule type="cellIs" dxfId="854" priority="3" stopIfTrue="1" operator="equal">
      <formula>"未開機"</formula>
    </cfRule>
  </conditionalFormatting>
  <conditionalFormatting sqref="R45:U76">
    <cfRule type="expression" dxfId="853" priority="1" stopIfTrue="1">
      <formula>R45=0</formula>
    </cfRule>
  </conditionalFormatting>
  <conditionalFormatting sqref="W6:W37">
    <cfRule type="cellIs" dxfId="852" priority="34" stopIfTrue="1" operator="between">
      <formula>0.851</formula>
      <formula>1</formula>
    </cfRule>
    <cfRule type="cellIs" dxfId="851" priority="33" stopIfTrue="1" operator="lessThan">
      <formula>0.7</formula>
    </cfRule>
    <cfRule type="expression" dxfId="850" priority="32" stopIfTrue="1">
      <formula>W6=0</formula>
    </cfRule>
    <cfRule type="expression" dxfId="849" priority="36" stopIfTrue="1">
      <formula>W6=0</formula>
    </cfRule>
    <cfRule type="cellIs" dxfId="848" priority="35" stopIfTrue="1" operator="between">
      <formula>0.7</formula>
      <formula>0.85</formula>
    </cfRule>
  </conditionalFormatting>
  <conditionalFormatting sqref="W45:W76">
    <cfRule type="expression" dxfId="847" priority="15" stopIfTrue="1">
      <formula>W45=0</formula>
    </cfRule>
    <cfRule type="cellIs" dxfId="846" priority="16" stopIfTrue="1" operator="lessThan">
      <formula>0.7</formula>
    </cfRule>
    <cfRule type="cellIs" dxfId="845" priority="17" stopIfTrue="1" operator="between">
      <formula>0.851</formula>
      <formula>1</formula>
    </cfRule>
    <cfRule type="cellIs" dxfId="844" priority="18" stopIfTrue="1" operator="between">
      <formula>0.7</formula>
      <formula>0.85</formula>
    </cfRule>
    <cfRule type="expression" dxfId="843" priority="19" stopIfTrue="1">
      <formula>W45=0</formula>
    </cfRule>
  </conditionalFormatting>
  <conditionalFormatting sqref="W4:Y4 S4:U4 T5:U35 R6:S35 Z6:Z37 R36:U37">
    <cfRule type="expression" dxfId="842" priority="40" stopIfTrue="1">
      <formula>R4=0</formula>
    </cfRule>
  </conditionalFormatting>
  <conditionalFormatting sqref="W4:Y4">
    <cfRule type="cellIs" dxfId="841" priority="37" stopIfTrue="1" operator="lessThan">
      <formula>0.7</formula>
    </cfRule>
    <cfRule type="cellIs" dxfId="840" priority="38" stopIfTrue="1" operator="between">
      <formula>0.851</formula>
      <formula>1</formula>
    </cfRule>
    <cfRule type="cellIs" dxfId="839" priority="39" stopIfTrue="1" operator="between">
      <formula>0.7</formula>
      <formula>0.85</formula>
    </cfRule>
  </conditionalFormatting>
  <conditionalFormatting sqref="X7:X37">
    <cfRule type="cellIs" dxfId="838" priority="22" stopIfTrue="1" operator="lessThan">
      <formula>0.7</formula>
    </cfRule>
    <cfRule type="cellIs" dxfId="837" priority="23" stopIfTrue="1" operator="between">
      <formula>0.851</formula>
      <formula>1</formula>
    </cfRule>
    <cfRule type="cellIs" dxfId="836" priority="24" stopIfTrue="1" operator="between">
      <formula>0.7</formula>
      <formula>0.85</formula>
    </cfRule>
    <cfRule type="expression" dxfId="835" priority="25" stopIfTrue="1">
      <formula>X7=0</formula>
    </cfRule>
    <cfRule type="expression" dxfId="834" priority="21" stopIfTrue="1">
      <formula>X7=0</formula>
    </cfRule>
  </conditionalFormatting>
  <conditionalFormatting sqref="X46:X76">
    <cfRule type="expression" dxfId="833" priority="4" stopIfTrue="1">
      <formula>X46=0</formula>
    </cfRule>
    <cfRule type="cellIs" dxfId="832" priority="5" stopIfTrue="1" operator="lessThan">
      <formula>0.7</formula>
    </cfRule>
    <cfRule type="cellIs" dxfId="831" priority="6" stopIfTrue="1" operator="between">
      <formula>0.851</formula>
      <formula>1</formula>
    </cfRule>
    <cfRule type="cellIs" dxfId="830" priority="7" stopIfTrue="1" operator="between">
      <formula>0.7</formula>
      <formula>0.85</formula>
    </cfRule>
    <cfRule type="expression" dxfId="829" priority="8" stopIfTrue="1">
      <formula>X46=0</formula>
    </cfRule>
  </conditionalFormatting>
  <conditionalFormatting sqref="X6:Y6 Y7:Y37">
    <cfRule type="expression" dxfId="828" priority="27" stopIfTrue="1">
      <formula>X6=0</formula>
    </cfRule>
    <cfRule type="cellIs" dxfId="827" priority="28" stopIfTrue="1" operator="lessThan">
      <formula>0.7</formula>
    </cfRule>
    <cfRule type="cellIs" dxfId="826" priority="29" stopIfTrue="1" operator="between">
      <formula>0.851</formula>
      <formula>1</formula>
    </cfRule>
    <cfRule type="cellIs" dxfId="825" priority="30" stopIfTrue="1" operator="between">
      <formula>0.7</formula>
      <formula>0.85</formula>
    </cfRule>
    <cfRule type="expression" dxfId="824" priority="31" stopIfTrue="1">
      <formula>X6=0</formula>
    </cfRule>
  </conditionalFormatting>
  <conditionalFormatting sqref="X45:Y45 Y46:Y76">
    <cfRule type="expression" dxfId="823" priority="10" stopIfTrue="1">
      <formula>X45=0</formula>
    </cfRule>
    <cfRule type="expression" dxfId="822" priority="14" stopIfTrue="1">
      <formula>X45=0</formula>
    </cfRule>
    <cfRule type="cellIs" dxfId="821" priority="13" stopIfTrue="1" operator="between">
      <formula>0.7</formula>
      <formula>0.85</formula>
    </cfRule>
    <cfRule type="cellIs" dxfId="820" priority="12" stopIfTrue="1" operator="between">
      <formula>0.851</formula>
      <formula>1</formula>
    </cfRule>
    <cfRule type="cellIs" dxfId="819" priority="11" stopIfTrue="1" operator="lessThan">
      <formula>0.7</formula>
    </cfRule>
  </conditionalFormatting>
  <conditionalFormatting sqref="Y6:Y37">
    <cfRule type="cellIs" dxfId="818" priority="26" stopIfTrue="1" operator="greaterThan">
      <formula>1</formula>
    </cfRule>
  </conditionalFormatting>
  <conditionalFormatting sqref="Y45:Y76">
    <cfRule type="cellIs" dxfId="817" priority="9" stopIfTrue="1" operator="greaterThan">
      <formula>1</formula>
    </cfRule>
  </conditionalFormatting>
  <conditionalFormatting sqref="Z45:Z76">
    <cfRule type="expression" dxfId="816" priority="20" stopIfTrue="1">
      <formula>Z45=0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DEF2B4B-F695-48EA-B6A8-9778BE2959F3}">
          <x14:formula1>
            <xm:f>規格清單!$B$22</xm:f>
          </x14:formula1>
          <xm:sqref>J45:J74 J4:J35</xm:sqref>
        </x14:dataValidation>
        <x14:dataValidation type="list" allowBlank="1" showInputMessage="1" showErrorMessage="1" xr:uid="{654BD700-3950-4B99-91F1-24279B52A8AB}">
          <x14:formula1>
            <xm:f>成型機資料庫!$A$9:$A$11</xm:f>
          </x14:formula1>
          <xm:sqref>K4:K35 K45:K74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679F-0CD1-4EFA-B90B-BBA4CF6CB694}">
  <dimension ref="A1:BD91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454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689</v>
      </c>
      <c r="I4" s="429" t="s">
        <v>258</v>
      </c>
      <c r="J4" s="429" t="s">
        <v>1478</v>
      </c>
      <c r="K4" s="429" t="s">
        <v>1301</v>
      </c>
      <c r="L4" s="464">
        <v>150</v>
      </c>
      <c r="M4" s="464"/>
      <c r="N4" s="464"/>
      <c r="O4" s="443">
        <f>L4*M4</f>
        <v>0</v>
      </c>
      <c r="P4" s="461">
        <v>2.4</v>
      </c>
      <c r="Q4" s="438">
        <f>IFERROR(LOOKUP(1,0/((成型機資料庫!$F$8:$F$43=J4)*(成型機資料庫!$G$8:$G$43=K4)),成型機資料庫!$K$8:$K$43),0)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IFERROR(LOOKUP(1,0/((成型機資料庫!$F$8:$F$43=J4)*(成型機資料庫!$G$8:$G$43=K4)),成型機資料庫!$I$8:$I$43),0)</f>
        <v>56</v>
      </c>
      <c r="U4" s="483">
        <f>IFERROR(LOOKUP(1,0/((成型機資料庫!$F$8:$F$43=J4)*(成型機資料庫!$G$8:$G$43=K4)),成型機資料庫!$J$8:$J$43),0)</f>
        <v>10.5</v>
      </c>
      <c r="V4" s="900">
        <f>IFERROR(LOOKUP(1,0/((成型機資料庫!$F$8:$F$43=J4)*(成型機資料庫!$G$8:$G$43=K4)),成型機資料庫!$L$8:$L$43),0)</f>
        <v>388.08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721</v>
      </c>
      <c r="I5" s="429" t="s">
        <v>252</v>
      </c>
      <c r="J5" s="429" t="s">
        <v>1479</v>
      </c>
      <c r="K5" s="429" t="s">
        <v>1301</v>
      </c>
      <c r="L5" s="464">
        <v>210</v>
      </c>
      <c r="M5" s="464"/>
      <c r="N5" s="464"/>
      <c r="O5" s="443"/>
      <c r="P5" s="461">
        <v>3.6</v>
      </c>
      <c r="Q5" s="438">
        <f>IFERROR(LOOKUP(1,0/((成型機資料庫!$F$8:$F$43=J5)*(成型機資料庫!$G$8:$G$43=K5)),成型機資料庫!$K$8:$K$43),0)</f>
        <v>1000</v>
      </c>
      <c r="R5" s="477"/>
      <c r="S5" s="898"/>
      <c r="T5" s="482">
        <f>IFERROR(LOOKUP(1,0/((成型機資料庫!$F$8:$F$43=J5)*(成型機資料庫!$G$8:$G$43=K5)),成型機資料庫!$I$8:$I$43),0)</f>
        <v>56</v>
      </c>
      <c r="U5" s="483">
        <f>IFERROR(LOOKUP(1,0/((成型機資料庫!$F$8:$F$43=J5)*(成型機資料庫!$G$8:$G$43=K5)),成型機資料庫!$J$8:$J$43),0)</f>
        <v>10.5</v>
      </c>
      <c r="V5" s="900">
        <f>IFERROR(LOOKUP(1,0/((成型機資料庫!$F$8:$F$43=J5)*(成型機資料庫!$G$8:$G$43=K5)),成型機資料庫!$L$8:$L$43),0)</f>
        <v>388.08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875</v>
      </c>
      <c r="I6" s="429" t="s">
        <v>1355</v>
      </c>
      <c r="J6" s="429" t="s">
        <v>1376</v>
      </c>
      <c r="K6" s="429" t="s">
        <v>1301</v>
      </c>
      <c r="L6" s="438">
        <v>150</v>
      </c>
      <c r="M6" s="464"/>
      <c r="N6" s="464"/>
      <c r="O6" s="443"/>
      <c r="P6" s="461">
        <v>2.8</v>
      </c>
      <c r="Q6" s="438">
        <f>IFERROR(LOOKUP(1,0/((成型機資料庫!$F$8:$F$43=J6)*(成型機資料庫!$G$8:$G$43=K6)),成型機資料庫!$K$8:$K$43),0)</f>
        <v>1000</v>
      </c>
      <c r="R6" s="477"/>
      <c r="S6" s="898"/>
      <c r="T6" s="482">
        <f>IFERROR(LOOKUP(1,0/((成型機資料庫!$F$8:$F$43=J6)*(成型機資料庫!$G$8:$G$43=K6)),成型機資料庫!$I$8:$I$43),0)</f>
        <v>56</v>
      </c>
      <c r="U6" s="483">
        <f>IFERROR(LOOKUP(1,0/((成型機資料庫!$F$8:$F$43=J6)*(成型機資料庫!$G$8:$G$43=K6)),成型機資料庫!$J$8:$J$43),0)</f>
        <v>10.7</v>
      </c>
      <c r="V6" s="900">
        <f>IFERROR(LOOKUP(1,0/((成型機資料庫!$F$8:$F$43=J6)*(成型機資料庫!$G$8:$G$43=K6)),成型機資料庫!$L$8:$L$43),0)</f>
        <v>395.47199999999992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721</v>
      </c>
      <c r="I7" s="429" t="s">
        <v>1356</v>
      </c>
      <c r="J7" s="429" t="s">
        <v>1469</v>
      </c>
      <c r="K7" s="429" t="s">
        <v>1301</v>
      </c>
      <c r="L7" s="464">
        <v>210</v>
      </c>
      <c r="M7" s="464"/>
      <c r="N7" s="464"/>
      <c r="O7" s="443"/>
      <c r="P7" s="461">
        <v>3.8</v>
      </c>
      <c r="Q7" s="438">
        <f>IFERROR(LOOKUP(1,0/((成型機資料庫!$F$8:$F$43=J7)*(成型機資料庫!$G$8:$G$43=K7)),成型機資料庫!$K$8:$K$43),0)</f>
        <v>1000</v>
      </c>
      <c r="R7" s="477"/>
      <c r="S7" s="898"/>
      <c r="T7" s="482">
        <f>IFERROR(LOOKUP(1,0/((成型機資料庫!$F$8:$F$43=J7)*(成型機資料庫!$G$8:$G$43=K7)),成型機資料庫!$I$8:$I$43),0)</f>
        <v>56</v>
      </c>
      <c r="U7" s="483">
        <f>IFERROR(LOOKUP(1,0/((成型機資料庫!$F$8:$F$43=J7)*(成型機資料庫!$G$8:$G$43=K7)),成型機資料庫!$J$8:$J$43),0)</f>
        <v>10.7</v>
      </c>
      <c r="V7" s="900">
        <f>IFERROR(LOOKUP(1,0/((成型機資料庫!$F$8:$F$43=J7)*(成型機資料庫!$G$8:$G$43=K7)),成型機資料庫!$L$8:$L$43),0)</f>
        <v>395.47199999999992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58</v>
      </c>
      <c r="G8" s="464"/>
      <c r="H8" s="464" t="s">
        <v>1357</v>
      </c>
      <c r="I8" s="429" t="s">
        <v>696</v>
      </c>
      <c r="J8" s="429" t="s">
        <v>1480</v>
      </c>
      <c r="K8" s="429" t="s">
        <v>1301</v>
      </c>
      <c r="L8" s="438">
        <v>150</v>
      </c>
      <c r="M8" s="464"/>
      <c r="N8" s="464"/>
      <c r="O8" s="443"/>
      <c r="P8" s="461">
        <v>3.4</v>
      </c>
      <c r="Q8" s="438">
        <f>IFERROR(LOOKUP(1,0/((成型機資料庫!$F$8:$F$43=J8)*(成型機資料庫!$G$8:$G$43=K8)),成型機資料庫!$K$8:$K$43),0)</f>
        <v>1000</v>
      </c>
      <c r="R8" s="477"/>
      <c r="S8" s="898"/>
      <c r="T8" s="482">
        <f>IFERROR(LOOKUP(1,0/((成型機資料庫!$F$8:$F$43=J8)*(成型機資料庫!$G$8:$G$43=K8)),成型機資料庫!$I$8:$I$43),0)</f>
        <v>56</v>
      </c>
      <c r="U8" s="483">
        <f>IFERROR(LOOKUP(1,0/((成型機資料庫!$F$8:$F$43=J8)*(成型機資料庫!$G$8:$G$43=K8)),成型機資料庫!$J$8:$J$43),0)</f>
        <v>9.5</v>
      </c>
      <c r="V8" s="900">
        <f>IFERROR(LOOKUP(1,0/((成型機資料庫!$F$8:$F$43=J8)*(成型機資料庫!$G$8:$G$43=K8)),成型機資料庫!$L$8:$L$43),0)</f>
        <v>351.12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5" t="s">
        <v>58</v>
      </c>
      <c r="G9" s="464"/>
      <c r="H9" s="464" t="s">
        <v>1357</v>
      </c>
      <c r="I9" s="429" t="s">
        <v>417</v>
      </c>
      <c r="J9" s="429" t="s">
        <v>1480</v>
      </c>
      <c r="K9" s="429" t="s">
        <v>1301</v>
      </c>
      <c r="L9" s="438">
        <v>150</v>
      </c>
      <c r="M9" s="464"/>
      <c r="N9" s="464"/>
      <c r="O9" s="443"/>
      <c r="P9" s="461">
        <v>3.6</v>
      </c>
      <c r="Q9" s="438">
        <f>IFERROR(LOOKUP(1,0/((成型機資料庫!$F$8:$F$43=J9)*(成型機資料庫!$G$8:$G$43=K9)),成型機資料庫!$K$8:$K$43),0)</f>
        <v>1000</v>
      </c>
      <c r="R9" s="477"/>
      <c r="S9" s="898"/>
      <c r="T9" s="482">
        <f>IFERROR(LOOKUP(1,0/((成型機資料庫!$F$8:$F$43=J9)*(成型機資料庫!$G$8:$G$43=K9)),成型機資料庫!$I$8:$I$43),0)</f>
        <v>56</v>
      </c>
      <c r="U9" s="483">
        <f>IFERROR(LOOKUP(1,0/((成型機資料庫!$F$8:$F$43=J9)*(成型機資料庫!$G$8:$G$43=K9)),成型機資料庫!$J$8:$J$43),0)</f>
        <v>9.5</v>
      </c>
      <c r="V9" s="900">
        <f>IFERROR(LOOKUP(1,0/((成型機資料庫!$F$8:$F$43=J9)*(成型機資料庫!$G$8:$G$43=K9)),成型機資料庫!$L$8:$L$43),0)</f>
        <v>351.12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5" t="s">
        <v>58</v>
      </c>
      <c r="G10" s="464"/>
      <c r="H10" s="464" t="s">
        <v>1125</v>
      </c>
      <c r="I10" s="530" t="s">
        <v>1237</v>
      </c>
      <c r="J10" s="530" t="s">
        <v>1481</v>
      </c>
      <c r="K10" s="429" t="s">
        <v>1301</v>
      </c>
      <c r="L10" s="464">
        <v>150</v>
      </c>
      <c r="M10" s="464"/>
      <c r="N10" s="464"/>
      <c r="O10" s="443"/>
      <c r="P10" s="473">
        <v>2.2000000000000002</v>
      </c>
      <c r="Q10" s="438">
        <f>IFERROR(LOOKUP(1,0/((成型機資料庫!$F$8:$F$43=J10)*(成型機資料庫!$G$8:$G$43=K10)),成型機資料庫!$K$8:$K$43),0)</f>
        <v>1000</v>
      </c>
      <c r="R10" s="477"/>
      <c r="S10" s="898"/>
      <c r="T10" s="482">
        <f>IFERROR(LOOKUP(1,0/((成型機資料庫!$F$8:$F$43=J10)*(成型機資料庫!$G$8:$G$43=K10)),成型機資料庫!$I$8:$I$43),0)</f>
        <v>56</v>
      </c>
      <c r="U10" s="483">
        <f>IFERROR(LOOKUP(1,0/((成型機資料庫!$F$8:$F$43=J10)*(成型機資料庫!$G$8:$G$43=K10)),成型機資料庫!$J$8:$J$43),0)</f>
        <v>10.9</v>
      </c>
      <c r="V10" s="900">
        <f>IFERROR(LOOKUP(1,0/((成型機資料庫!$F$8:$F$43=J10)*(成型機資料庫!$G$8:$G$43=K10)),成型機資料庫!$L$8:$L$43),0)</f>
        <v>402.86399999999998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ht="15.75">
      <c r="A11" s="434"/>
      <c r="B11" s="434"/>
      <c r="C11" s="434"/>
      <c r="D11" s="434"/>
      <c r="E11" s="434"/>
      <c r="F11" s="435" t="s">
        <v>58</v>
      </c>
      <c r="G11" s="464"/>
      <c r="H11" s="464" t="s">
        <v>689</v>
      </c>
      <c r="I11" s="429" t="s">
        <v>442</v>
      </c>
      <c r="J11" s="429" t="s">
        <v>1482</v>
      </c>
      <c r="K11" s="429" t="s">
        <v>1301</v>
      </c>
      <c r="L11" s="438">
        <f>0.1*1000</f>
        <v>100</v>
      </c>
      <c r="M11" s="464"/>
      <c r="N11" s="464"/>
      <c r="O11" s="443"/>
      <c r="P11" s="461">
        <v>0.6</v>
      </c>
      <c r="Q11" s="438">
        <f>IFERROR(LOOKUP(1,0/((成型機資料庫!$F$8:$F$43=J11)*(成型機資料庫!$G$8:$G$43=K11)),成型機資料庫!$K$8:$K$43),0)</f>
        <v>2500</v>
      </c>
      <c r="R11" s="477"/>
      <c r="S11" s="898"/>
      <c r="T11" s="482">
        <f>IFERROR(LOOKUP(1,0/((成型機資料庫!$F$8:$F$43=J11)*(成型機資料庫!$G$8:$G$43=K11)),成型機資料庫!$I$8:$I$43),0)</f>
        <v>156</v>
      </c>
      <c r="U11" s="483">
        <f>IFERROR(LOOKUP(1,0/((成型機資料庫!$F$8:$F$43=J11)*(成型機資料庫!$G$8:$G$43=K11)),成型機資料庫!$J$8:$J$43),0)</f>
        <v>8.3000000000000007</v>
      </c>
      <c r="V11" s="900">
        <f>IFERROR(LOOKUP(1,0/((成型機資料庫!$F$8:$F$43=J11)*(成型機資料庫!$G$8:$G$43=K11)),成型機資料庫!$L$8:$L$43),0)</f>
        <v>341.82720000000006</v>
      </c>
      <c r="W11" s="898"/>
      <c r="X11" s="898"/>
      <c r="Y11" s="898"/>
      <c r="Z11" s="485"/>
      <c r="AA11" s="478"/>
      <c r="AB11" s="438"/>
      <c r="AC11" s="482"/>
      <c r="AD11" s="536"/>
      <c r="AE11" s="438"/>
      <c r="AF11" s="438"/>
    </row>
    <row r="12" spans="1:56" s="439" customFormat="1" ht="15.75">
      <c r="A12" s="434"/>
      <c r="B12" s="434"/>
      <c r="C12" s="434"/>
      <c r="D12" s="434"/>
      <c r="E12" s="434"/>
      <c r="F12" s="435" t="s">
        <v>58</v>
      </c>
      <c r="G12" s="464"/>
      <c r="H12" s="464" t="s">
        <v>1125</v>
      </c>
      <c r="I12" s="429" t="s">
        <v>1358</v>
      </c>
      <c r="J12" s="429" t="s">
        <v>1483</v>
      </c>
      <c r="K12" s="429" t="s">
        <v>1301</v>
      </c>
      <c r="L12" s="438">
        <v>150</v>
      </c>
      <c r="M12" s="464"/>
      <c r="N12" s="464"/>
      <c r="O12" s="443"/>
      <c r="P12" s="461">
        <v>3.3</v>
      </c>
      <c r="Q12" s="438">
        <f>IFERROR(LOOKUP(1,0/((成型機資料庫!$F$8:$F$43=J12)*(成型機資料庫!$G$8:$G$43=K12)),成型機資料庫!$K$8:$K$43),0)</f>
        <v>600</v>
      </c>
      <c r="R12" s="477"/>
      <c r="S12" s="898"/>
      <c r="T12" s="482">
        <f>IFERROR(LOOKUP(1,0/((成型機資料庫!$F$8:$F$43=J12)*(成型機資料庫!$G$8:$G$43=K12)),成型機資料庫!$I$8:$I$43),0)</f>
        <v>36</v>
      </c>
      <c r="U12" s="483">
        <f>IFERROR(LOOKUP(1,0/((成型機資料庫!$F$8:$F$43=J12)*(成型機資料庫!$G$8:$G$43=K12)),成型機資料庫!$J$8:$J$43),0)</f>
        <v>7.8</v>
      </c>
      <c r="V12" s="900">
        <f>IFERROR(LOOKUP(1,0/((成型機資料庫!$F$8:$F$43=J12)*(成型機資料庫!$G$8:$G$43=K12)),成型機資料庫!$L$8:$L$43),0)</f>
        <v>308.88</v>
      </c>
      <c r="W12" s="898"/>
      <c r="X12" s="898"/>
      <c r="Y12" s="898"/>
      <c r="Z12" s="485"/>
      <c r="AA12" s="478"/>
      <c r="AB12" s="438"/>
      <c r="AC12" s="482"/>
      <c r="AD12" s="536"/>
      <c r="AE12" s="438"/>
      <c r="AF12" s="438"/>
    </row>
    <row r="13" spans="1:56" s="439" customFormat="1" ht="15.75">
      <c r="A13" s="434"/>
      <c r="B13" s="434"/>
      <c r="C13" s="434"/>
      <c r="D13" s="434"/>
      <c r="E13" s="434"/>
      <c r="F13" s="435" t="s">
        <v>58</v>
      </c>
      <c r="G13" s="464"/>
      <c r="H13" s="464" t="s">
        <v>1127</v>
      </c>
      <c r="I13" s="429" t="s">
        <v>1359</v>
      </c>
      <c r="J13" s="429" t="s">
        <v>1484</v>
      </c>
      <c r="K13" s="429" t="s">
        <v>1301</v>
      </c>
      <c r="L13" s="438">
        <v>150</v>
      </c>
      <c r="M13" s="464"/>
      <c r="N13" s="464"/>
      <c r="O13" s="443"/>
      <c r="P13" s="461">
        <v>5.2</v>
      </c>
      <c r="Q13" s="438">
        <f>IFERROR(LOOKUP(1,0/((成型機資料庫!$F$8:$F$43=J13)*(成型機資料庫!$G$8:$G$43=K13)),成型機資料庫!$K$8:$K$43),0)</f>
        <v>500</v>
      </c>
      <c r="R13" s="477"/>
      <c r="S13" s="898"/>
      <c r="T13" s="482">
        <f>IFERROR(LOOKUP(1,0/((成型機資料庫!$F$8:$F$43=J13)*(成型機資料庫!$G$8:$G$43=K13)),成型機資料庫!$I$8:$I$43),0)</f>
        <v>36</v>
      </c>
      <c r="U13" s="483">
        <f>IFERROR(LOOKUP(1,0/((成型機資料庫!$F$8:$F$43=J13)*(成型機資料庫!$G$8:$G$43=K13)),成型機資料庫!$J$8:$J$43),0)</f>
        <v>9</v>
      </c>
      <c r="V13" s="900">
        <f>IFERROR(LOOKUP(1,0/((成型機資料庫!$F$8:$F$43=J13)*(成型機資料庫!$G$8:$G$43=K13)),成型機資料庫!$L$8:$L$43),0)</f>
        <v>427.68</v>
      </c>
      <c r="W13" s="898"/>
      <c r="X13" s="898"/>
      <c r="Y13" s="898"/>
      <c r="Z13" s="485"/>
      <c r="AA13" s="478"/>
      <c r="AB13" s="438"/>
      <c r="AC13" s="482"/>
      <c r="AD13" s="536"/>
      <c r="AE13" s="438"/>
      <c r="AF13" s="438"/>
    </row>
    <row r="14" spans="1:56" s="439" customFormat="1" ht="15.75">
      <c r="A14" s="434"/>
      <c r="B14" s="434"/>
      <c r="C14" s="434"/>
      <c r="D14" s="434"/>
      <c r="E14" s="434"/>
      <c r="F14" s="435" t="s">
        <v>58</v>
      </c>
      <c r="G14" s="464"/>
      <c r="H14" s="464" t="s">
        <v>1125</v>
      </c>
      <c r="I14" s="429" t="s">
        <v>443</v>
      </c>
      <c r="J14" s="429" t="s">
        <v>1485</v>
      </c>
      <c r="K14" s="429" t="s">
        <v>1301</v>
      </c>
      <c r="L14" s="438">
        <v>150</v>
      </c>
      <c r="M14" s="464"/>
      <c r="N14" s="464"/>
      <c r="O14" s="443"/>
      <c r="P14" s="461">
        <v>3</v>
      </c>
      <c r="Q14" s="438">
        <f>IFERROR(LOOKUP(1,0/((成型機資料庫!$F$8:$F$43=J14)*(成型機資料庫!$G$8:$G$43=K14)),成型機資料庫!$K$8:$K$43),0)</f>
        <v>500</v>
      </c>
      <c r="R14" s="477"/>
      <c r="S14" s="898"/>
      <c r="T14" s="482">
        <f>IFERROR(LOOKUP(1,0/((成型機資料庫!$F$8:$F$43=J14)*(成型機資料庫!$G$8:$G$43=K14)),成型機資料庫!$I$8:$I$43),0)</f>
        <v>36</v>
      </c>
      <c r="U14" s="483">
        <f>IFERROR(LOOKUP(1,0/((成型機資料庫!$F$8:$F$43=J14)*(成型機資料庫!$G$8:$G$43=K14)),成型機資料庫!$J$8:$J$43),0)</f>
        <v>7.7</v>
      </c>
      <c r="V14" s="900">
        <f>IFERROR(LOOKUP(1,0/((成型機資料庫!$F$8:$F$43=J14)*(成型機資料庫!$G$8:$G$43=K14)),成型機資料庫!$L$8:$L$43),0)</f>
        <v>365.904</v>
      </c>
      <c r="W14" s="898"/>
      <c r="X14" s="898"/>
      <c r="Y14" s="898"/>
      <c r="Z14" s="485"/>
      <c r="AA14" s="478"/>
      <c r="AB14" s="438"/>
      <c r="AC14" s="482"/>
      <c r="AD14" s="536"/>
      <c r="AE14" s="438"/>
      <c r="AF14" s="438"/>
    </row>
    <row r="15" spans="1:56" s="439" customFormat="1" ht="15.75">
      <c r="A15" s="434"/>
      <c r="B15" s="434"/>
      <c r="C15" s="434"/>
      <c r="D15" s="434"/>
      <c r="E15" s="434"/>
      <c r="F15" s="435" t="s">
        <v>58</v>
      </c>
      <c r="G15" s="464"/>
      <c r="H15" s="464" t="s">
        <v>1125</v>
      </c>
      <c r="I15" s="429" t="s">
        <v>444</v>
      </c>
      <c r="J15" s="429" t="s">
        <v>1483</v>
      </c>
      <c r="K15" s="429" t="s">
        <v>1301</v>
      </c>
      <c r="L15" s="438">
        <v>150</v>
      </c>
      <c r="M15" s="464"/>
      <c r="N15" s="464"/>
      <c r="O15" s="443">
        <f t="shared" ref="O15:O46" si="0">L15*M15</f>
        <v>0</v>
      </c>
      <c r="P15" s="461">
        <v>3.3</v>
      </c>
      <c r="Q15" s="438">
        <f>IFERROR(LOOKUP(1,0/((成型機資料庫!$F$8:$F$43=J15)*(成型機資料庫!$G$8:$G$43=K15)),成型機資料庫!$K$8:$K$43),0)</f>
        <v>600</v>
      </c>
      <c r="R15" s="477"/>
      <c r="S15" s="898"/>
      <c r="T15" s="482">
        <f>IFERROR(LOOKUP(1,0/((成型機資料庫!$F$8:$F$43=J15)*(成型機資料庫!$G$8:$G$43=K15)),成型機資料庫!$I$8:$I$43),0)</f>
        <v>36</v>
      </c>
      <c r="U15" s="483">
        <f>IFERROR(LOOKUP(1,0/((成型機資料庫!$F$8:$F$43=J15)*(成型機資料庫!$G$8:$G$43=K15)),成型機資料庫!$J$8:$J$43),0)</f>
        <v>7.8</v>
      </c>
      <c r="V15" s="900">
        <f>IFERROR(LOOKUP(1,0/((成型機資料庫!$F$8:$F$43=J15)*(成型機資料庫!$G$8:$G$43=K15)),成型機資料庫!$L$8:$L$43),0)</f>
        <v>308.88</v>
      </c>
      <c r="W15" s="898"/>
      <c r="X15" s="898"/>
      <c r="Y15" s="898"/>
      <c r="Z15" s="485"/>
      <c r="AA15" s="478"/>
      <c r="AB15" s="438"/>
      <c r="AC15" s="482"/>
      <c r="AD15" s="536"/>
      <c r="AE15" s="438"/>
      <c r="AF15" s="438"/>
    </row>
    <row r="16" spans="1:56" s="439" customFormat="1" thickBot="1">
      <c r="A16" s="496"/>
      <c r="B16" s="496"/>
      <c r="C16" s="496"/>
      <c r="D16" s="496"/>
      <c r="E16" s="496"/>
      <c r="F16" s="497"/>
      <c r="G16" s="500"/>
      <c r="H16" s="500"/>
      <c r="I16" s="498"/>
      <c r="J16" s="498"/>
      <c r="K16" s="498"/>
      <c r="L16" s="500"/>
      <c r="M16" s="500"/>
      <c r="N16" s="500"/>
      <c r="O16" s="501">
        <f t="shared" si="0"/>
        <v>0</v>
      </c>
      <c r="P16" s="528"/>
      <c r="Q16" s="499">
        <f>IFERROR(LOOKUP(1,0/((成型機資料庫!$F$8:$F$43=J16)*(成型機資料庫!$G$8:$G$43=K16)),成型機資料庫!$K$8:$K$43),0)</f>
        <v>0</v>
      </c>
      <c r="R16" s="502"/>
      <c r="S16" s="503"/>
      <c r="T16" s="509">
        <f>IFERROR(LOOKUP(1,0/((成型機資料庫!$F$8:$F$43=J16)*(成型機資料庫!$G$8:$G$43=K16)),成型機資料庫!$I$8:$I$43),0)</f>
        <v>0</v>
      </c>
      <c r="U16" s="505">
        <f>IFERROR(LOOKUP(1,0/((成型機資料庫!$F$8:$F$43=J16)*(成型機資料庫!$G$8:$G$43=K16)),成型機資料庫!$J$8:$J$43),0)</f>
        <v>0</v>
      </c>
      <c r="V16" s="991">
        <f>IFERROR(LOOKUP(1,0/((成型機資料庫!$F$8:$F$43=J16)*(成型機資料庫!$G$8:$G$43=K16)),成型機資料庫!$L$8:$L$43),0)</f>
        <v>0</v>
      </c>
      <c r="W16" s="507"/>
      <c r="X16" s="507"/>
      <c r="Y16" s="507"/>
      <c r="Z16" s="507"/>
      <c r="AA16" s="508">
        <f t="shared" ref="AA16:AA46" si="1">AB16+AC16/60</f>
        <v>0</v>
      </c>
      <c r="AB16" s="499"/>
      <c r="AC16" s="509"/>
      <c r="AD16" s="529"/>
      <c r="AE16" s="499"/>
      <c r="AF16" s="499"/>
    </row>
    <row r="17" spans="1:32" s="433" customFormat="1" ht="15.75">
      <c r="A17" s="935">
        <v>113</v>
      </c>
      <c r="B17" s="935"/>
      <c r="C17" s="935">
        <v>1</v>
      </c>
      <c r="D17" s="889"/>
      <c r="E17" s="889" t="s">
        <v>0</v>
      </c>
      <c r="F17" s="962" t="s">
        <v>44</v>
      </c>
      <c r="G17" s="999"/>
      <c r="H17" s="532"/>
      <c r="I17" s="964"/>
      <c r="J17" s="964"/>
      <c r="K17" s="964"/>
      <c r="L17" s="532"/>
      <c r="M17" s="532"/>
      <c r="N17" s="927">
        <f>M17*Q17</f>
        <v>0</v>
      </c>
      <c r="O17" s="995">
        <f t="shared" si="0"/>
        <v>0</v>
      </c>
      <c r="P17" s="1000"/>
      <c r="Q17" s="480">
        <f>IFERROR(LOOKUP(1,0/((成型機資料庫!$F$8:$F$43=J17)*(成型機資料庫!$G$8:$G$43=K17)),成型機資料庫!$K$8:$K$43),0)</f>
        <v>0</v>
      </c>
      <c r="R17" s="997">
        <f t="shared" ref="R17:R46" si="2">M17*Q17*P17/1000</f>
        <v>0</v>
      </c>
      <c r="S17" s="996">
        <f t="shared" ref="S17:S46" si="3">IFERROR((G17-R17)/G17,0)</f>
        <v>0</v>
      </c>
      <c r="T17" s="968">
        <f>IFERROR(LOOKUP(1,0/((成型機資料庫!$F$8:$F$43=J17)*(成型機資料庫!$G$8:$G$43=K17)),成型機資料庫!$I$8:$I$43),0)</f>
        <v>0</v>
      </c>
      <c r="U17" s="967">
        <f>IFERROR(LOOKUP(1,0/((成型機資料庫!$F$8:$F$43=J17)*(成型機資料庫!$G$8:$G$43=K17)),成型機資料庫!$J$8:$J$43),0)</f>
        <v>0</v>
      </c>
      <c r="V17" s="927">
        <f>IFERROR(LOOKUP(1,0/((成型機資料庫!$F$8:$F$43=J17)*(成型機資料庫!$G$8:$G$43=K17)),成型機資料庫!$L$8:$L$43),0)</f>
        <v>0</v>
      </c>
      <c r="W17" s="996">
        <f t="shared" ref="W17:W46" si="4">IFERROR(M17/V17,0)</f>
        <v>0</v>
      </c>
      <c r="X17" s="987">
        <f>IFERROR(T17*U17*60*AA17/Q17,0)</f>
        <v>0</v>
      </c>
      <c r="Y17" s="996">
        <f>IFERROR(M17/X17,0)</f>
        <v>0</v>
      </c>
      <c r="Z17" s="987"/>
      <c r="AA17" s="495">
        <f t="shared" si="1"/>
        <v>0</v>
      </c>
      <c r="AB17" s="480"/>
      <c r="AC17" s="968"/>
      <c r="AD17" s="532"/>
      <c r="AE17" s="480"/>
      <c r="AF17" s="480"/>
    </row>
    <row r="18" spans="1:32" s="433" customFormat="1" ht="15.75">
      <c r="A18" s="434">
        <v>113</v>
      </c>
      <c r="B18" s="581"/>
      <c r="C18" s="581">
        <v>2</v>
      </c>
      <c r="D18" s="581"/>
      <c r="E18" s="581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ref="N18:N46" si="5">M18*Q18</f>
        <v>0</v>
      </c>
      <c r="O18" s="901">
        <f t="shared" si="0"/>
        <v>0</v>
      </c>
      <c r="P18" s="460"/>
      <c r="Q18" s="438">
        <f>IFERROR(LOOKUP(1,0/((成型機資料庫!$F$8:$F$43=J18)*(成型機資料庫!$G$8:$G$43=K18)),成型機資料庫!$K$8:$K$43),0)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IFERROR(LOOKUP(1,0/((成型機資料庫!$F$8:$F$43=J18)*(成型機資料庫!$G$8:$G$43=K18)),成型機資料庫!$I$8:$I$43),0)</f>
        <v>0</v>
      </c>
      <c r="U18" s="483">
        <f>IFERROR(LOOKUP(1,0/((成型機資料庫!$F$8:$F$43=J18)*(成型機資料庫!$G$8:$G$43=K18)),成型機資料庫!$J$8:$J$43),0)</f>
        <v>0</v>
      </c>
      <c r="V18" s="900">
        <f>IFERROR(LOOKUP(1,0/((成型機資料庫!$F$8:$F$43=J18)*(成型機資料庫!$G$8:$G$43=K18)),成型機資料庫!$L$8:$L$43),0)</f>
        <v>0</v>
      </c>
      <c r="W18" s="898">
        <f t="shared" si="4"/>
        <v>0</v>
      </c>
      <c r="X18" s="923">
        <f t="shared" ref="X18:X46" si="6">IFERROR(T18*U18*60*AA18/Q18,0)</f>
        <v>0</v>
      </c>
      <c r="Y18" s="898">
        <f t="shared" ref="Y18:Y46" si="7">IFERROR(M18/X18,0)</f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3</v>
      </c>
      <c r="D19" s="581"/>
      <c r="E19" s="581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IFERROR(LOOKUP(1,0/((成型機資料庫!$F$8:$F$43=J19)*(成型機資料庫!$G$8:$G$43=K19)),成型機資料庫!$K$8:$K$43),0)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IFERROR(LOOKUP(1,0/((成型機資料庫!$F$8:$F$43=J19)*(成型機資料庫!$G$8:$G$43=K19)),成型機資料庫!$I$8:$I$43),0)</f>
        <v>0</v>
      </c>
      <c r="U19" s="483">
        <f>IFERROR(LOOKUP(1,0/((成型機資料庫!$F$8:$F$43=J19)*(成型機資料庫!$G$8:$G$43=K19)),成型機資料庫!$J$8:$J$43),0)</f>
        <v>0</v>
      </c>
      <c r="V19" s="900">
        <f>IFERROR(LOOKUP(1,0/((成型機資料庫!$F$8:$F$43=J19)*(成型機資料庫!$G$8:$G$43=K19)),成型機資料庫!$L$8:$L$43),0)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38"/>
      <c r="AE19" s="438"/>
      <c r="AF19" s="438"/>
    </row>
    <row r="20" spans="1:32" s="433" customFormat="1" ht="15.75">
      <c r="A20" s="434">
        <v>113</v>
      </c>
      <c r="B20" s="581"/>
      <c r="C20" s="581">
        <v>4</v>
      </c>
      <c r="D20" s="581"/>
      <c r="E20" s="581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IFERROR(LOOKUP(1,0/((成型機資料庫!$F$8:$F$43=J20)*(成型機資料庫!$G$8:$G$43=K20)),成型機資料庫!$K$8:$K$43),0)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IFERROR(LOOKUP(1,0/((成型機資料庫!$F$8:$F$43=J20)*(成型機資料庫!$G$8:$G$43=K20)),成型機資料庫!$I$8:$I$43),0)</f>
        <v>0</v>
      </c>
      <c r="U20" s="483">
        <f>IFERROR(LOOKUP(1,0/((成型機資料庫!$F$8:$F$43=J20)*(成型機資料庫!$G$8:$G$43=K20)),成型機資料庫!$J$8:$J$43),0)</f>
        <v>0</v>
      </c>
      <c r="V20" s="900">
        <f>IFERROR(LOOKUP(1,0/((成型機資料庫!$F$8:$F$43=J20)*(成型機資料庫!$G$8:$G$43=K20)),成型機資料庫!$L$8:$L$43),0)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38"/>
      <c r="AE20" s="464"/>
      <c r="AF20" s="438"/>
    </row>
    <row r="21" spans="1:32" s="433" customFormat="1" ht="15.75">
      <c r="A21" s="434">
        <v>113</v>
      </c>
      <c r="B21" s="581"/>
      <c r="C21" s="581">
        <v>5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IFERROR(LOOKUP(1,0/((成型機資料庫!$F$8:$F$43=J21)*(成型機資料庫!$G$8:$G$43=K21)),成型機資料庫!$K$8:$K$43),0)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IFERROR(LOOKUP(1,0/((成型機資料庫!$F$8:$F$43=J21)*(成型機資料庫!$G$8:$G$43=K21)),成型機資料庫!$I$8:$I$43),0)</f>
        <v>0</v>
      </c>
      <c r="U21" s="483">
        <f>IFERROR(LOOKUP(1,0/((成型機資料庫!$F$8:$F$43=J21)*(成型機資料庫!$G$8:$G$43=K21)),成型機資料庫!$J$8:$J$43),0)</f>
        <v>0</v>
      </c>
      <c r="V21" s="900">
        <f>IFERROR(LOOKUP(1,0/((成型機資料庫!$F$8:$F$43=J21)*(成型機資料庫!$G$8:$G$43=K21)),成型機資料庫!$L$8:$L$43),0)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6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IFERROR(LOOKUP(1,0/((成型機資料庫!$F$8:$F$43=J22)*(成型機資料庫!$G$8:$G$43=K22)),成型機資料庫!$K$8:$K$43),0)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IFERROR(LOOKUP(1,0/((成型機資料庫!$F$8:$F$43=J22)*(成型機資料庫!$G$8:$G$43=K22)),成型機資料庫!$I$8:$I$43),0)</f>
        <v>0</v>
      </c>
      <c r="U22" s="483">
        <f>IFERROR(LOOKUP(1,0/((成型機資料庫!$F$8:$F$43=J22)*(成型機資料庫!$G$8:$G$43=K22)),成型機資料庫!$J$8:$J$43),0)</f>
        <v>0</v>
      </c>
      <c r="V22" s="900">
        <f>IFERROR(LOOKUP(1,0/((成型機資料庫!$F$8:$F$43=J22)*(成型機資料庫!$G$8:$G$43=K22)),成型機資料庫!$L$8:$L$43),0)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879"/>
      <c r="AE22" s="438"/>
      <c r="AF22" s="438"/>
    </row>
    <row r="23" spans="1:32" s="433" customFormat="1" ht="15.75">
      <c r="A23" s="434">
        <v>113</v>
      </c>
      <c r="B23" s="581"/>
      <c r="C23" s="581">
        <v>7</v>
      </c>
      <c r="D23" s="581"/>
      <c r="E23" s="889" t="s">
        <v>0</v>
      </c>
      <c r="F23" s="962" t="s">
        <v>44</v>
      </c>
      <c r="G23" s="927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IFERROR(LOOKUP(1,0/((成型機資料庫!$F$8:$F$43=J23)*(成型機資料庫!$G$8:$G$43=K23)),成型機資料庫!$K$8:$K$43),0)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IFERROR(LOOKUP(1,0/((成型機資料庫!$F$8:$F$43=J23)*(成型機資料庫!$G$8:$G$43=K23)),成型機資料庫!$I$8:$I$43),0)</f>
        <v>0</v>
      </c>
      <c r="U23" s="483">
        <f>IFERROR(LOOKUP(1,0/((成型機資料庫!$F$8:$F$43=J23)*(成型機資料庫!$G$8:$G$43=K23)),成型機資料庫!$J$8:$J$43),0)</f>
        <v>0</v>
      </c>
      <c r="V23" s="900">
        <f>IFERROR(LOOKUP(1,0/((成型機資料庫!$F$8:$F$43=J23)*(成型機資料庫!$G$8:$G$43=K23)),成型機資料庫!$L$8:$L$43),0)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8</v>
      </c>
      <c r="D24" s="581"/>
      <c r="E24" s="889" t="s">
        <v>0</v>
      </c>
      <c r="F24" s="962" t="s">
        <v>44</v>
      </c>
      <c r="G24" s="927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IFERROR(LOOKUP(1,0/((成型機資料庫!$F$8:$F$43=J24)*(成型機資料庫!$G$8:$G$43=K24)),成型機資料庫!$K$8:$K$43),0)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IFERROR(LOOKUP(1,0/((成型機資料庫!$F$8:$F$43=J24)*(成型機資料庫!$G$8:$G$43=K24)),成型機資料庫!$I$8:$I$43),0)</f>
        <v>0</v>
      </c>
      <c r="U24" s="483">
        <f>IFERROR(LOOKUP(1,0/((成型機資料庫!$F$8:$F$43=J24)*(成型機資料庫!$G$8:$G$43=K24)),成型機資料庫!$J$8:$J$43),0)</f>
        <v>0</v>
      </c>
      <c r="V24" s="900">
        <f>IFERROR(LOOKUP(1,0/((成型機資料庫!$F$8:$F$43=J24)*(成型機資料庫!$G$8:$G$43=K24)),成型機資料庫!$L$8:$L$43),0)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581"/>
      <c r="C25" s="581">
        <v>9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IFERROR(LOOKUP(1,0/((成型機資料庫!$F$8:$F$43=J25)*(成型機資料庫!$G$8:$G$43=K25)),成型機資料庫!$K$8:$K$43),0)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IFERROR(LOOKUP(1,0/((成型機資料庫!$F$8:$F$43=J25)*(成型機資料庫!$G$8:$G$43=K25)),成型機資料庫!$I$8:$I$43),0)</f>
        <v>0</v>
      </c>
      <c r="U25" s="483">
        <f>IFERROR(LOOKUP(1,0/((成型機資料庫!$F$8:$F$43=J25)*(成型機資料庫!$G$8:$G$43=K25)),成型機資料庫!$J$8:$J$43),0)</f>
        <v>0</v>
      </c>
      <c r="V25" s="900">
        <f>IFERROR(LOOKUP(1,0/((成型機資料庫!$F$8:$F$43=J25)*(成型機資料庫!$G$8:$G$43=K25)),成型機資料庫!$L$8:$L$43),0)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10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IFERROR(LOOKUP(1,0/((成型機資料庫!$F$8:$F$43=J26)*(成型機資料庫!$G$8:$G$43=K26)),成型機資料庫!$K$8:$K$43),0)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IFERROR(LOOKUP(1,0/((成型機資料庫!$F$8:$F$43=J26)*(成型機資料庫!$G$8:$G$43=K26)),成型機資料庫!$I$8:$I$43),0)</f>
        <v>0</v>
      </c>
      <c r="U26" s="483">
        <f>IFERROR(LOOKUP(1,0/((成型機資料庫!$F$8:$F$43=J26)*(成型機資料庫!$G$8:$G$43=K26)),成型機資料庫!$J$8:$J$43),0)</f>
        <v>0</v>
      </c>
      <c r="V26" s="900">
        <f>IFERROR(LOOKUP(1,0/((成型機資料庫!$F$8:$F$43=J26)*(成型機資料庫!$G$8:$G$43=K26)),成型機資料庫!$L$8:$L$43),0)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11</v>
      </c>
      <c r="D27" s="581"/>
      <c r="E27" s="581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IFERROR(LOOKUP(1,0/((成型機資料庫!$F$8:$F$43=J27)*(成型機資料庫!$G$8:$G$43=K27)),成型機資料庫!$K$8:$K$43),0)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IFERROR(LOOKUP(1,0/((成型機資料庫!$F$8:$F$43=J27)*(成型機資料庫!$G$8:$G$43=K27)),成型機資料庫!$I$8:$I$43),0)</f>
        <v>0</v>
      </c>
      <c r="U27" s="483">
        <f>IFERROR(LOOKUP(1,0/((成型機資料庫!$F$8:$F$43=J27)*(成型機資料庫!$G$8:$G$43=K27)),成型機資料庫!$J$8:$J$43),0)</f>
        <v>0</v>
      </c>
      <c r="V27" s="900">
        <f>IFERROR(LOOKUP(1,0/((成型機資料庫!$F$8:$F$43=J27)*(成型機資料庫!$G$8:$G$43=K27)),成型機資料庫!$L$8:$L$43),0)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581"/>
      <c r="C28" s="581">
        <v>12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IFERROR(LOOKUP(1,0/((成型機資料庫!$F$8:$F$43=J28)*(成型機資料庫!$G$8:$G$43=K28)),成型機資料庫!$K$8:$K$43),0)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IFERROR(LOOKUP(1,0/((成型機資料庫!$F$8:$F$43=J28)*(成型機資料庫!$G$8:$G$43=K28)),成型機資料庫!$I$8:$I$43),0)</f>
        <v>0</v>
      </c>
      <c r="U28" s="483">
        <f>IFERROR(LOOKUP(1,0/((成型機資料庫!$F$8:$F$43=J28)*(成型機資料庫!$G$8:$G$43=K28)),成型機資料庫!$J$8:$J$43),0)</f>
        <v>0</v>
      </c>
      <c r="V28" s="900">
        <f>IFERROR(LOOKUP(1,0/((成型機資料庫!$F$8:$F$43=J28)*(成型機資料庫!$G$8:$G$43=K28)),成型機資料庫!$L$8:$L$43),0)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38"/>
      <c r="AE28" s="438"/>
      <c r="AF28" s="438"/>
    </row>
    <row r="29" spans="1:32" s="433" customFormat="1" ht="15.75">
      <c r="A29" s="434">
        <v>113</v>
      </c>
      <c r="B29" s="581"/>
      <c r="C29" s="581">
        <v>13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IFERROR(LOOKUP(1,0/((成型機資料庫!$F$8:$F$43=J29)*(成型機資料庫!$G$8:$G$43=K29)),成型機資料庫!$K$8:$K$43),0)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IFERROR(LOOKUP(1,0/((成型機資料庫!$F$8:$F$43=J29)*(成型機資料庫!$G$8:$G$43=K29)),成型機資料庫!$I$8:$I$43),0)</f>
        <v>0</v>
      </c>
      <c r="U29" s="483">
        <f>IFERROR(LOOKUP(1,0/((成型機資料庫!$F$8:$F$43=J29)*(成型機資料庫!$G$8:$G$43=K29)),成型機資料庫!$J$8:$J$43),0)</f>
        <v>0</v>
      </c>
      <c r="V29" s="900">
        <f>IFERROR(LOOKUP(1,0/((成型機資料庫!$F$8:$F$43=J29)*(成型機資料庫!$G$8:$G$43=K29)),成型機資料庫!$L$8:$L$43),0)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581"/>
      <c r="C30" s="581">
        <v>14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IFERROR(LOOKUP(1,0/((成型機資料庫!$F$8:$F$43=J30)*(成型機資料庫!$G$8:$G$43=K30)),成型機資料庫!$K$8:$K$43),0)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IFERROR(LOOKUP(1,0/((成型機資料庫!$F$8:$F$43=J30)*(成型機資料庫!$G$8:$G$43=K30)),成型機資料庫!$I$8:$I$43),0)</f>
        <v>0</v>
      </c>
      <c r="U30" s="483">
        <f>IFERROR(LOOKUP(1,0/((成型機資料庫!$F$8:$F$43=J30)*(成型機資料庫!$G$8:$G$43=K30)),成型機資料庫!$J$8:$J$43),0)</f>
        <v>0</v>
      </c>
      <c r="V30" s="900">
        <f>IFERROR(LOOKUP(1,0/((成型機資料庫!$F$8:$F$43=J30)*(成型機資料庫!$G$8:$G$43=K30)),成型機資料庫!$L$8:$L$43),0)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581"/>
      <c r="C31" s="581">
        <v>15</v>
      </c>
      <c r="D31" s="581"/>
      <c r="E31" s="889" t="s">
        <v>0</v>
      </c>
      <c r="F31" s="962" t="s">
        <v>44</v>
      </c>
      <c r="G31" s="927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IFERROR(LOOKUP(1,0/((成型機資料庫!$F$8:$F$43=J31)*(成型機資料庫!$G$8:$G$43=K31)),成型機資料庫!$K$8:$K$43),0)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IFERROR(LOOKUP(1,0/((成型機資料庫!$F$8:$F$43=J31)*(成型機資料庫!$G$8:$G$43=K31)),成型機資料庫!$I$8:$I$43),0)</f>
        <v>0</v>
      </c>
      <c r="U31" s="483">
        <f>IFERROR(LOOKUP(1,0/((成型機資料庫!$F$8:$F$43=J31)*(成型機資料庫!$G$8:$G$43=K31)),成型機資料庫!$J$8:$J$43),0)</f>
        <v>0</v>
      </c>
      <c r="V31" s="900">
        <f>IFERROR(LOOKUP(1,0/((成型機資料庫!$F$8:$F$43=J31)*(成型機資料庫!$G$8:$G$43=K31)),成型機資料庫!$L$8:$L$43),0)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38"/>
      <c r="AE31" s="438"/>
      <c r="AF31" s="438"/>
    </row>
    <row r="32" spans="1:32" s="433" customFormat="1" ht="15.75">
      <c r="A32" s="434">
        <v>113</v>
      </c>
      <c r="B32" s="581"/>
      <c r="C32" s="581">
        <v>16</v>
      </c>
      <c r="D32" s="581"/>
      <c r="E32" s="889" t="s">
        <v>0</v>
      </c>
      <c r="F32" s="962" t="s">
        <v>44</v>
      </c>
      <c r="G32" s="927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IFERROR(LOOKUP(1,0/((成型機資料庫!$F$8:$F$43=J32)*(成型機資料庫!$G$8:$G$43=K32)),成型機資料庫!$K$8:$K$43),0)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IFERROR(LOOKUP(1,0/((成型機資料庫!$F$8:$F$43=J32)*(成型機資料庫!$G$8:$G$43=K32)),成型機資料庫!$I$8:$I$43),0)</f>
        <v>0</v>
      </c>
      <c r="U32" s="483">
        <f>IFERROR(LOOKUP(1,0/((成型機資料庫!$F$8:$F$43=J32)*(成型機資料庫!$G$8:$G$43=K32)),成型機資料庫!$J$8:$J$43),0)</f>
        <v>0</v>
      </c>
      <c r="V32" s="900">
        <f>IFERROR(LOOKUP(1,0/((成型機資料庫!$F$8:$F$43=J32)*(成型機資料庫!$G$8:$G$43=K32)),成型機資料庫!$L$8:$L$43),0)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64"/>
      <c r="AF32" s="438"/>
    </row>
    <row r="33" spans="1:32" s="433" customFormat="1" ht="15.75">
      <c r="A33" s="434">
        <v>113</v>
      </c>
      <c r="B33" s="581"/>
      <c r="C33" s="581">
        <v>17</v>
      </c>
      <c r="D33" s="581"/>
      <c r="E33" s="889" t="s">
        <v>0</v>
      </c>
      <c r="F33" s="962" t="s">
        <v>44</v>
      </c>
      <c r="G33" s="927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IFERROR(LOOKUP(1,0/((成型機資料庫!$F$8:$F$43=J33)*(成型機資料庫!$G$8:$G$43=K33)),成型機資料庫!$K$8:$K$43),0)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IFERROR(LOOKUP(1,0/((成型機資料庫!$F$8:$F$43=J33)*(成型機資料庫!$G$8:$G$43=K33)),成型機資料庫!$I$8:$I$43),0)</f>
        <v>0</v>
      </c>
      <c r="U33" s="483">
        <f>IFERROR(LOOKUP(1,0/((成型機資料庫!$F$8:$F$43=J33)*(成型機資料庫!$G$8:$G$43=K33)),成型機資料庫!$J$8:$J$43),0)</f>
        <v>0</v>
      </c>
      <c r="V33" s="900">
        <f>IFERROR(LOOKUP(1,0/((成型機資料庫!$F$8:$F$43=J33)*(成型機資料庫!$G$8:$G$43=K33)),成型機資料庫!$L$8:$L$43),0)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18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IFERROR(LOOKUP(1,0/((成型機資料庫!$F$8:$F$43=J34)*(成型機資料庫!$G$8:$G$43=K34)),成型機資料庫!$K$8:$K$43),0)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IFERROR(LOOKUP(1,0/((成型機資料庫!$F$8:$F$43=J34)*(成型機資料庫!$G$8:$G$43=K34)),成型機資料庫!$I$8:$I$43),0)</f>
        <v>0</v>
      </c>
      <c r="U34" s="483">
        <f>IFERROR(LOOKUP(1,0/((成型機資料庫!$F$8:$F$43=J34)*(成型機資料庫!$G$8:$G$43=K34)),成型機資料庫!$J$8:$J$43),0)</f>
        <v>0</v>
      </c>
      <c r="V34" s="900">
        <f>IFERROR(LOOKUP(1,0/((成型機資料庫!$F$8:$F$43=J34)*(成型機資料庫!$G$8:$G$43=K34)),成型機資料庫!$L$8:$L$43),0)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19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IFERROR(LOOKUP(1,0/((成型機資料庫!$F$8:$F$43=J35)*(成型機資料庫!$G$8:$G$43=K35)),成型機資料庫!$K$8:$K$43),0)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IFERROR(LOOKUP(1,0/((成型機資料庫!$F$8:$F$43=J35)*(成型機資料庫!$G$8:$G$43=K35)),成型機資料庫!$I$8:$I$43),0)</f>
        <v>0</v>
      </c>
      <c r="U35" s="483">
        <f>IFERROR(LOOKUP(1,0/((成型機資料庫!$F$8:$F$43=J35)*(成型機資料庫!$G$8:$G$43=K35)),成型機資料庫!$J$8:$J$43),0)</f>
        <v>0</v>
      </c>
      <c r="V35" s="900">
        <f>IFERROR(LOOKUP(1,0/((成型機資料庫!$F$8:$F$43=J35)*(成型機資料庫!$G$8:$G$43=K35)),成型機資料庫!$L$8:$L$43),0)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20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IFERROR(LOOKUP(1,0/((成型機資料庫!$F$8:$F$43=J36)*(成型機資料庫!$G$8:$G$43=K36)),成型機資料庫!$K$8:$K$43),0)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IFERROR(LOOKUP(1,0/((成型機資料庫!$F$8:$F$43=J36)*(成型機資料庫!$G$8:$G$43=K36)),成型機資料庫!$I$8:$I$43),0)</f>
        <v>0</v>
      </c>
      <c r="U36" s="483">
        <f>IFERROR(LOOKUP(1,0/((成型機資料庫!$F$8:$F$43=J36)*(成型機資料庫!$G$8:$G$43=K36)),成型機資料庫!$J$8:$J$43),0)</f>
        <v>0</v>
      </c>
      <c r="V36" s="900">
        <f>IFERROR(LOOKUP(1,0/((成型機資料庫!$F$8:$F$43=J36)*(成型機資料庫!$G$8:$G$43=K36)),成型機資料庫!$L$8:$L$43),0)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21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IFERROR(LOOKUP(1,0/((成型機資料庫!$F$8:$F$43=J37)*(成型機資料庫!$G$8:$G$43=K37)),成型機資料庫!$K$8:$K$43),0)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IFERROR(LOOKUP(1,0/((成型機資料庫!$F$8:$F$43=J37)*(成型機資料庫!$G$8:$G$43=K37)),成型機資料庫!$I$8:$I$43),0)</f>
        <v>0</v>
      </c>
      <c r="U37" s="483">
        <f>IFERROR(LOOKUP(1,0/((成型機資料庫!$F$8:$F$43=J37)*(成型機資料庫!$G$8:$G$43=K37)),成型機資料庫!$J$8:$J$43),0)</f>
        <v>0</v>
      </c>
      <c r="V37" s="900">
        <f>IFERROR(LOOKUP(1,0/((成型機資料庫!$F$8:$F$43=J37)*(成型機資料庫!$G$8:$G$43=K37)),成型機資料庫!$L$8:$L$43),0)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38"/>
      <c r="AF37" s="438"/>
    </row>
    <row r="38" spans="1:32" s="433" customFormat="1" ht="15.75">
      <c r="A38" s="434">
        <v>113</v>
      </c>
      <c r="B38" s="434"/>
      <c r="C38" s="434">
        <v>22</v>
      </c>
      <c r="D38" s="581"/>
      <c r="E38" s="889" t="s">
        <v>0</v>
      </c>
      <c r="F38" s="962" t="s">
        <v>44</v>
      </c>
      <c r="G38" s="927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IFERROR(LOOKUP(1,0/((成型機資料庫!$F$8:$F$43=J38)*(成型機資料庫!$G$8:$G$43=K38)),成型機資料庫!$K$8:$K$43),0)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IFERROR(LOOKUP(1,0/((成型機資料庫!$F$8:$F$43=J38)*(成型機資料庫!$G$8:$G$43=K38)),成型機資料庫!$I$8:$I$43),0)</f>
        <v>0</v>
      </c>
      <c r="U38" s="483">
        <f>IFERROR(LOOKUP(1,0/((成型機資料庫!$F$8:$F$43=J38)*(成型機資料庫!$G$8:$G$43=K38)),成型機資料庫!$J$8:$J$43),0)</f>
        <v>0</v>
      </c>
      <c r="V38" s="900">
        <f>IFERROR(LOOKUP(1,0/((成型機資料庫!$F$8:$F$43=J38)*(成型機資料庫!$G$8:$G$43=K38)),成型機資料庫!$L$8:$L$43),0)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434"/>
      <c r="C39" s="434">
        <v>23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IFERROR(LOOKUP(1,0/((成型機資料庫!$F$8:$F$43=J39)*(成型機資料庫!$G$8:$G$43=K39)),成型機資料庫!$K$8:$K$43),0)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IFERROR(LOOKUP(1,0/((成型機資料庫!$F$8:$F$43=J39)*(成型機資料庫!$G$8:$G$43=K39)),成型機資料庫!$I$8:$I$43),0)</f>
        <v>0</v>
      </c>
      <c r="U39" s="483">
        <f>IFERROR(LOOKUP(1,0/((成型機資料庫!$F$8:$F$43=J39)*(成型機資料庫!$G$8:$G$43=K39)),成型機資料庫!$J$8:$J$43),0)</f>
        <v>0</v>
      </c>
      <c r="V39" s="900">
        <f>IFERROR(LOOKUP(1,0/((成型機資料庫!$F$8:$F$43=J39)*(成型機資料庫!$G$8:$G$43=K39)),成型機資料庫!$L$8:$L$43),0)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64"/>
      <c r="AF39" s="438"/>
    </row>
    <row r="40" spans="1:32" s="433" customFormat="1" ht="15.75">
      <c r="A40" s="434">
        <v>113</v>
      </c>
      <c r="B40" s="434"/>
      <c r="C40" s="434">
        <v>24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IFERROR(LOOKUP(1,0/((成型機資料庫!$F$8:$F$43=J40)*(成型機資料庫!$G$8:$G$43=K40)),成型機資料庫!$K$8:$K$43),0)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IFERROR(LOOKUP(1,0/((成型機資料庫!$F$8:$F$43=J40)*(成型機資料庫!$G$8:$G$43=K40)),成型機資料庫!$I$8:$I$43),0)</f>
        <v>0</v>
      </c>
      <c r="U40" s="483">
        <f>IFERROR(LOOKUP(1,0/((成型機資料庫!$F$8:$F$43=J40)*(成型機資料庫!$G$8:$G$43=K40)),成型機資料庫!$J$8:$J$43),0)</f>
        <v>0</v>
      </c>
      <c r="V40" s="900">
        <f>IFERROR(LOOKUP(1,0/((成型機資料庫!$F$8:$F$43=J40)*(成型機資料庫!$G$8:$G$43=K40)),成型機資料庫!$L$8:$L$43),0)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34">
        <v>113</v>
      </c>
      <c r="B41" s="434"/>
      <c r="C41" s="434">
        <v>25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IFERROR(LOOKUP(1,0/((成型機資料庫!$F$8:$F$43=J41)*(成型機資料庫!$G$8:$G$43=K41)),成型機資料庫!$K$8:$K$43),0)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IFERROR(LOOKUP(1,0/((成型機資料庫!$F$8:$F$43=J41)*(成型機資料庫!$G$8:$G$43=K41)),成型機資料庫!$I$8:$I$43),0)</f>
        <v>0</v>
      </c>
      <c r="U41" s="483">
        <f>IFERROR(LOOKUP(1,0/((成型機資料庫!$F$8:$F$43=J41)*(成型機資料庫!$G$8:$G$43=K41)),成型機資料庫!$J$8:$J$43),0)</f>
        <v>0</v>
      </c>
      <c r="V41" s="900">
        <f>IFERROR(LOOKUP(1,0/((成型機資料庫!$F$8:$F$43=J41)*(成型機資料庫!$G$8:$G$43=K41)),成型機資料庫!$L$8:$L$43),0)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64"/>
      <c r="AF41" s="438"/>
    </row>
    <row r="42" spans="1:32" s="433" customFormat="1" ht="15.75">
      <c r="A42" s="434">
        <v>113</v>
      </c>
      <c r="B42" s="434"/>
      <c r="C42" s="434">
        <v>26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IFERROR(LOOKUP(1,0/((成型機資料庫!$F$8:$F$43=J42)*(成型機資料庫!$G$8:$G$43=K42)),成型機資料庫!$K$8:$K$43),0)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IFERROR(LOOKUP(1,0/((成型機資料庫!$F$8:$F$43=J42)*(成型機資料庫!$G$8:$G$43=K42)),成型機資料庫!$I$8:$I$43),0)</f>
        <v>0</v>
      </c>
      <c r="U42" s="483">
        <f>IFERROR(LOOKUP(1,0/((成型機資料庫!$F$8:$F$43=J42)*(成型機資料庫!$G$8:$G$43=K42)),成型機資料庫!$J$8:$J$43),0)</f>
        <v>0</v>
      </c>
      <c r="V42" s="900">
        <f>IFERROR(LOOKUP(1,0/((成型機資料庫!$F$8:$F$43=J42)*(成型機資料庫!$G$8:$G$43=K42)),成型機資料庫!$L$8:$L$43),0)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38"/>
      <c r="AE42" s="464"/>
      <c r="AF42" s="438"/>
    </row>
    <row r="43" spans="1:32" s="433" customFormat="1" ht="15.75">
      <c r="A43" s="434">
        <v>113</v>
      </c>
      <c r="B43" s="434"/>
      <c r="C43" s="434">
        <v>27</v>
      </c>
      <c r="D43" s="581"/>
      <c r="E43" s="889" t="s">
        <v>0</v>
      </c>
      <c r="F43" s="962" t="s">
        <v>44</v>
      </c>
      <c r="G43" s="926"/>
      <c r="H43" s="464"/>
      <c r="I43" s="429"/>
      <c r="J43" s="429"/>
      <c r="K43" s="429"/>
      <c r="L43" s="464"/>
      <c r="M43" s="464"/>
      <c r="N43" s="900">
        <f t="shared" si="5"/>
        <v>0</v>
      </c>
      <c r="O43" s="901">
        <f t="shared" si="0"/>
        <v>0</v>
      </c>
      <c r="P43" s="460"/>
      <c r="Q43" s="438">
        <f>IFERROR(LOOKUP(1,0/((成型機資料庫!$F$8:$F$43=J43)*(成型機資料庫!$G$8:$G$43=K43)),成型機資料庫!$K$8:$K$43),0)</f>
        <v>0</v>
      </c>
      <c r="R43" s="899">
        <f t="shared" si="2"/>
        <v>0</v>
      </c>
      <c r="S43" s="898">
        <f t="shared" si="3"/>
        <v>0</v>
      </c>
      <c r="T43" s="482">
        <f>IFERROR(LOOKUP(1,0/((成型機資料庫!$F$8:$F$43=J43)*(成型機資料庫!$G$8:$G$43=K43)),成型機資料庫!$I$8:$I$43),0)</f>
        <v>0</v>
      </c>
      <c r="U43" s="483">
        <f>IFERROR(LOOKUP(1,0/((成型機資料庫!$F$8:$F$43=J43)*(成型機資料庫!$G$8:$G$43=K43)),成型機資料庫!$J$8:$J$43),0)</f>
        <v>0</v>
      </c>
      <c r="V43" s="900">
        <f>IFERROR(LOOKUP(1,0/((成型機資料庫!$F$8:$F$43=J43)*(成型機資料庫!$G$8:$G$43=K43)),成型機資料庫!$L$8:$L$43),0)</f>
        <v>0</v>
      </c>
      <c r="W43" s="898">
        <f t="shared" si="4"/>
        <v>0</v>
      </c>
      <c r="X43" s="923">
        <f t="shared" si="6"/>
        <v>0</v>
      </c>
      <c r="Y43" s="898">
        <f t="shared" si="7"/>
        <v>0</v>
      </c>
      <c r="Z43" s="923"/>
      <c r="AA43" s="478">
        <f t="shared" si="1"/>
        <v>0</v>
      </c>
      <c r="AB43" s="438"/>
      <c r="AC43" s="482"/>
      <c r="AD43" s="464"/>
      <c r="AE43" s="438"/>
      <c r="AF43" s="438"/>
    </row>
    <row r="44" spans="1:32" s="433" customFormat="1" ht="15.75">
      <c r="A44" s="434">
        <v>113</v>
      </c>
      <c r="B44" s="581"/>
      <c r="C44" s="581">
        <v>28</v>
      </c>
      <c r="D44" s="581"/>
      <c r="E44" s="889" t="s">
        <v>0</v>
      </c>
      <c r="F44" s="962" t="s">
        <v>44</v>
      </c>
      <c r="G44" s="926"/>
      <c r="H44" s="464"/>
      <c r="I44" s="429"/>
      <c r="J44" s="429"/>
      <c r="K44" s="429"/>
      <c r="L44" s="464"/>
      <c r="M44" s="464"/>
      <c r="N44" s="900">
        <f t="shared" si="5"/>
        <v>0</v>
      </c>
      <c r="O44" s="901">
        <f t="shared" si="0"/>
        <v>0</v>
      </c>
      <c r="P44" s="460"/>
      <c r="Q44" s="438">
        <f>IFERROR(LOOKUP(1,0/((成型機資料庫!$F$8:$F$43=J44)*(成型機資料庫!$G$8:$G$43=K44)),成型機資料庫!$K$8:$K$43),0)</f>
        <v>0</v>
      </c>
      <c r="R44" s="899">
        <f t="shared" si="2"/>
        <v>0</v>
      </c>
      <c r="S44" s="898">
        <f t="shared" si="3"/>
        <v>0</v>
      </c>
      <c r="T44" s="482">
        <f>IFERROR(LOOKUP(1,0/((成型機資料庫!$F$8:$F$43=J44)*(成型機資料庫!$G$8:$G$43=K44)),成型機資料庫!$I$8:$I$43),0)</f>
        <v>0</v>
      </c>
      <c r="U44" s="483">
        <f>IFERROR(LOOKUP(1,0/((成型機資料庫!$F$8:$F$43=J44)*(成型機資料庫!$G$8:$G$43=K44)),成型機資料庫!$J$8:$J$43),0)</f>
        <v>0</v>
      </c>
      <c r="V44" s="900">
        <f>IFERROR(LOOKUP(1,0/((成型機資料庫!$F$8:$F$43=J44)*(成型機資料庫!$G$8:$G$43=K44)),成型機資料庫!$L$8:$L$43),0)</f>
        <v>0</v>
      </c>
      <c r="W44" s="898">
        <f t="shared" si="4"/>
        <v>0</v>
      </c>
      <c r="X44" s="923">
        <f t="shared" si="6"/>
        <v>0</v>
      </c>
      <c r="Y44" s="898">
        <f t="shared" si="7"/>
        <v>0</v>
      </c>
      <c r="Z44" s="923"/>
      <c r="AA44" s="478">
        <f t="shared" si="1"/>
        <v>0</v>
      </c>
      <c r="AB44" s="438"/>
      <c r="AC44" s="482"/>
      <c r="AD44" s="464"/>
      <c r="AE44" s="438"/>
      <c r="AF44" s="438"/>
    </row>
    <row r="45" spans="1:32" s="433" customFormat="1" ht="15.75">
      <c r="A45" s="434">
        <v>113</v>
      </c>
      <c r="B45" s="581"/>
      <c r="C45" s="581">
        <v>29</v>
      </c>
      <c r="D45" s="581"/>
      <c r="E45" s="889" t="s">
        <v>0</v>
      </c>
      <c r="F45" s="962" t="s">
        <v>44</v>
      </c>
      <c r="G45" s="926"/>
      <c r="H45" s="464"/>
      <c r="I45" s="429"/>
      <c r="J45" s="429"/>
      <c r="K45" s="429"/>
      <c r="L45" s="464"/>
      <c r="M45" s="464"/>
      <c r="N45" s="900">
        <f t="shared" si="5"/>
        <v>0</v>
      </c>
      <c r="O45" s="901">
        <f t="shared" si="0"/>
        <v>0</v>
      </c>
      <c r="P45" s="460"/>
      <c r="Q45" s="438">
        <f>IFERROR(LOOKUP(1,0/((成型機資料庫!$F$8:$F$43=J45)*(成型機資料庫!$G$8:$G$43=K45)),成型機資料庫!$K$8:$K$43),0)</f>
        <v>0</v>
      </c>
      <c r="R45" s="899">
        <f t="shared" si="2"/>
        <v>0</v>
      </c>
      <c r="S45" s="898">
        <f t="shared" si="3"/>
        <v>0</v>
      </c>
      <c r="T45" s="482">
        <f>IFERROR(LOOKUP(1,0/((成型機資料庫!$F$8:$F$43=J45)*(成型機資料庫!$G$8:$G$43=K45)),成型機資料庫!$I$8:$I$43),0)</f>
        <v>0</v>
      </c>
      <c r="U45" s="483">
        <f>IFERROR(LOOKUP(1,0/((成型機資料庫!$F$8:$F$43=J45)*(成型機資料庫!$G$8:$G$43=K45)),成型機資料庫!$J$8:$J$43),0)</f>
        <v>0</v>
      </c>
      <c r="V45" s="900">
        <f>IFERROR(LOOKUP(1,0/((成型機資料庫!$F$8:$F$43=J45)*(成型機資料庫!$G$8:$G$43=K45)),成型機資料庫!$L$8:$L$43),0)</f>
        <v>0</v>
      </c>
      <c r="W45" s="898">
        <f t="shared" si="4"/>
        <v>0</v>
      </c>
      <c r="X45" s="923">
        <f t="shared" si="6"/>
        <v>0</v>
      </c>
      <c r="Y45" s="898">
        <f t="shared" si="7"/>
        <v>0</v>
      </c>
      <c r="Z45" s="923"/>
      <c r="AA45" s="478">
        <f t="shared" si="1"/>
        <v>0</v>
      </c>
      <c r="AB45" s="438"/>
      <c r="AC45" s="482"/>
      <c r="AD45" s="464"/>
      <c r="AE45" s="464"/>
      <c r="AF45" s="438"/>
    </row>
    <row r="46" spans="1:32" s="433" customFormat="1" ht="15.75">
      <c r="A46" s="434">
        <v>113</v>
      </c>
      <c r="B46" s="581"/>
      <c r="C46" s="581">
        <v>30</v>
      </c>
      <c r="D46" s="581"/>
      <c r="E46" s="889" t="s">
        <v>0</v>
      </c>
      <c r="F46" s="962" t="s">
        <v>44</v>
      </c>
      <c r="G46" s="926"/>
      <c r="H46" s="464"/>
      <c r="I46" s="429"/>
      <c r="J46" s="429"/>
      <c r="K46" s="429"/>
      <c r="L46" s="464"/>
      <c r="M46" s="464"/>
      <c r="N46" s="900">
        <f t="shared" si="5"/>
        <v>0</v>
      </c>
      <c r="O46" s="901">
        <f t="shared" si="0"/>
        <v>0</v>
      </c>
      <c r="P46" s="460"/>
      <c r="Q46" s="438">
        <f>IFERROR(LOOKUP(1,0/((成型機資料庫!$F$8:$F$43=J46)*(成型機資料庫!$G$8:$G$43=K46)),成型機資料庫!$K$8:$K$43),0)</f>
        <v>0</v>
      </c>
      <c r="R46" s="899">
        <f t="shared" si="2"/>
        <v>0</v>
      </c>
      <c r="S46" s="898">
        <f t="shared" si="3"/>
        <v>0</v>
      </c>
      <c r="T46" s="482">
        <f>IFERROR(LOOKUP(1,0/((成型機資料庫!$F$8:$F$43=J46)*(成型機資料庫!$G$8:$G$43=K46)),成型機資料庫!$I$8:$I$43),0)</f>
        <v>0</v>
      </c>
      <c r="U46" s="483">
        <f>IFERROR(LOOKUP(1,0/((成型機資料庫!$F$8:$F$43=J46)*(成型機資料庫!$G$8:$G$43=K46)),成型機資料庫!$J$8:$J$43),0)</f>
        <v>0</v>
      </c>
      <c r="V46" s="900">
        <f>IFERROR(LOOKUP(1,0/((成型機資料庫!$F$8:$F$43=J46)*(成型機資料庫!$G$8:$G$43=K46)),成型機資料庫!$L$8:$L$43),0)</f>
        <v>0</v>
      </c>
      <c r="W46" s="898">
        <f t="shared" si="4"/>
        <v>0</v>
      </c>
      <c r="X46" s="923">
        <f t="shared" si="6"/>
        <v>0</v>
      </c>
      <c r="Y46" s="898">
        <f t="shared" si="7"/>
        <v>0</v>
      </c>
      <c r="Z46" s="923"/>
      <c r="AA46" s="478">
        <f t="shared" si="1"/>
        <v>0</v>
      </c>
      <c r="AB46" s="438"/>
      <c r="AC46" s="482"/>
      <c r="AD46" s="464"/>
      <c r="AE46" s="438"/>
      <c r="AF46" s="438"/>
    </row>
    <row r="47" spans="1:32" s="433" customFormat="1" ht="15.75">
      <c r="A47" s="446"/>
      <c r="B47" s="456"/>
      <c r="C47" s="456"/>
      <c r="D47" s="456"/>
      <c r="E47" s="456"/>
      <c r="F47" s="448"/>
      <c r="G47" s="951"/>
      <c r="H47" s="452"/>
      <c r="I47" s="430"/>
      <c r="J47" s="430"/>
      <c r="K47" s="430"/>
      <c r="L47" s="452"/>
      <c r="M47" s="452"/>
      <c r="N47" s="945"/>
      <c r="O47" s="946"/>
      <c r="P47" s="868"/>
      <c r="Q47" s="467"/>
      <c r="R47" s="948"/>
      <c r="S47" s="936"/>
      <c r="T47" s="936"/>
      <c r="U47" s="936"/>
      <c r="V47" s="945"/>
      <c r="W47" s="936"/>
      <c r="X47" s="947"/>
      <c r="Y47" s="936"/>
      <c r="Z47" s="947"/>
      <c r="AA47" s="488"/>
      <c r="AB47" s="439"/>
      <c r="AC47" s="471"/>
      <c r="AD47" s="452"/>
      <c r="AE47" s="439"/>
      <c r="AF47" s="439"/>
    </row>
    <row r="48" spans="1:32" s="433" customFormat="1" ht="15.75">
      <c r="A48" s="446"/>
      <c r="B48" s="456"/>
      <c r="C48" s="456"/>
      <c r="D48" s="456"/>
      <c r="E48" s="456"/>
      <c r="F48" s="448"/>
      <c r="G48" s="951"/>
      <c r="H48" s="452"/>
      <c r="I48" s="430"/>
      <c r="J48" s="430"/>
      <c r="K48" s="430"/>
      <c r="L48" s="452"/>
      <c r="M48" s="452"/>
      <c r="N48" s="945"/>
      <c r="O48" s="946"/>
      <c r="P48" s="868"/>
      <c r="Q48" s="467"/>
      <c r="R48" s="948"/>
      <c r="S48" s="936"/>
      <c r="T48" s="936"/>
      <c r="U48" s="936"/>
      <c r="V48" s="945"/>
      <c r="W48" s="936"/>
      <c r="X48" s="947"/>
      <c r="Y48" s="936"/>
      <c r="Z48" s="947"/>
      <c r="AA48" s="488"/>
      <c r="AB48" s="439"/>
      <c r="AC48" s="471"/>
      <c r="AD48" s="452"/>
      <c r="AE48" s="439"/>
      <c r="AF48" s="439"/>
    </row>
    <row r="49" spans="1:56" s="433" customFormat="1" thickBot="1">
      <c r="A49" s="446"/>
      <c r="B49" s="446"/>
      <c r="C49" s="446"/>
      <c r="D49" s="446"/>
      <c r="E49" s="446"/>
      <c r="F49" s="448"/>
      <c r="G49" s="448"/>
      <c r="H49" s="430"/>
      <c r="I49" s="430"/>
      <c r="J49" s="430"/>
      <c r="K49" s="430"/>
      <c r="L49" s="439"/>
      <c r="M49" s="452"/>
      <c r="N49" s="452"/>
      <c r="O49" s="457"/>
      <c r="P49" s="466"/>
      <c r="Q49" s="467"/>
      <c r="R49" s="486"/>
      <c r="S49" s="457"/>
      <c r="T49" s="457"/>
      <c r="U49" s="457"/>
      <c r="V49" s="458"/>
      <c r="W49" s="487">
        <f>SUM(W17:W46)</f>
        <v>0</v>
      </c>
      <c r="X49" s="487"/>
      <c r="Y49" s="487"/>
      <c r="Z49" s="487"/>
      <c r="AA49" s="488"/>
      <c r="AB49" s="489"/>
      <c r="AC49" s="489"/>
      <c r="AD49" s="469" t="s">
        <v>46</v>
      </c>
      <c r="AE49" s="439"/>
      <c r="AF49" s="439"/>
    </row>
    <row r="50" spans="1:56" s="469" customFormat="1" ht="31.5">
      <c r="A50" s="479"/>
      <c r="B50" s="479"/>
      <c r="C50" s="479"/>
      <c r="D50" s="479"/>
      <c r="E50" s="479"/>
      <c r="F50" s="452"/>
      <c r="G50" s="524" t="s">
        <v>503</v>
      </c>
      <c r="H50" s="517"/>
      <c r="I50" s="518"/>
      <c r="L50" s="1842" t="s">
        <v>1348</v>
      </c>
      <c r="M50" s="525" t="s">
        <v>1294</v>
      </c>
      <c r="N50" s="525" t="s">
        <v>1295</v>
      </c>
      <c r="O50" s="526" t="s">
        <v>458</v>
      </c>
      <c r="P50" s="520"/>
      <c r="Q50" s="521"/>
      <c r="R50" s="524" t="s">
        <v>504</v>
      </c>
      <c r="S50" s="524" t="s">
        <v>455</v>
      </c>
      <c r="T50" s="521"/>
      <c r="U50" s="521"/>
      <c r="V50" s="524" t="s">
        <v>1293</v>
      </c>
      <c r="W50" s="524" t="s">
        <v>459</v>
      </c>
      <c r="X50" s="521"/>
      <c r="Y50" s="524" t="s">
        <v>1345</v>
      </c>
      <c r="Z50" s="524" t="s">
        <v>1350</v>
      </c>
      <c r="AA50" s="524" t="s">
        <v>1351</v>
      </c>
      <c r="AB50" s="524" t="s">
        <v>1353</v>
      </c>
      <c r="AC50" s="524" t="s">
        <v>1352</v>
      </c>
      <c r="AD50" s="469" t="s">
        <v>253</v>
      </c>
      <c r="AE50" s="452"/>
      <c r="AF50" s="452"/>
    </row>
    <row r="51" spans="1:56" thickBot="1">
      <c r="G51" s="522">
        <f>SUM(G17:G46)</f>
        <v>0</v>
      </c>
      <c r="I51" s="431"/>
      <c r="J51" s="518"/>
      <c r="K51" s="518"/>
      <c r="L51" s="1843"/>
      <c r="M51" s="522">
        <f>SUM(M17:M46)</f>
        <v>0</v>
      </c>
      <c r="N51" s="522">
        <f>SUM(N17:N46)</f>
        <v>0</v>
      </c>
      <c r="O51" s="902">
        <f>SUM(O17:O46)</f>
        <v>0</v>
      </c>
      <c r="P51" s="470"/>
      <c r="R51" s="924">
        <f>SUM(R17:R46)</f>
        <v>0</v>
      </c>
      <c r="S51" s="897" t="e">
        <f>(G51-R51)/G51</f>
        <v>#DIV/0!</v>
      </c>
      <c r="T51" s="446"/>
      <c r="U51" s="446"/>
      <c r="V51" s="686" t="e">
        <f>N51/W51</f>
        <v>#DIV/0!</v>
      </c>
      <c r="W51" s="516" t="e">
        <f>W49/Y51</f>
        <v>#DIV/0!</v>
      </c>
      <c r="X51" s="446"/>
      <c r="Y51" s="516"/>
      <c r="Z51" s="958">
        <f>SUM(Z17:Z46)</f>
        <v>0</v>
      </c>
      <c r="AA51" s="516">
        <f>SUM(AA17:AA46)</f>
        <v>0</v>
      </c>
      <c r="AB51" s="516">
        <f>Z51-AA51</f>
        <v>0</v>
      </c>
      <c r="AC51" s="896" t="e">
        <f>AA51/Z51</f>
        <v>#DIV/0!</v>
      </c>
    </row>
    <row r="52" spans="1:56">
      <c r="G52" s="453"/>
      <c r="M52" s="453"/>
      <c r="N52" s="453"/>
      <c r="O52"/>
      <c r="P52" s="470"/>
      <c r="R52"/>
      <c r="S52"/>
      <c r="T52"/>
      <c r="U52"/>
    </row>
    <row r="53" spans="1:56" ht="17.25" thickBot="1"/>
    <row r="54" spans="1:56" ht="15.75">
      <c r="A54" s="1824" t="s">
        <v>668</v>
      </c>
      <c r="B54" s="1824" t="s">
        <v>330</v>
      </c>
      <c r="C54" s="1826" t="s">
        <v>311</v>
      </c>
      <c r="D54" s="1828" t="s">
        <v>331</v>
      </c>
      <c r="E54" s="1828" t="s">
        <v>332</v>
      </c>
      <c r="F54" s="1830" t="s">
        <v>194</v>
      </c>
      <c r="G54" s="1830" t="s">
        <v>386</v>
      </c>
      <c r="H54" s="1832" t="s">
        <v>360</v>
      </c>
      <c r="I54" s="1832" t="s">
        <v>361</v>
      </c>
      <c r="J54" s="1832" t="s">
        <v>510</v>
      </c>
      <c r="K54" s="1832" t="s">
        <v>1320</v>
      </c>
      <c r="L54" s="1828" t="s">
        <v>362</v>
      </c>
      <c r="M54" s="1828" t="s">
        <v>514</v>
      </c>
      <c r="N54" s="1856" t="s">
        <v>511</v>
      </c>
      <c r="O54" s="1858" t="s">
        <v>457</v>
      </c>
      <c r="P54" s="1836" t="s">
        <v>379</v>
      </c>
      <c r="Q54" s="1828" t="s">
        <v>627</v>
      </c>
      <c r="R54" s="1852" t="s">
        <v>381</v>
      </c>
      <c r="S54" s="1854" t="s">
        <v>435</v>
      </c>
      <c r="T54" s="1834" t="s">
        <v>365</v>
      </c>
      <c r="U54" s="1836" t="s">
        <v>366</v>
      </c>
      <c r="V54" s="1844" t="s">
        <v>1286</v>
      </c>
      <c r="W54" s="1846" t="s">
        <v>201</v>
      </c>
      <c r="X54" s="1846" t="s">
        <v>1318</v>
      </c>
      <c r="Y54" s="1846" t="s">
        <v>1319</v>
      </c>
      <c r="Z54" s="1849" t="s">
        <v>1285</v>
      </c>
      <c r="AA54" s="1849" t="s">
        <v>339</v>
      </c>
      <c r="AB54" s="1860" t="s">
        <v>340</v>
      </c>
      <c r="AC54" s="1861"/>
      <c r="AD54" s="1862" t="s">
        <v>371</v>
      </c>
      <c r="AE54" s="1862" t="s">
        <v>383</v>
      </c>
      <c r="AF54" s="1840" t="s">
        <v>29</v>
      </c>
    </row>
    <row r="55" spans="1:56" s="447" customFormat="1" thickBot="1">
      <c r="A55" s="1825"/>
      <c r="B55" s="1825"/>
      <c r="C55" s="1827"/>
      <c r="D55" s="1829"/>
      <c r="E55" s="1829"/>
      <c r="F55" s="1831"/>
      <c r="G55" s="1831"/>
      <c r="H55" s="1833"/>
      <c r="I55" s="1833"/>
      <c r="J55" s="1833"/>
      <c r="K55" s="1838"/>
      <c r="L55" s="1829"/>
      <c r="M55" s="1839"/>
      <c r="N55" s="1857"/>
      <c r="O55" s="1859"/>
      <c r="P55" s="1837"/>
      <c r="Q55" s="1829"/>
      <c r="R55" s="1853"/>
      <c r="S55" s="1855"/>
      <c r="T55" s="1835"/>
      <c r="U55" s="1837"/>
      <c r="V55" s="1845"/>
      <c r="W55" s="1847"/>
      <c r="X55" s="1848"/>
      <c r="Y55" s="1848"/>
      <c r="Z55" s="1850"/>
      <c r="AA55" s="1851"/>
      <c r="AB55" s="491" t="s">
        <v>350</v>
      </c>
      <c r="AC55" s="491" t="s">
        <v>351</v>
      </c>
      <c r="AD55" s="1863"/>
      <c r="AE55" s="1863"/>
      <c r="AF55" s="1841"/>
      <c r="AG55" s="446"/>
      <c r="AH55" s="446"/>
      <c r="AU55" s="446"/>
      <c r="AV55" s="446"/>
      <c r="AW55" s="446"/>
      <c r="AX55" s="446"/>
      <c r="AY55" s="446"/>
      <c r="AZ55" s="446"/>
      <c r="BA55" s="446"/>
      <c r="BB55" s="446"/>
      <c r="BC55" s="446"/>
      <c r="BD55" s="446"/>
    </row>
    <row r="56" spans="1:56" s="433" customFormat="1" ht="15.75">
      <c r="A56" s="434">
        <v>113</v>
      </c>
      <c r="B56" s="434"/>
      <c r="C56" s="434">
        <v>1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>M56*Q56</f>
        <v>0</v>
      </c>
      <c r="O56" s="901">
        <f t="shared" ref="O56:O85" si="8">L56*M56</f>
        <v>0</v>
      </c>
      <c r="P56" s="460"/>
      <c r="Q56" s="438">
        <f>IFERROR(LOOKUP(1,0/((成型機資料庫!$F$8:$F$43=J56)*(成型機資料庫!$G$8:$G$43=K56)),成型機資料庫!$K$8:$K$43),0)</f>
        <v>0</v>
      </c>
      <c r="R56" s="899">
        <f t="shared" ref="R56:R85" si="9">M56*Q56*P56/1000</f>
        <v>0</v>
      </c>
      <c r="S56" s="898">
        <f t="shared" ref="S56:S85" si="10">IFERROR((G56-R56)/G56,0)</f>
        <v>0</v>
      </c>
      <c r="T56" s="482">
        <f>IFERROR(LOOKUP(1,0/((成型機資料庫!$F$8:$F$43=J56)*(成型機資料庫!$G$8:$G$43=K56)),成型機資料庫!$I$8:$I$43),0)</f>
        <v>0</v>
      </c>
      <c r="U56" s="483">
        <f>IFERROR(LOOKUP(1,0/((成型機資料庫!$F$8:$F$43=J56)*(成型機資料庫!$G$8:$G$43=K56)),成型機資料庫!$J$8:$J$43),0)</f>
        <v>0</v>
      </c>
      <c r="V56" s="900">
        <f>IFERROR(LOOKUP(1,0/((成型機資料庫!$F$8:$F$43=J56)*(成型機資料庫!$G$8:$G$43=K56)),成型機資料庫!$L$8:$L$43),0)</f>
        <v>0</v>
      </c>
      <c r="W56" s="898">
        <f t="shared" ref="W56:W85" si="11">IFERROR(M56/V56,0)</f>
        <v>0</v>
      </c>
      <c r="X56" s="923">
        <f>IFERROR(T56*U56*60*AA56/Q56,0)</f>
        <v>0</v>
      </c>
      <c r="Y56" s="898">
        <f>IFERROR(M56/X56,0)</f>
        <v>0</v>
      </c>
      <c r="Z56" s="923"/>
      <c r="AA56" s="478">
        <f t="shared" ref="AA56:AA85" si="12">AB56+AC56/60</f>
        <v>0</v>
      </c>
      <c r="AB56" s="438"/>
      <c r="AC56" s="482"/>
      <c r="AD56" s="464"/>
      <c r="AE56" s="438"/>
      <c r="AF56" s="438"/>
    </row>
    <row r="57" spans="1:56" s="433" customFormat="1" ht="15.75">
      <c r="A57" s="434">
        <v>113</v>
      </c>
      <c r="B57" s="581"/>
      <c r="C57" s="581">
        <v>2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ref="N57:N85" si="13">M57*Q57</f>
        <v>0</v>
      </c>
      <c r="O57" s="901">
        <f t="shared" si="8"/>
        <v>0</v>
      </c>
      <c r="P57" s="460"/>
      <c r="Q57" s="438">
        <f>IFERROR(LOOKUP(1,0/((成型機資料庫!$F$8:$F$43=J57)*(成型機資料庫!$G$8:$G$43=K57)),成型機資料庫!$K$8:$K$43),0)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IFERROR(LOOKUP(1,0/((成型機資料庫!$F$8:$F$43=J57)*(成型機資料庫!$G$8:$G$43=K57)),成型機資料庫!$I$8:$I$43),0)</f>
        <v>0</v>
      </c>
      <c r="U57" s="483">
        <f>IFERROR(LOOKUP(1,0/((成型機資料庫!$F$8:$F$43=J57)*(成型機資料庫!$G$8:$G$43=K57)),成型機資料庫!$J$8:$J$43),0)</f>
        <v>0</v>
      </c>
      <c r="V57" s="900">
        <f>IFERROR(LOOKUP(1,0/((成型機資料庫!$F$8:$F$43=J57)*(成型機資料庫!$G$8:$G$43=K57)),成型機資料庫!$L$8:$L$43),0)</f>
        <v>0</v>
      </c>
      <c r="W57" s="898">
        <f t="shared" si="11"/>
        <v>0</v>
      </c>
      <c r="X57" s="923">
        <f t="shared" ref="X57:X85" si="14">IFERROR(T57*U57*60*AA57/Q57,0)</f>
        <v>0</v>
      </c>
      <c r="Y57" s="898">
        <f t="shared" ref="Y57:Y85" si="15">IFERROR(M57/X57,0)</f>
        <v>0</v>
      </c>
      <c r="Z57" s="923"/>
      <c r="AA57" s="478">
        <f t="shared" si="12"/>
        <v>0</v>
      </c>
      <c r="AB57" s="438"/>
      <c r="AC57" s="482"/>
      <c r="AD57" s="464"/>
      <c r="AE57" s="438"/>
      <c r="AF57" s="438"/>
    </row>
    <row r="58" spans="1:56" s="433" customFormat="1" ht="15.75">
      <c r="A58" s="434">
        <v>113</v>
      </c>
      <c r="B58" s="581"/>
      <c r="C58" s="581">
        <v>3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IFERROR(LOOKUP(1,0/((成型機資料庫!$F$8:$F$43=J58)*(成型機資料庫!$G$8:$G$43=K58)),成型機資料庫!$K$8:$K$43),0)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IFERROR(LOOKUP(1,0/((成型機資料庫!$F$8:$F$43=J58)*(成型機資料庫!$G$8:$G$43=K58)),成型機資料庫!$I$8:$I$43),0)</f>
        <v>0</v>
      </c>
      <c r="U58" s="483">
        <f>IFERROR(LOOKUP(1,0/((成型機資料庫!$F$8:$F$43=J58)*(成型機資料庫!$G$8:$G$43=K58)),成型機資料庫!$J$8:$J$43),0)</f>
        <v>0</v>
      </c>
      <c r="V58" s="900">
        <f>IFERROR(LOOKUP(1,0/((成型機資料庫!$F$8:$F$43=J58)*(成型機資料庫!$G$8:$G$43=K58)),成型機資料庫!$L$8:$L$43),0)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38"/>
      <c r="AE58" s="438"/>
      <c r="AF58" s="438"/>
    </row>
    <row r="59" spans="1:56" s="433" customFormat="1" ht="15.75">
      <c r="A59" s="434">
        <v>113</v>
      </c>
      <c r="B59" s="581"/>
      <c r="C59" s="581">
        <v>4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IFERROR(LOOKUP(1,0/((成型機資料庫!$F$8:$F$43=J59)*(成型機資料庫!$G$8:$G$43=K59)),成型機資料庫!$K$8:$K$43),0)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IFERROR(LOOKUP(1,0/((成型機資料庫!$F$8:$F$43=J59)*(成型機資料庫!$G$8:$G$43=K59)),成型機資料庫!$I$8:$I$43),0)</f>
        <v>0</v>
      </c>
      <c r="U59" s="483">
        <f>IFERROR(LOOKUP(1,0/((成型機資料庫!$F$8:$F$43=J59)*(成型機資料庫!$G$8:$G$43=K59)),成型機資料庫!$J$8:$J$43),0)</f>
        <v>0</v>
      </c>
      <c r="V59" s="900">
        <f>IFERROR(LOOKUP(1,0/((成型機資料庫!$F$8:$F$43=J59)*(成型機資料庫!$G$8:$G$43=K59)),成型機資料庫!$L$8:$L$43),0)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38"/>
      <c r="AE59" s="464"/>
      <c r="AF59" s="438"/>
    </row>
    <row r="60" spans="1:56" s="433" customFormat="1" ht="15.75">
      <c r="A60" s="434">
        <v>113</v>
      </c>
      <c r="B60" s="581"/>
      <c r="C60" s="581">
        <v>5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IFERROR(LOOKUP(1,0/((成型機資料庫!$F$8:$F$43=J60)*(成型機資料庫!$G$8:$G$43=K60)),成型機資料庫!$K$8:$K$43),0)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IFERROR(LOOKUP(1,0/((成型機資料庫!$F$8:$F$43=J60)*(成型機資料庫!$G$8:$G$43=K60)),成型機資料庫!$I$8:$I$43),0)</f>
        <v>0</v>
      </c>
      <c r="U60" s="483">
        <f>IFERROR(LOOKUP(1,0/((成型機資料庫!$F$8:$F$43=J60)*(成型機資料庫!$G$8:$G$43=K60)),成型機資料庫!$J$8:$J$43),0)</f>
        <v>0</v>
      </c>
      <c r="V60" s="900">
        <f>IFERROR(LOOKUP(1,0/((成型機資料庫!$F$8:$F$43=J60)*(成型機資料庫!$G$8:$G$43=K60)),成型機資料庫!$L$8:$L$43),0)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38"/>
      <c r="AE60" s="438"/>
      <c r="AF60" s="438"/>
    </row>
    <row r="61" spans="1:56" s="433" customFormat="1" ht="15.75">
      <c r="A61" s="434">
        <v>113</v>
      </c>
      <c r="B61" s="581"/>
      <c r="C61" s="581">
        <v>6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IFERROR(LOOKUP(1,0/((成型機資料庫!$F$8:$F$43=J61)*(成型機資料庫!$G$8:$G$43=K61)),成型機資料庫!$K$8:$K$43),0)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IFERROR(LOOKUP(1,0/((成型機資料庫!$F$8:$F$43=J61)*(成型機資料庫!$G$8:$G$43=K61)),成型機資料庫!$I$8:$I$43),0)</f>
        <v>0</v>
      </c>
      <c r="U61" s="483">
        <f>IFERROR(LOOKUP(1,0/((成型機資料庫!$F$8:$F$43=J61)*(成型機資料庫!$G$8:$G$43=K61)),成型機資料庫!$J$8:$J$43),0)</f>
        <v>0</v>
      </c>
      <c r="V61" s="900">
        <f>IFERROR(LOOKUP(1,0/((成型機資料庫!$F$8:$F$43=J61)*(成型機資料庫!$G$8:$G$43=K61)),成型機資料庫!$L$8:$L$43),0)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879"/>
      <c r="AE61" s="438"/>
      <c r="AF61" s="438"/>
    </row>
    <row r="62" spans="1:56" s="433" customFormat="1" ht="15.75">
      <c r="A62" s="434">
        <v>113</v>
      </c>
      <c r="B62" s="581"/>
      <c r="C62" s="581">
        <v>7</v>
      </c>
      <c r="D62" s="581"/>
      <c r="E62" s="581" t="s">
        <v>43</v>
      </c>
      <c r="F62" s="436" t="s">
        <v>44</v>
      </c>
      <c r="G62" s="927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IFERROR(LOOKUP(1,0/((成型機資料庫!$F$8:$F$43=J62)*(成型機資料庫!$G$8:$G$43=K62)),成型機資料庫!$K$8:$K$43),0)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IFERROR(LOOKUP(1,0/((成型機資料庫!$F$8:$F$43=J62)*(成型機資料庫!$G$8:$G$43=K62)),成型機資料庫!$I$8:$I$43),0)</f>
        <v>0</v>
      </c>
      <c r="U62" s="483">
        <f>IFERROR(LOOKUP(1,0/((成型機資料庫!$F$8:$F$43=J62)*(成型機資料庫!$G$8:$G$43=K62)),成型機資料庫!$J$8:$J$43),0)</f>
        <v>0</v>
      </c>
      <c r="V62" s="900">
        <f>IFERROR(LOOKUP(1,0/((成型機資料庫!$F$8:$F$43=J62)*(成型機資料庫!$G$8:$G$43=K62)),成型機資料庫!$L$8:$L$43),0)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8</v>
      </c>
      <c r="D63" s="581"/>
      <c r="E63" s="581" t="s">
        <v>43</v>
      </c>
      <c r="F63" s="436" t="s">
        <v>44</v>
      </c>
      <c r="G63" s="927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IFERROR(LOOKUP(1,0/((成型機資料庫!$F$8:$F$43=J63)*(成型機資料庫!$G$8:$G$43=K63)),成型機資料庫!$K$8:$K$43),0)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IFERROR(LOOKUP(1,0/((成型機資料庫!$F$8:$F$43=J63)*(成型機資料庫!$G$8:$G$43=K63)),成型機資料庫!$I$8:$I$43),0)</f>
        <v>0</v>
      </c>
      <c r="U63" s="483">
        <f>IFERROR(LOOKUP(1,0/((成型機資料庫!$F$8:$F$43=J63)*(成型機資料庫!$G$8:$G$43=K63)),成型機資料庫!$J$8:$J$43),0)</f>
        <v>0</v>
      </c>
      <c r="V63" s="900">
        <f>IFERROR(LOOKUP(1,0/((成型機資料庫!$F$8:$F$43=J63)*(成型機資料庫!$G$8:$G$43=K63)),成型機資料庫!$L$8:$L$43),0)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56" s="433" customFormat="1" ht="15.75">
      <c r="A64" s="434">
        <v>113</v>
      </c>
      <c r="B64" s="581"/>
      <c r="C64" s="581">
        <v>9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IFERROR(LOOKUP(1,0/((成型機資料庫!$F$8:$F$43=J64)*(成型機資料庫!$G$8:$G$43=K64)),成型機資料庫!$K$8:$K$43),0)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IFERROR(LOOKUP(1,0/((成型機資料庫!$F$8:$F$43=J64)*(成型機資料庫!$G$8:$G$43=K64)),成型機資料庫!$I$8:$I$43),0)</f>
        <v>0</v>
      </c>
      <c r="U64" s="483">
        <f>IFERROR(LOOKUP(1,0/((成型機資料庫!$F$8:$F$43=J64)*(成型機資料庫!$G$8:$G$43=K64)),成型機資料庫!$J$8:$J$43),0)</f>
        <v>0</v>
      </c>
      <c r="V64" s="900">
        <f>IFERROR(LOOKUP(1,0/((成型機資料庫!$F$8:$F$43=J64)*(成型機資料庫!$G$8:$G$43=K64)),成型機資料庫!$L$8:$L$43),0)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10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IFERROR(LOOKUP(1,0/((成型機資料庫!$F$8:$F$43=J65)*(成型機資料庫!$G$8:$G$43=K65)),成型機資料庫!$K$8:$K$43),0)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IFERROR(LOOKUP(1,0/((成型機資料庫!$F$8:$F$43=J65)*(成型機資料庫!$G$8:$G$43=K65)),成型機資料庫!$I$8:$I$43),0)</f>
        <v>0</v>
      </c>
      <c r="U65" s="483">
        <f>IFERROR(LOOKUP(1,0/((成型機資料庫!$F$8:$F$43=J65)*(成型機資料庫!$G$8:$G$43=K65)),成型機資料庫!$J$8:$J$43),0)</f>
        <v>0</v>
      </c>
      <c r="V65" s="900">
        <f>IFERROR(LOOKUP(1,0/((成型機資料庫!$F$8:$F$43=J65)*(成型機資料庫!$G$8:$G$43=K65)),成型機資料庫!$L$8:$L$43),0)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11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IFERROR(LOOKUP(1,0/((成型機資料庫!$F$8:$F$43=J66)*(成型機資料庫!$G$8:$G$43=K66)),成型機資料庫!$K$8:$K$43),0)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IFERROR(LOOKUP(1,0/((成型機資料庫!$F$8:$F$43=J66)*(成型機資料庫!$G$8:$G$43=K66)),成型機資料庫!$I$8:$I$43),0)</f>
        <v>0</v>
      </c>
      <c r="U66" s="483">
        <f>IFERROR(LOOKUP(1,0/((成型機資料庫!$F$8:$F$43=J66)*(成型機資料庫!$G$8:$G$43=K66)),成型機資料庫!$J$8:$J$43),0)</f>
        <v>0</v>
      </c>
      <c r="V66" s="900">
        <f>IFERROR(LOOKUP(1,0/((成型機資料庫!$F$8:$F$43=J66)*(成型機資料庫!$G$8:$G$43=K66)),成型機資料庫!$L$8:$L$43),0)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581"/>
      <c r="C67" s="581">
        <v>12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IFERROR(LOOKUP(1,0/((成型機資料庫!$F$8:$F$43=J67)*(成型機資料庫!$G$8:$G$43=K67)),成型機資料庫!$K$8:$K$43),0)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IFERROR(LOOKUP(1,0/((成型機資料庫!$F$8:$F$43=J67)*(成型機資料庫!$G$8:$G$43=K67)),成型機資料庫!$I$8:$I$43),0)</f>
        <v>0</v>
      </c>
      <c r="U67" s="483">
        <f>IFERROR(LOOKUP(1,0/((成型機資料庫!$F$8:$F$43=J67)*(成型機資料庫!$G$8:$G$43=K67)),成型機資料庫!$J$8:$J$43),0)</f>
        <v>0</v>
      </c>
      <c r="V67" s="900">
        <f>IFERROR(LOOKUP(1,0/((成型機資料庫!$F$8:$F$43=J67)*(成型機資料庫!$G$8:$G$43=K67)),成型機資料庫!$L$8:$L$43),0)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38"/>
      <c r="AE67" s="438"/>
      <c r="AF67" s="438"/>
    </row>
    <row r="68" spans="1:32" s="433" customFormat="1" ht="15.75">
      <c r="A68" s="434">
        <v>113</v>
      </c>
      <c r="B68" s="581"/>
      <c r="C68" s="581">
        <v>13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IFERROR(LOOKUP(1,0/((成型機資料庫!$F$8:$F$43=J68)*(成型機資料庫!$G$8:$G$43=K68)),成型機資料庫!$K$8:$K$43),0)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IFERROR(LOOKUP(1,0/((成型機資料庫!$F$8:$F$43=J68)*(成型機資料庫!$G$8:$G$43=K68)),成型機資料庫!$I$8:$I$43),0)</f>
        <v>0</v>
      </c>
      <c r="U68" s="483">
        <f>IFERROR(LOOKUP(1,0/((成型機資料庫!$F$8:$F$43=J68)*(成型機資料庫!$G$8:$G$43=K68)),成型機資料庫!$J$8:$J$43),0)</f>
        <v>0</v>
      </c>
      <c r="V68" s="900">
        <f>IFERROR(LOOKUP(1,0/((成型機資料庫!$F$8:$F$43=J68)*(成型機資料庫!$G$8:$G$43=K68)),成型機資料庫!$L$8:$L$43),0)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581"/>
      <c r="C69" s="581">
        <v>14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IFERROR(LOOKUP(1,0/((成型機資料庫!$F$8:$F$43=J69)*(成型機資料庫!$G$8:$G$43=K69)),成型機資料庫!$K$8:$K$43),0)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IFERROR(LOOKUP(1,0/((成型機資料庫!$F$8:$F$43=J69)*(成型機資料庫!$G$8:$G$43=K69)),成型機資料庫!$I$8:$I$43),0)</f>
        <v>0</v>
      </c>
      <c r="U69" s="483">
        <f>IFERROR(LOOKUP(1,0/((成型機資料庫!$F$8:$F$43=J69)*(成型機資料庫!$G$8:$G$43=K69)),成型機資料庫!$J$8:$J$43),0)</f>
        <v>0</v>
      </c>
      <c r="V69" s="900">
        <f>IFERROR(LOOKUP(1,0/((成型機資料庫!$F$8:$F$43=J69)*(成型機資料庫!$G$8:$G$43=K69)),成型機資料庫!$L$8:$L$43),0)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581"/>
      <c r="C70" s="581">
        <v>15</v>
      </c>
      <c r="D70" s="581"/>
      <c r="E70" s="581" t="s">
        <v>43</v>
      </c>
      <c r="F70" s="436" t="s">
        <v>44</v>
      </c>
      <c r="G70" s="927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IFERROR(LOOKUP(1,0/((成型機資料庫!$F$8:$F$43=J70)*(成型機資料庫!$G$8:$G$43=K70)),成型機資料庫!$K$8:$K$43),0)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IFERROR(LOOKUP(1,0/((成型機資料庫!$F$8:$F$43=J70)*(成型機資料庫!$G$8:$G$43=K70)),成型機資料庫!$I$8:$I$43),0)</f>
        <v>0</v>
      </c>
      <c r="U70" s="483">
        <f>IFERROR(LOOKUP(1,0/((成型機資料庫!$F$8:$F$43=J70)*(成型機資料庫!$G$8:$G$43=K70)),成型機資料庫!$J$8:$J$43),0)</f>
        <v>0</v>
      </c>
      <c r="V70" s="900">
        <f>IFERROR(LOOKUP(1,0/((成型機資料庫!$F$8:$F$43=J70)*(成型機資料庫!$G$8:$G$43=K70)),成型機資料庫!$L$8:$L$43),0)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38"/>
      <c r="AE70" s="438"/>
      <c r="AF70" s="438"/>
    </row>
    <row r="71" spans="1:32" s="433" customFormat="1" ht="15.75">
      <c r="A71" s="434">
        <v>113</v>
      </c>
      <c r="B71" s="581"/>
      <c r="C71" s="581">
        <v>16</v>
      </c>
      <c r="D71" s="581"/>
      <c r="E71" s="581" t="s">
        <v>43</v>
      </c>
      <c r="F71" s="436" t="s">
        <v>44</v>
      </c>
      <c r="G71" s="927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IFERROR(LOOKUP(1,0/((成型機資料庫!$F$8:$F$43=J71)*(成型機資料庫!$G$8:$G$43=K71)),成型機資料庫!$K$8:$K$43),0)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IFERROR(LOOKUP(1,0/((成型機資料庫!$F$8:$F$43=J71)*(成型機資料庫!$G$8:$G$43=K71)),成型機資料庫!$I$8:$I$43),0)</f>
        <v>0</v>
      </c>
      <c r="U71" s="483">
        <f>IFERROR(LOOKUP(1,0/((成型機資料庫!$F$8:$F$43=J71)*(成型機資料庫!$G$8:$G$43=K71)),成型機資料庫!$J$8:$J$43),0)</f>
        <v>0</v>
      </c>
      <c r="V71" s="900">
        <f>IFERROR(LOOKUP(1,0/((成型機資料庫!$F$8:$F$43=J71)*(成型機資料庫!$G$8:$G$43=K71)),成型機資料庫!$L$8:$L$43),0)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64"/>
      <c r="AF71" s="438"/>
    </row>
    <row r="72" spans="1:32" s="433" customFormat="1" ht="15.75">
      <c r="A72" s="434">
        <v>113</v>
      </c>
      <c r="B72" s="581"/>
      <c r="C72" s="581">
        <v>17</v>
      </c>
      <c r="D72" s="581"/>
      <c r="E72" s="581" t="s">
        <v>43</v>
      </c>
      <c r="F72" s="436" t="s">
        <v>44</v>
      </c>
      <c r="G72" s="927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IFERROR(LOOKUP(1,0/((成型機資料庫!$F$8:$F$43=J72)*(成型機資料庫!$G$8:$G$43=K72)),成型機資料庫!$K$8:$K$43),0)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IFERROR(LOOKUP(1,0/((成型機資料庫!$F$8:$F$43=J72)*(成型機資料庫!$G$8:$G$43=K72)),成型機資料庫!$I$8:$I$43),0)</f>
        <v>0</v>
      </c>
      <c r="U72" s="483">
        <f>IFERROR(LOOKUP(1,0/((成型機資料庫!$F$8:$F$43=J72)*(成型機資料庫!$G$8:$G$43=K72)),成型機資料庫!$J$8:$J$43),0)</f>
        <v>0</v>
      </c>
      <c r="V72" s="900">
        <f>IFERROR(LOOKUP(1,0/((成型機資料庫!$F$8:$F$43=J72)*(成型機資料庫!$G$8:$G$43=K72)),成型機資料庫!$L$8:$L$43),0)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18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IFERROR(LOOKUP(1,0/((成型機資料庫!$F$8:$F$43=J73)*(成型機資料庫!$G$8:$G$43=K73)),成型機資料庫!$K$8:$K$43),0)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IFERROR(LOOKUP(1,0/((成型機資料庫!$F$8:$F$43=J73)*(成型機資料庫!$G$8:$G$43=K73)),成型機資料庫!$I$8:$I$43),0)</f>
        <v>0</v>
      </c>
      <c r="U73" s="483">
        <f>IFERROR(LOOKUP(1,0/((成型機資料庫!$F$8:$F$43=J73)*(成型機資料庫!$G$8:$G$43=K73)),成型機資料庫!$J$8:$J$43),0)</f>
        <v>0</v>
      </c>
      <c r="V73" s="900">
        <f>IFERROR(LOOKUP(1,0/((成型機資料庫!$F$8:$F$43=J73)*(成型機資料庫!$G$8:$G$43=K73)),成型機資料庫!$L$8:$L$43),0)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19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IFERROR(LOOKUP(1,0/((成型機資料庫!$F$8:$F$43=J74)*(成型機資料庫!$G$8:$G$43=K74)),成型機資料庫!$K$8:$K$43),0)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IFERROR(LOOKUP(1,0/((成型機資料庫!$F$8:$F$43=J74)*(成型機資料庫!$G$8:$G$43=K74)),成型機資料庫!$I$8:$I$43),0)</f>
        <v>0</v>
      </c>
      <c r="U74" s="483">
        <f>IFERROR(LOOKUP(1,0/((成型機資料庫!$F$8:$F$43=J74)*(成型機資料庫!$G$8:$G$43=K74)),成型機資料庫!$J$8:$J$43),0)</f>
        <v>0</v>
      </c>
      <c r="V74" s="900">
        <f>IFERROR(LOOKUP(1,0/((成型機資料庫!$F$8:$F$43=J74)*(成型機資料庫!$G$8:$G$43=K74)),成型機資料庫!$L$8:$L$43),0)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20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IFERROR(LOOKUP(1,0/((成型機資料庫!$F$8:$F$43=J75)*(成型機資料庫!$G$8:$G$43=K75)),成型機資料庫!$K$8:$K$43),0)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IFERROR(LOOKUP(1,0/((成型機資料庫!$F$8:$F$43=J75)*(成型機資料庫!$G$8:$G$43=K75)),成型機資料庫!$I$8:$I$43),0)</f>
        <v>0</v>
      </c>
      <c r="U75" s="483">
        <f>IFERROR(LOOKUP(1,0/((成型機資料庫!$F$8:$F$43=J75)*(成型機資料庫!$G$8:$G$43=K75)),成型機資料庫!$J$8:$J$43),0)</f>
        <v>0</v>
      </c>
      <c r="V75" s="900">
        <f>IFERROR(LOOKUP(1,0/((成型機資料庫!$F$8:$F$43=J75)*(成型機資料庫!$G$8:$G$43=K75)),成型機資料庫!$L$8:$L$43),0)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21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IFERROR(LOOKUP(1,0/((成型機資料庫!$F$8:$F$43=J76)*(成型機資料庫!$G$8:$G$43=K76)),成型機資料庫!$K$8:$K$43),0)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IFERROR(LOOKUP(1,0/((成型機資料庫!$F$8:$F$43=J76)*(成型機資料庫!$G$8:$G$43=K76)),成型機資料庫!$I$8:$I$43),0)</f>
        <v>0</v>
      </c>
      <c r="U76" s="483">
        <f>IFERROR(LOOKUP(1,0/((成型機資料庫!$F$8:$F$43=J76)*(成型機資料庫!$G$8:$G$43=K76)),成型機資料庫!$J$8:$J$43),0)</f>
        <v>0</v>
      </c>
      <c r="V76" s="900">
        <f>IFERROR(LOOKUP(1,0/((成型機資料庫!$F$8:$F$43=J76)*(成型機資料庫!$G$8:$G$43=K76)),成型機資料庫!$L$8:$L$43),0)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38"/>
      <c r="AF76" s="438"/>
    </row>
    <row r="77" spans="1:32" s="433" customFormat="1" ht="15.75">
      <c r="A77" s="434">
        <v>113</v>
      </c>
      <c r="B77" s="434"/>
      <c r="C77" s="434">
        <v>22</v>
      </c>
      <c r="D77" s="581"/>
      <c r="E77" s="581" t="s">
        <v>43</v>
      </c>
      <c r="F77" s="436" t="s">
        <v>44</v>
      </c>
      <c r="G77" s="927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IFERROR(LOOKUP(1,0/((成型機資料庫!$F$8:$F$43=J77)*(成型機資料庫!$G$8:$G$43=K77)),成型機資料庫!$K$8:$K$43),0)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IFERROR(LOOKUP(1,0/((成型機資料庫!$F$8:$F$43=J77)*(成型機資料庫!$G$8:$G$43=K77)),成型機資料庫!$I$8:$I$43),0)</f>
        <v>0</v>
      </c>
      <c r="U77" s="483">
        <f>IFERROR(LOOKUP(1,0/((成型機資料庫!$F$8:$F$43=J77)*(成型機資料庫!$G$8:$G$43=K77)),成型機資料庫!$J$8:$J$43),0)</f>
        <v>0</v>
      </c>
      <c r="V77" s="900">
        <f>IFERROR(LOOKUP(1,0/((成型機資料庫!$F$8:$F$43=J77)*(成型機資料庫!$G$8:$G$43=K77)),成型機資料庫!$L$8:$L$43),0)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434"/>
      <c r="C78" s="434">
        <v>23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IFERROR(LOOKUP(1,0/((成型機資料庫!$F$8:$F$43=J78)*(成型機資料庫!$G$8:$G$43=K78)),成型機資料庫!$K$8:$K$43),0)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IFERROR(LOOKUP(1,0/((成型機資料庫!$F$8:$F$43=J78)*(成型機資料庫!$G$8:$G$43=K78)),成型機資料庫!$I$8:$I$43),0)</f>
        <v>0</v>
      </c>
      <c r="U78" s="483">
        <f>IFERROR(LOOKUP(1,0/((成型機資料庫!$F$8:$F$43=J78)*(成型機資料庫!$G$8:$G$43=K78)),成型機資料庫!$J$8:$J$43),0)</f>
        <v>0</v>
      </c>
      <c r="V78" s="900">
        <f>IFERROR(LOOKUP(1,0/((成型機資料庫!$F$8:$F$43=J78)*(成型機資料庫!$G$8:$G$43=K78)),成型機資料庫!$L$8:$L$43),0)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64"/>
      <c r="AF78" s="438"/>
    </row>
    <row r="79" spans="1:32" s="433" customFormat="1" ht="15.75">
      <c r="A79" s="434">
        <v>113</v>
      </c>
      <c r="B79" s="434"/>
      <c r="C79" s="434">
        <v>24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IFERROR(LOOKUP(1,0/((成型機資料庫!$F$8:$F$43=J79)*(成型機資料庫!$G$8:$G$43=K79)),成型機資料庫!$K$8:$K$43),0)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IFERROR(LOOKUP(1,0/((成型機資料庫!$F$8:$F$43=J79)*(成型機資料庫!$G$8:$G$43=K79)),成型機資料庫!$I$8:$I$43),0)</f>
        <v>0</v>
      </c>
      <c r="U79" s="483">
        <f>IFERROR(LOOKUP(1,0/((成型機資料庫!$F$8:$F$43=J79)*(成型機資料庫!$G$8:$G$43=K79)),成型機資料庫!$J$8:$J$43),0)</f>
        <v>0</v>
      </c>
      <c r="V79" s="900">
        <f>IFERROR(LOOKUP(1,0/((成型機資料庫!$F$8:$F$43=J79)*(成型機資料庫!$G$8:$G$43=K79)),成型機資料庫!$L$8:$L$43),0)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38"/>
      <c r="AF79" s="438"/>
    </row>
    <row r="80" spans="1:32" s="433" customFormat="1" ht="15.75">
      <c r="A80" s="434">
        <v>113</v>
      </c>
      <c r="B80" s="434"/>
      <c r="C80" s="434">
        <v>25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IFERROR(LOOKUP(1,0/((成型機資料庫!$F$8:$F$43=J80)*(成型機資料庫!$G$8:$G$43=K80)),成型機資料庫!$K$8:$K$43),0)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IFERROR(LOOKUP(1,0/((成型機資料庫!$F$8:$F$43=J80)*(成型機資料庫!$G$8:$G$43=K80)),成型機資料庫!$I$8:$I$43),0)</f>
        <v>0</v>
      </c>
      <c r="U80" s="483">
        <f>IFERROR(LOOKUP(1,0/((成型機資料庫!$F$8:$F$43=J80)*(成型機資料庫!$G$8:$G$43=K80)),成型機資料庫!$J$8:$J$43),0)</f>
        <v>0</v>
      </c>
      <c r="V80" s="900">
        <f>IFERROR(LOOKUP(1,0/((成型機資料庫!$F$8:$F$43=J80)*(成型機資料庫!$G$8:$G$43=K80)),成型機資料庫!$L$8:$L$43),0)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64"/>
      <c r="AF80" s="438"/>
    </row>
    <row r="81" spans="1:56" s="433" customFormat="1" ht="15.75">
      <c r="A81" s="434">
        <v>113</v>
      </c>
      <c r="B81" s="434"/>
      <c r="C81" s="434">
        <v>26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IFERROR(LOOKUP(1,0/((成型機資料庫!$F$8:$F$43=J81)*(成型機資料庫!$G$8:$G$43=K81)),成型機資料庫!$K$8:$K$43),0)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IFERROR(LOOKUP(1,0/((成型機資料庫!$F$8:$F$43=J81)*(成型機資料庫!$G$8:$G$43=K81)),成型機資料庫!$I$8:$I$43),0)</f>
        <v>0</v>
      </c>
      <c r="U81" s="483">
        <f>IFERROR(LOOKUP(1,0/((成型機資料庫!$F$8:$F$43=J81)*(成型機資料庫!$G$8:$G$43=K81)),成型機資料庫!$J$8:$J$43),0)</f>
        <v>0</v>
      </c>
      <c r="V81" s="900">
        <f>IFERROR(LOOKUP(1,0/((成型機資料庫!$F$8:$F$43=J81)*(成型機資料庫!$G$8:$G$43=K81)),成型機資料庫!$L$8:$L$43),0)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38"/>
      <c r="AE81" s="464"/>
      <c r="AF81" s="438"/>
    </row>
    <row r="82" spans="1:56" s="433" customFormat="1" ht="15.75">
      <c r="A82" s="434">
        <v>113</v>
      </c>
      <c r="B82" s="434"/>
      <c r="C82" s="434">
        <v>27</v>
      </c>
      <c r="D82" s="581"/>
      <c r="E82" s="581" t="s">
        <v>43</v>
      </c>
      <c r="F82" s="436" t="s">
        <v>44</v>
      </c>
      <c r="G82" s="926"/>
      <c r="H82" s="464"/>
      <c r="I82" s="429"/>
      <c r="J82" s="429"/>
      <c r="K82" s="429"/>
      <c r="L82" s="464"/>
      <c r="M82" s="464"/>
      <c r="N82" s="900">
        <f t="shared" si="13"/>
        <v>0</v>
      </c>
      <c r="O82" s="901">
        <f t="shared" si="8"/>
        <v>0</v>
      </c>
      <c r="P82" s="460"/>
      <c r="Q82" s="438">
        <f>IFERROR(LOOKUP(1,0/((成型機資料庫!$F$8:$F$43=J82)*(成型機資料庫!$G$8:$G$43=K82)),成型機資料庫!$K$8:$K$43),0)</f>
        <v>0</v>
      </c>
      <c r="R82" s="899">
        <f t="shared" si="9"/>
        <v>0</v>
      </c>
      <c r="S82" s="898">
        <f t="shared" si="10"/>
        <v>0</v>
      </c>
      <c r="T82" s="482">
        <f>IFERROR(LOOKUP(1,0/((成型機資料庫!$F$8:$F$43=J82)*(成型機資料庫!$G$8:$G$43=K82)),成型機資料庫!$I$8:$I$43),0)</f>
        <v>0</v>
      </c>
      <c r="U82" s="483">
        <f>IFERROR(LOOKUP(1,0/((成型機資料庫!$F$8:$F$43=J82)*(成型機資料庫!$G$8:$G$43=K82)),成型機資料庫!$J$8:$J$43),0)</f>
        <v>0</v>
      </c>
      <c r="V82" s="900">
        <f>IFERROR(LOOKUP(1,0/((成型機資料庫!$F$8:$F$43=J82)*(成型機資料庫!$G$8:$G$43=K82)),成型機資料庫!$L$8:$L$43),0)</f>
        <v>0</v>
      </c>
      <c r="W82" s="898">
        <f t="shared" si="11"/>
        <v>0</v>
      </c>
      <c r="X82" s="923">
        <f t="shared" si="14"/>
        <v>0</v>
      </c>
      <c r="Y82" s="898">
        <f t="shared" si="15"/>
        <v>0</v>
      </c>
      <c r="Z82" s="923"/>
      <c r="AA82" s="478">
        <f t="shared" si="12"/>
        <v>0</v>
      </c>
      <c r="AB82" s="438"/>
      <c r="AC82" s="482"/>
      <c r="AD82" s="464"/>
      <c r="AE82" s="438"/>
      <c r="AF82" s="438"/>
    </row>
    <row r="83" spans="1:56" s="433" customFormat="1" ht="15.75">
      <c r="A83" s="434">
        <v>113</v>
      </c>
      <c r="B83" s="581"/>
      <c r="C83" s="581">
        <v>28</v>
      </c>
      <c r="D83" s="581"/>
      <c r="E83" s="581" t="s">
        <v>43</v>
      </c>
      <c r="F83" s="436" t="s">
        <v>44</v>
      </c>
      <c r="G83" s="926"/>
      <c r="H83" s="464"/>
      <c r="I83" s="429"/>
      <c r="J83" s="429"/>
      <c r="K83" s="429"/>
      <c r="L83" s="464"/>
      <c r="M83" s="464"/>
      <c r="N83" s="900">
        <f t="shared" si="13"/>
        <v>0</v>
      </c>
      <c r="O83" s="901">
        <f t="shared" si="8"/>
        <v>0</v>
      </c>
      <c r="P83" s="460"/>
      <c r="Q83" s="438">
        <f>IFERROR(LOOKUP(1,0/((成型機資料庫!$F$8:$F$43=J83)*(成型機資料庫!$G$8:$G$43=K83)),成型機資料庫!$K$8:$K$43),0)</f>
        <v>0</v>
      </c>
      <c r="R83" s="899">
        <f t="shared" si="9"/>
        <v>0</v>
      </c>
      <c r="S83" s="898">
        <f t="shared" si="10"/>
        <v>0</v>
      </c>
      <c r="T83" s="482">
        <f>IFERROR(LOOKUP(1,0/((成型機資料庫!$F$8:$F$43=J83)*(成型機資料庫!$G$8:$G$43=K83)),成型機資料庫!$I$8:$I$43),0)</f>
        <v>0</v>
      </c>
      <c r="U83" s="483">
        <f>IFERROR(LOOKUP(1,0/((成型機資料庫!$F$8:$F$43=J83)*(成型機資料庫!$G$8:$G$43=K83)),成型機資料庫!$J$8:$J$43),0)</f>
        <v>0</v>
      </c>
      <c r="V83" s="900">
        <f>IFERROR(LOOKUP(1,0/((成型機資料庫!$F$8:$F$43=J83)*(成型機資料庫!$G$8:$G$43=K83)),成型機資料庫!$L$8:$L$43),0)</f>
        <v>0</v>
      </c>
      <c r="W83" s="898">
        <f t="shared" si="11"/>
        <v>0</v>
      </c>
      <c r="X83" s="923">
        <f t="shared" si="14"/>
        <v>0</v>
      </c>
      <c r="Y83" s="898">
        <f t="shared" si="15"/>
        <v>0</v>
      </c>
      <c r="Z83" s="923"/>
      <c r="AA83" s="478">
        <f t="shared" si="12"/>
        <v>0</v>
      </c>
      <c r="AB83" s="438"/>
      <c r="AC83" s="482"/>
      <c r="AD83" s="464"/>
      <c r="AE83" s="438"/>
      <c r="AF83" s="438"/>
    </row>
    <row r="84" spans="1:56" s="433" customFormat="1" ht="15.75">
      <c r="A84" s="434">
        <v>113</v>
      </c>
      <c r="B84" s="581"/>
      <c r="C84" s="581">
        <v>29</v>
      </c>
      <c r="D84" s="581"/>
      <c r="E84" s="581" t="s">
        <v>43</v>
      </c>
      <c r="F84" s="436" t="s">
        <v>44</v>
      </c>
      <c r="G84" s="926"/>
      <c r="H84" s="464"/>
      <c r="I84" s="429"/>
      <c r="J84" s="429"/>
      <c r="K84" s="429"/>
      <c r="L84" s="464"/>
      <c r="M84" s="464"/>
      <c r="N84" s="900">
        <f t="shared" si="13"/>
        <v>0</v>
      </c>
      <c r="O84" s="901">
        <f t="shared" si="8"/>
        <v>0</v>
      </c>
      <c r="P84" s="460"/>
      <c r="Q84" s="438">
        <f>IFERROR(LOOKUP(1,0/((成型機資料庫!$F$8:$F$43=J84)*(成型機資料庫!$G$8:$G$43=K84)),成型機資料庫!$K$8:$K$43),0)</f>
        <v>0</v>
      </c>
      <c r="R84" s="899">
        <f t="shared" si="9"/>
        <v>0</v>
      </c>
      <c r="S84" s="898">
        <f t="shared" si="10"/>
        <v>0</v>
      </c>
      <c r="T84" s="482">
        <f>IFERROR(LOOKUP(1,0/((成型機資料庫!$F$8:$F$43=J84)*(成型機資料庫!$G$8:$G$43=K84)),成型機資料庫!$I$8:$I$43),0)</f>
        <v>0</v>
      </c>
      <c r="U84" s="483">
        <f>IFERROR(LOOKUP(1,0/((成型機資料庫!$F$8:$F$43=J84)*(成型機資料庫!$G$8:$G$43=K84)),成型機資料庫!$J$8:$J$43),0)</f>
        <v>0</v>
      </c>
      <c r="V84" s="900">
        <f>IFERROR(LOOKUP(1,0/((成型機資料庫!$F$8:$F$43=J84)*(成型機資料庫!$G$8:$G$43=K84)),成型機資料庫!$L$8:$L$43),0)</f>
        <v>0</v>
      </c>
      <c r="W84" s="898">
        <f t="shared" si="11"/>
        <v>0</v>
      </c>
      <c r="X84" s="923">
        <f t="shared" si="14"/>
        <v>0</v>
      </c>
      <c r="Y84" s="898">
        <f t="shared" si="15"/>
        <v>0</v>
      </c>
      <c r="Z84" s="923"/>
      <c r="AA84" s="478">
        <f t="shared" si="12"/>
        <v>0</v>
      </c>
      <c r="AB84" s="438"/>
      <c r="AC84" s="482"/>
      <c r="AD84" s="464"/>
      <c r="AE84" s="464"/>
      <c r="AF84" s="438"/>
    </row>
    <row r="85" spans="1:56" s="433" customFormat="1" ht="15.75">
      <c r="A85" s="434">
        <v>113</v>
      </c>
      <c r="B85" s="581"/>
      <c r="C85" s="581">
        <v>30</v>
      </c>
      <c r="D85" s="581"/>
      <c r="E85" s="581" t="s">
        <v>43</v>
      </c>
      <c r="F85" s="436" t="s">
        <v>44</v>
      </c>
      <c r="G85" s="926"/>
      <c r="H85" s="464"/>
      <c r="I85" s="429"/>
      <c r="J85" s="429"/>
      <c r="K85" s="429"/>
      <c r="L85" s="464"/>
      <c r="M85" s="464"/>
      <c r="N85" s="900">
        <f t="shared" si="13"/>
        <v>0</v>
      </c>
      <c r="O85" s="901">
        <f t="shared" si="8"/>
        <v>0</v>
      </c>
      <c r="P85" s="460"/>
      <c r="Q85" s="438">
        <f>IFERROR(LOOKUP(1,0/((成型機資料庫!$F$8:$F$43=J85)*(成型機資料庫!$G$8:$G$43=K85)),成型機資料庫!$K$8:$K$43),0)</f>
        <v>0</v>
      </c>
      <c r="R85" s="899">
        <f t="shared" si="9"/>
        <v>0</v>
      </c>
      <c r="S85" s="898">
        <f t="shared" si="10"/>
        <v>0</v>
      </c>
      <c r="T85" s="482">
        <f>IFERROR(LOOKUP(1,0/((成型機資料庫!$F$8:$F$43=J85)*(成型機資料庫!$G$8:$G$43=K85)),成型機資料庫!$I$8:$I$43),0)</f>
        <v>0</v>
      </c>
      <c r="U85" s="483">
        <f>IFERROR(LOOKUP(1,0/((成型機資料庫!$F$8:$F$43=J85)*(成型機資料庫!$G$8:$G$43=K85)),成型機資料庫!$J$8:$J$43),0)</f>
        <v>0</v>
      </c>
      <c r="V85" s="900">
        <f>IFERROR(LOOKUP(1,0/((成型機資料庫!$F$8:$F$43=J85)*(成型機資料庫!$G$8:$G$43=K85)),成型機資料庫!$L$8:$L$43),0)</f>
        <v>0</v>
      </c>
      <c r="W85" s="898">
        <f t="shared" si="11"/>
        <v>0</v>
      </c>
      <c r="X85" s="923">
        <f t="shared" si="14"/>
        <v>0</v>
      </c>
      <c r="Y85" s="898">
        <f t="shared" si="15"/>
        <v>0</v>
      </c>
      <c r="Z85" s="923"/>
      <c r="AA85" s="478">
        <f t="shared" si="12"/>
        <v>0</v>
      </c>
      <c r="AB85" s="438"/>
      <c r="AC85" s="482"/>
      <c r="AD85" s="464"/>
      <c r="AE85" s="438"/>
      <c r="AF85" s="438"/>
    </row>
    <row r="86" spans="1:56" s="433" customFormat="1" ht="15.75">
      <c r="A86" s="446"/>
      <c r="B86" s="456"/>
      <c r="C86" s="456"/>
      <c r="D86" s="456"/>
      <c r="E86" s="456"/>
      <c r="F86" s="448"/>
      <c r="G86" s="951"/>
      <c r="H86" s="452"/>
      <c r="I86" s="430"/>
      <c r="J86" s="469"/>
      <c r="K86" s="469"/>
      <c r="L86" s="452"/>
      <c r="M86" s="452"/>
      <c r="N86" s="945"/>
      <c r="O86" s="946"/>
      <c r="P86" s="868"/>
      <c r="Q86" s="467"/>
      <c r="R86" s="948"/>
      <c r="S86" s="936"/>
      <c r="T86" s="936"/>
      <c r="U86" s="936"/>
      <c r="V86" s="945"/>
      <c r="W86" s="936"/>
      <c r="X86" s="947"/>
      <c r="Y86" s="936"/>
      <c r="Z86" s="947"/>
      <c r="AA86" s="488"/>
      <c r="AB86" s="439"/>
      <c r="AC86" s="471"/>
      <c r="AD86" s="452"/>
      <c r="AE86" s="439"/>
      <c r="AF86" s="439"/>
    </row>
    <row r="87" spans="1:56" s="433" customFormat="1" ht="15.75">
      <c r="A87" s="446"/>
      <c r="B87" s="456"/>
      <c r="C87" s="456"/>
      <c r="D87" s="456"/>
      <c r="E87" s="456"/>
      <c r="F87" s="448"/>
      <c r="G87" s="951"/>
      <c r="H87" s="452"/>
      <c r="I87" s="430"/>
      <c r="J87" s="469"/>
      <c r="K87" s="469"/>
      <c r="L87" s="452"/>
      <c r="M87" s="452"/>
      <c r="N87" s="945"/>
      <c r="O87" s="946"/>
      <c r="P87" s="868"/>
      <c r="Q87" s="467"/>
      <c r="R87" s="948"/>
      <c r="S87" s="936"/>
      <c r="T87" s="936"/>
      <c r="U87" s="936"/>
      <c r="V87" s="945"/>
      <c r="W87" s="936"/>
      <c r="X87" s="947"/>
      <c r="Y87" s="936"/>
      <c r="Z87" s="947"/>
      <c r="AA87" s="488"/>
      <c r="AB87" s="439"/>
      <c r="AC87" s="471"/>
      <c r="AD87" s="452"/>
      <c r="AE87" s="439"/>
      <c r="AF87" s="439"/>
    </row>
    <row r="88" spans="1:56" s="433" customFormat="1" thickBot="1">
      <c r="A88" s="446"/>
      <c r="B88" s="446"/>
      <c r="C88" s="446"/>
      <c r="D88" s="446"/>
      <c r="E88" s="446"/>
      <c r="F88" s="448"/>
      <c r="G88" s="448"/>
      <c r="H88" s="430"/>
      <c r="I88" s="430"/>
      <c r="J88" s="430"/>
      <c r="K88" s="430"/>
      <c r="L88" s="439"/>
      <c r="M88" s="452"/>
      <c r="N88" s="452"/>
      <c r="O88" s="457"/>
      <c r="P88" s="466"/>
      <c r="Q88" s="467"/>
      <c r="R88" s="486"/>
      <c r="S88" s="457"/>
      <c r="T88" s="457"/>
      <c r="U88" s="457"/>
      <c r="V88" s="458"/>
      <c r="W88" s="487">
        <f>SUM(W56:W85)</f>
        <v>0</v>
      </c>
      <c r="X88" s="487"/>
      <c r="Y88" s="487"/>
      <c r="Z88" s="487"/>
      <c r="AA88" s="488"/>
      <c r="AB88" s="489"/>
      <c r="AC88" s="489"/>
      <c r="AD88" s="469" t="s">
        <v>46</v>
      </c>
      <c r="AE88" s="439"/>
      <c r="AF88" s="439"/>
    </row>
    <row r="89" spans="1:56" s="469" customFormat="1" ht="31.5">
      <c r="A89" s="479"/>
      <c r="B89" s="479"/>
      <c r="C89" s="479"/>
      <c r="D89" s="479"/>
      <c r="E89" s="479"/>
      <c r="F89" s="452"/>
      <c r="G89" s="524" t="s">
        <v>503</v>
      </c>
      <c r="H89" s="517"/>
      <c r="I89" s="518"/>
      <c r="L89" s="1842" t="s">
        <v>1349</v>
      </c>
      <c r="M89" s="525" t="s">
        <v>1294</v>
      </c>
      <c r="N89" s="525" t="s">
        <v>1295</v>
      </c>
      <c r="O89" s="526" t="s">
        <v>458</v>
      </c>
      <c r="P89" s="520"/>
      <c r="Q89" s="521"/>
      <c r="R89" s="524" t="s">
        <v>504</v>
      </c>
      <c r="S89" s="524" t="s">
        <v>455</v>
      </c>
      <c r="T89" s="521"/>
      <c r="U89" s="521"/>
      <c r="V89" s="524" t="s">
        <v>1293</v>
      </c>
      <c r="W89" s="524" t="s">
        <v>459</v>
      </c>
      <c r="X89" s="521"/>
      <c r="Y89" s="524" t="s">
        <v>1345</v>
      </c>
      <c r="Z89" s="524" t="s">
        <v>1350</v>
      </c>
      <c r="AA89" s="524" t="s">
        <v>1351</v>
      </c>
      <c r="AB89" s="524" t="s">
        <v>1353</v>
      </c>
      <c r="AC89" s="524" t="s">
        <v>1352</v>
      </c>
      <c r="AD89" s="469" t="s">
        <v>253</v>
      </c>
      <c r="AE89" s="452"/>
      <c r="AF89" s="452"/>
    </row>
    <row r="90" spans="1:56" thickBot="1">
      <c r="G90" s="522">
        <f>SUM(G56:G85)</f>
        <v>0</v>
      </c>
      <c r="I90" s="431"/>
      <c r="J90" s="518"/>
      <c r="K90" s="518"/>
      <c r="L90" s="1843"/>
      <c r="M90" s="522">
        <f>SUM(M56:M85)</f>
        <v>0</v>
      </c>
      <c r="N90" s="522">
        <f>SUM(N56:N85)</f>
        <v>0</v>
      </c>
      <c r="O90" s="902">
        <f>SUM(O56:O85)</f>
        <v>0</v>
      </c>
      <c r="P90" s="470"/>
      <c r="R90" s="924">
        <f>SUM(R56:R85)</f>
        <v>0</v>
      </c>
      <c r="S90" s="897" t="e">
        <f>(G90-R90)/G90</f>
        <v>#DIV/0!</v>
      </c>
      <c r="T90" s="446"/>
      <c r="U90" s="446"/>
      <c r="V90" s="686" t="e">
        <f>N90/W90</f>
        <v>#DIV/0!</v>
      </c>
      <c r="W90" s="516" t="e">
        <f>W88/Y90</f>
        <v>#DIV/0!</v>
      </c>
      <c r="X90" s="446"/>
      <c r="Y90" s="516"/>
      <c r="Z90" s="958">
        <f>SUM(Z56:Z85)</f>
        <v>0</v>
      </c>
      <c r="AA90" s="516">
        <f>SUM(AA56:AA85)</f>
        <v>0</v>
      </c>
      <c r="AB90" s="516">
        <f>Z90-AA90</f>
        <v>0</v>
      </c>
      <c r="AC90" s="896" t="e">
        <f>AA90/Z90</f>
        <v>#DIV/0!</v>
      </c>
    </row>
    <row r="91" spans="1:56" s="455" customFormat="1">
      <c r="A91" s="446"/>
      <c r="B91" s="446"/>
      <c r="C91" s="446"/>
      <c r="D91" s="446"/>
      <c r="E91" s="446"/>
      <c r="F91" s="433"/>
      <c r="G91" s="454"/>
      <c r="H91" s="449"/>
      <c r="I91" s="450"/>
      <c r="J91" s="450"/>
      <c r="K91" s="450"/>
      <c r="L91" s="446"/>
      <c r="M91" s="446"/>
      <c r="N91" s="446"/>
      <c r="O91" s="472"/>
      <c r="Q91" s="446"/>
      <c r="R91" s="441"/>
      <c r="S91" s="440"/>
      <c r="T91" s="440"/>
      <c r="U91" s="440"/>
      <c r="V91" s="456"/>
      <c r="W91"/>
      <c r="X91"/>
      <c r="Y91"/>
      <c r="Z91"/>
      <c r="AA91" s="445"/>
      <c r="AB91" s="432"/>
      <c r="AC91" s="432"/>
      <c r="AD91" s="451"/>
      <c r="AE91" s="433"/>
      <c r="AF91" s="433"/>
      <c r="AG91" s="446"/>
      <c r="AH91" s="446"/>
      <c r="AI91" s="446"/>
      <c r="AJ91" s="446"/>
      <c r="AK91" s="446"/>
      <c r="AL91" s="446"/>
      <c r="AM91" s="446"/>
      <c r="AN91" s="446"/>
      <c r="AO91" s="446"/>
      <c r="AP91" s="446"/>
      <c r="AQ91" s="446"/>
      <c r="AR91" s="446"/>
      <c r="AS91" s="446"/>
      <c r="AT91" s="446"/>
      <c r="AU91" s="446"/>
      <c r="AV91" s="446"/>
      <c r="AW91" s="446"/>
      <c r="AX91" s="446"/>
      <c r="AY91" s="446"/>
      <c r="AZ91" s="446"/>
      <c r="BA91" s="446"/>
      <c r="BB91" s="446"/>
      <c r="BC91" s="446"/>
      <c r="BD91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54:AF55"/>
    <mergeCell ref="L89:L90"/>
    <mergeCell ref="X54:X55"/>
    <mergeCell ref="Y54:Y55"/>
    <mergeCell ref="Z54:Z55"/>
    <mergeCell ref="AA54:AA55"/>
    <mergeCell ref="AB54:AC54"/>
    <mergeCell ref="AD54:AD55"/>
    <mergeCell ref="R54:R55"/>
    <mergeCell ref="S54:S55"/>
    <mergeCell ref="T54:T55"/>
    <mergeCell ref="U54:U55"/>
    <mergeCell ref="V54:V55"/>
    <mergeCell ref="W54:W55"/>
    <mergeCell ref="L54:L55"/>
    <mergeCell ref="P54:P55"/>
    <mergeCell ref="AB2:AC2"/>
    <mergeCell ref="AD2:AD3"/>
    <mergeCell ref="AE2:AE3"/>
    <mergeCell ref="M54:M55"/>
    <mergeCell ref="N54:N55"/>
    <mergeCell ref="O54:O55"/>
    <mergeCell ref="Q54:Q55"/>
    <mergeCell ref="AE54:AE55"/>
    <mergeCell ref="AF2:AF3"/>
    <mergeCell ref="L50:L51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54:A55"/>
    <mergeCell ref="B54:B55"/>
    <mergeCell ref="C54:C55"/>
    <mergeCell ref="D54:D55"/>
    <mergeCell ref="E54:E55"/>
    <mergeCell ref="K54:K55"/>
    <mergeCell ref="F54:F55"/>
    <mergeCell ref="G54:G55"/>
    <mergeCell ref="H54:H55"/>
    <mergeCell ref="I54:I55"/>
    <mergeCell ref="J54:J55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43">
    <cfRule type="cellIs" dxfId="815" priority="3" stopIfTrue="1" operator="equal">
      <formula>"未開機"</formula>
    </cfRule>
  </conditionalFormatting>
  <conditionalFormatting sqref="R56:U87">
    <cfRule type="expression" dxfId="814" priority="1" stopIfTrue="1">
      <formula>R56=0</formula>
    </cfRule>
  </conditionalFormatting>
  <conditionalFormatting sqref="W17:W48">
    <cfRule type="cellIs" dxfId="813" priority="34" stopIfTrue="1" operator="between">
      <formula>0.851</formula>
      <formula>1</formula>
    </cfRule>
    <cfRule type="cellIs" dxfId="812" priority="33" stopIfTrue="1" operator="lessThan">
      <formula>0.7</formula>
    </cfRule>
    <cfRule type="expression" dxfId="811" priority="32" stopIfTrue="1">
      <formula>W17=0</formula>
    </cfRule>
    <cfRule type="expression" dxfId="810" priority="36" stopIfTrue="1">
      <formula>W17=0</formula>
    </cfRule>
    <cfRule type="cellIs" dxfId="809" priority="35" stopIfTrue="1" operator="between">
      <formula>0.7</formula>
      <formula>0.85</formula>
    </cfRule>
  </conditionalFormatting>
  <conditionalFormatting sqref="W56:W87">
    <cfRule type="expression" dxfId="808" priority="15" stopIfTrue="1">
      <formula>W56=0</formula>
    </cfRule>
    <cfRule type="cellIs" dxfId="807" priority="16" stopIfTrue="1" operator="lessThan">
      <formula>0.7</formula>
    </cfRule>
    <cfRule type="cellIs" dxfId="806" priority="17" stopIfTrue="1" operator="between">
      <formula>0.851</formula>
      <formula>1</formula>
    </cfRule>
    <cfRule type="cellIs" dxfId="805" priority="18" stopIfTrue="1" operator="between">
      <formula>0.7</formula>
      <formula>0.85</formula>
    </cfRule>
    <cfRule type="expression" dxfId="804" priority="19" stopIfTrue="1">
      <formula>W56=0</formula>
    </cfRule>
  </conditionalFormatting>
  <conditionalFormatting sqref="W4:Y15 S4:U4 S5:S15 T5:U46 R17:S46 Z17:Z48 R47:U48">
    <cfRule type="expression" dxfId="803" priority="40" stopIfTrue="1">
      <formula>R4=0</formula>
    </cfRule>
  </conditionalFormatting>
  <conditionalFormatting sqref="W4:Y15">
    <cfRule type="cellIs" dxfId="802" priority="37" stopIfTrue="1" operator="lessThan">
      <formula>0.7</formula>
    </cfRule>
    <cfRule type="cellIs" dxfId="801" priority="38" stopIfTrue="1" operator="between">
      <formula>0.851</formula>
      <formula>1</formula>
    </cfRule>
    <cfRule type="cellIs" dxfId="800" priority="39" stopIfTrue="1" operator="between">
      <formula>0.7</formula>
      <formula>0.85</formula>
    </cfRule>
  </conditionalFormatting>
  <conditionalFormatting sqref="X18:X48">
    <cfRule type="cellIs" dxfId="799" priority="22" stopIfTrue="1" operator="lessThan">
      <formula>0.7</formula>
    </cfRule>
    <cfRule type="cellIs" dxfId="798" priority="23" stopIfTrue="1" operator="between">
      <formula>0.851</formula>
      <formula>1</formula>
    </cfRule>
    <cfRule type="cellIs" dxfId="797" priority="24" stopIfTrue="1" operator="between">
      <formula>0.7</formula>
      <formula>0.85</formula>
    </cfRule>
    <cfRule type="expression" dxfId="796" priority="25" stopIfTrue="1">
      <formula>X18=0</formula>
    </cfRule>
    <cfRule type="expression" dxfId="795" priority="21" stopIfTrue="1">
      <formula>X18=0</formula>
    </cfRule>
  </conditionalFormatting>
  <conditionalFormatting sqref="X57:X87">
    <cfRule type="expression" dxfId="794" priority="4" stopIfTrue="1">
      <formula>X57=0</formula>
    </cfRule>
    <cfRule type="cellIs" dxfId="793" priority="5" stopIfTrue="1" operator="lessThan">
      <formula>0.7</formula>
    </cfRule>
    <cfRule type="cellIs" dxfId="792" priority="6" stopIfTrue="1" operator="between">
      <formula>0.851</formula>
      <formula>1</formula>
    </cfRule>
    <cfRule type="cellIs" dxfId="791" priority="7" stopIfTrue="1" operator="between">
      <formula>0.7</formula>
      <formula>0.85</formula>
    </cfRule>
    <cfRule type="expression" dxfId="790" priority="8" stopIfTrue="1">
      <formula>X57=0</formula>
    </cfRule>
  </conditionalFormatting>
  <conditionalFormatting sqref="X17:Y17 Y18:Y48">
    <cfRule type="expression" dxfId="789" priority="27" stopIfTrue="1">
      <formula>X17=0</formula>
    </cfRule>
    <cfRule type="cellIs" dxfId="788" priority="28" stopIfTrue="1" operator="lessThan">
      <formula>0.7</formula>
    </cfRule>
    <cfRule type="cellIs" dxfId="787" priority="29" stopIfTrue="1" operator="between">
      <formula>0.851</formula>
      <formula>1</formula>
    </cfRule>
    <cfRule type="cellIs" dxfId="786" priority="30" stopIfTrue="1" operator="between">
      <formula>0.7</formula>
      <formula>0.85</formula>
    </cfRule>
    <cfRule type="expression" dxfId="785" priority="31" stopIfTrue="1">
      <formula>X17=0</formula>
    </cfRule>
  </conditionalFormatting>
  <conditionalFormatting sqref="X56:Y56 Y57:Y87">
    <cfRule type="expression" dxfId="784" priority="10" stopIfTrue="1">
      <formula>X56=0</formula>
    </cfRule>
    <cfRule type="expression" dxfId="783" priority="14" stopIfTrue="1">
      <formula>X56=0</formula>
    </cfRule>
    <cfRule type="cellIs" dxfId="782" priority="13" stopIfTrue="1" operator="between">
      <formula>0.7</formula>
      <formula>0.85</formula>
    </cfRule>
    <cfRule type="cellIs" dxfId="781" priority="12" stopIfTrue="1" operator="between">
      <formula>0.851</formula>
      <formula>1</formula>
    </cfRule>
    <cfRule type="cellIs" dxfId="780" priority="11" stopIfTrue="1" operator="lessThan">
      <formula>0.7</formula>
    </cfRule>
  </conditionalFormatting>
  <conditionalFormatting sqref="Y17:Y48">
    <cfRule type="cellIs" dxfId="779" priority="26" stopIfTrue="1" operator="greaterThan">
      <formula>1</formula>
    </cfRule>
  </conditionalFormatting>
  <conditionalFormatting sqref="Y56:Y87">
    <cfRule type="cellIs" dxfId="778" priority="9" stopIfTrue="1" operator="greaterThan">
      <formula>1</formula>
    </cfRule>
  </conditionalFormatting>
  <conditionalFormatting sqref="Z56:Z87">
    <cfRule type="expression" dxfId="777" priority="20" stopIfTrue="1">
      <formula>Z56=0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461F17-59F5-4E09-9B11-9A4DAA52CEB1}">
          <x14:formula1>
            <xm:f>成型機資料庫!$A$9:$A$11</xm:f>
          </x14:formula1>
          <xm:sqref>K4:K46 K56:K85</xm:sqref>
        </x14:dataValidation>
        <x14:dataValidation type="list" allowBlank="1" showInputMessage="1" showErrorMessage="1" xr:uid="{FF5D9566-9E02-49DF-BDAD-EB157ED8395E}">
          <x14:formula1>
            <xm:f>規格清單!$C$22:$C$33</xm:f>
          </x14:formula1>
          <xm:sqref>J56:J85 J4:J46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8A96-BD22-4D4E-92B3-CABBB212A277}">
  <dimension ref="A1:BD89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460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6" t="s">
        <v>59</v>
      </c>
      <c r="G4" s="464"/>
      <c r="H4" s="429" t="s">
        <v>921</v>
      </c>
      <c r="I4" s="530" t="s">
        <v>259</v>
      </c>
      <c r="J4" s="530" t="s">
        <v>1471</v>
      </c>
      <c r="K4" s="429" t="s">
        <v>1301</v>
      </c>
      <c r="L4" s="438">
        <v>115</v>
      </c>
      <c r="M4" s="464"/>
      <c r="N4" s="464"/>
      <c r="O4" s="443">
        <f>L4*M4</f>
        <v>0</v>
      </c>
      <c r="P4" s="473">
        <v>4.2</v>
      </c>
      <c r="Q4" s="513">
        <f>IFERROR(LOOKUP(1,0/((成型機資料庫!$F$44:$F$73=J4)*(成型機資料庫!$G$44:$G$73=K4)),成型機資料庫!$K$44:$K$73),0)</f>
        <v>500</v>
      </c>
      <c r="R4" s="477">
        <f>M4*Q4*P4/1000</f>
        <v>0</v>
      </c>
      <c r="S4" s="898">
        <f>IFERROR((G4-R4)/G4,0)</f>
        <v>0</v>
      </c>
      <c r="T4" s="474">
        <f>IFERROR(LOOKUP(1,0/((成型機資料庫!$F$44:$F$73=J4)*(成型機資料庫!$G$44:$G$73=K4)),成型機資料庫!$I$44:$I$73),0)</f>
        <v>36</v>
      </c>
      <c r="U4" s="473">
        <f>IFERROR(LOOKUP(1,0/((成型機資料庫!$F$44:$F$73=J4)*(成型機資料庫!$G$44:$G$73=K4)),成型機資料庫!$J$44:$J$73),0)</f>
        <v>9</v>
      </c>
      <c r="V4" s="900">
        <f>IFERROR(LOOKUP(1,0/((成型機資料庫!$F$44:$F$73=J4)*(成型機資料庫!$G$44:$G$73=K4)),成型機資料庫!$L$44:$L$73),0)</f>
        <v>427.68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6" t="s">
        <v>59</v>
      </c>
      <c r="G5" s="464"/>
      <c r="H5" s="429" t="s">
        <v>963</v>
      </c>
      <c r="I5" s="530" t="s">
        <v>262</v>
      </c>
      <c r="J5" s="530" t="s">
        <v>1470</v>
      </c>
      <c r="K5" s="429" t="s">
        <v>1301</v>
      </c>
      <c r="L5" s="438">
        <f>0.36*600</f>
        <v>216</v>
      </c>
      <c r="M5" s="464"/>
      <c r="N5" s="464"/>
      <c r="O5" s="443"/>
      <c r="P5" s="473">
        <v>5.6</v>
      </c>
      <c r="Q5" s="513">
        <f>IFERROR(LOOKUP(1,0/((成型機資料庫!$F$44:$F$73=J5)*(成型機資料庫!$G$44:$G$73=K5)),成型機資料庫!$K$44:$K$73),0)</f>
        <v>600</v>
      </c>
      <c r="R5" s="477"/>
      <c r="S5" s="898"/>
      <c r="T5" s="474">
        <f>IFERROR(LOOKUP(1,0/((成型機資料庫!$F$44:$F$73=J5)*(成型機資料庫!$G$44:$G$73=K5)),成型機資料庫!$I$44:$I$73),0)</f>
        <v>30</v>
      </c>
      <c r="U5" s="473">
        <f>IFERROR(LOOKUP(1,0/((成型機資料庫!$F$44:$F$73=J5)*(成型機資料庫!$G$44:$G$73=K5)),成型機資料庫!$J$44:$J$73),0)</f>
        <v>13.3</v>
      </c>
      <c r="V5" s="900">
        <f>IFERROR(LOOKUP(1,0/((成型機資料庫!$F$44:$F$73=J5)*(成型機資料庫!$G$44:$G$73=K5)),成型機資料庫!$L$44:$L$73),0)</f>
        <v>438.9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6" t="s">
        <v>59</v>
      </c>
      <c r="G6" s="464"/>
      <c r="H6" s="429" t="s">
        <v>938</v>
      </c>
      <c r="I6" s="530" t="s">
        <v>261</v>
      </c>
      <c r="J6" s="530" t="s">
        <v>1473</v>
      </c>
      <c r="K6" s="429" t="s">
        <v>1301</v>
      </c>
      <c r="L6" s="438">
        <v>174</v>
      </c>
      <c r="M6" s="464"/>
      <c r="N6" s="464"/>
      <c r="O6" s="443"/>
      <c r="P6" s="473">
        <v>4.5</v>
      </c>
      <c r="Q6" s="513">
        <f>IFERROR(LOOKUP(1,0/((成型機資料庫!$F$44:$F$73=J6)*(成型機資料庫!$G$44:$G$73=K6)),成型機資料庫!$K$44:$K$73),0)</f>
        <v>600</v>
      </c>
      <c r="R6" s="477"/>
      <c r="S6" s="898"/>
      <c r="T6" s="474">
        <f>IFERROR(LOOKUP(1,0/((成型機資料庫!$F$44:$F$73=J6)*(成型機資料庫!$G$44:$G$73=K6)),成型機資料庫!$I$44:$I$73),0)</f>
        <v>24</v>
      </c>
      <c r="U6" s="473">
        <f>IFERROR(LOOKUP(1,0/((成型機資料庫!$F$44:$F$73=J6)*(成型機資料庫!$G$44:$G$73=K6)),成型機資料庫!$J$44:$J$73),0)</f>
        <v>12.7</v>
      </c>
      <c r="V6" s="900">
        <f>IFERROR(LOOKUP(1,0/((成型機資料庫!$F$44:$F$73=J6)*(成型機資料庫!$G$44:$G$73=K6)),成型機資料庫!$L$44:$L$73),0)</f>
        <v>335.28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6" t="s">
        <v>59</v>
      </c>
      <c r="G7" s="464"/>
      <c r="H7" s="429" t="s">
        <v>1360</v>
      </c>
      <c r="I7" s="464" t="s">
        <v>467</v>
      </c>
      <c r="J7" s="464" t="s">
        <v>1462</v>
      </c>
      <c r="K7" s="429" t="s">
        <v>1301</v>
      </c>
      <c r="L7" s="464">
        <v>300</v>
      </c>
      <c r="M7" s="464"/>
      <c r="N7" s="464"/>
      <c r="O7" s="443"/>
      <c r="P7" s="473">
        <v>2.2999999999999998</v>
      </c>
      <c r="Q7" s="513">
        <f>IFERROR(LOOKUP(1,0/((成型機資料庫!$F$44:$F$73=J7)*(成型機資料庫!$G$44:$G$73=K7)),成型機資料庫!$K$44:$K$73),0)</f>
        <v>1000</v>
      </c>
      <c r="R7" s="477"/>
      <c r="S7" s="898"/>
      <c r="T7" s="474">
        <f>IFERROR(LOOKUP(1,0/((成型機資料庫!$F$44:$F$73=J7)*(成型機資料庫!$G$44:$G$73=K7)),成型機資料庫!$I$44:$I$73),0)</f>
        <v>56</v>
      </c>
      <c r="U7" s="473">
        <f>IFERROR(LOOKUP(1,0/((成型機資料庫!$F$44:$F$73=J7)*(成型機資料庫!$G$44:$G$73=K7)),成型機資料庫!$J$44:$J$73),0)</f>
        <v>10.7</v>
      </c>
      <c r="V7" s="900">
        <f>IFERROR(LOOKUP(1,0/((成型機資料庫!$F$44:$F$73=J7)*(成型機資料庫!$G$44:$G$73=K7)),成型機資料庫!$L$44:$L$73),0)</f>
        <v>395.47199999999992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6" t="s">
        <v>59</v>
      </c>
      <c r="G8" s="464"/>
      <c r="H8" s="429" t="s">
        <v>695</v>
      </c>
      <c r="I8" s="429" t="s">
        <v>1361</v>
      </c>
      <c r="J8" s="429" t="s">
        <v>1463</v>
      </c>
      <c r="K8" s="429" t="s">
        <v>1301</v>
      </c>
      <c r="L8" s="438">
        <v>230</v>
      </c>
      <c r="M8" s="464"/>
      <c r="N8" s="464"/>
      <c r="O8" s="443"/>
      <c r="P8" s="473">
        <v>3.5</v>
      </c>
      <c r="Q8" s="513">
        <f>IFERROR(LOOKUP(1,0/((成型機資料庫!$F$44:$F$73=J8)*(成型機資料庫!$G$44:$G$73=K8)),成型機資料庫!$K$44:$K$73),0)</f>
        <v>1000</v>
      </c>
      <c r="R8" s="477"/>
      <c r="S8" s="898"/>
      <c r="T8" s="474">
        <f>IFERROR(LOOKUP(1,0/((成型機資料庫!$F$44:$F$73=J8)*(成型機資料庫!$G$44:$G$73=K8)),成型機資料庫!$I$44:$I$73),0)</f>
        <v>30</v>
      </c>
      <c r="U8" s="473">
        <f>IFERROR(LOOKUP(1,0/((成型機資料庫!$F$44:$F$73=J8)*(成型機資料庫!$G$44:$G$73=K8)),成型機資料庫!$J$44:$J$73),0)</f>
        <v>9.5</v>
      </c>
      <c r="V8" s="900">
        <f>IFERROR(LOOKUP(1,0/((成型機資料庫!$F$44:$F$73=J8)*(成型機資料庫!$G$44:$G$73=K8)),成型機資料庫!$L$44:$L$73),0)</f>
        <v>188.1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6" t="s">
        <v>59</v>
      </c>
      <c r="G9" s="464"/>
      <c r="H9" s="429" t="s">
        <v>727</v>
      </c>
      <c r="I9" s="530" t="s">
        <v>423</v>
      </c>
      <c r="J9" s="530" t="s">
        <v>1475</v>
      </c>
      <c r="K9" s="429" t="s">
        <v>1301</v>
      </c>
      <c r="L9" s="438">
        <v>115</v>
      </c>
      <c r="M9" s="464"/>
      <c r="N9" s="464"/>
      <c r="O9" s="443"/>
      <c r="P9" s="473">
        <v>7</v>
      </c>
      <c r="Q9" s="513">
        <f>IFERROR(LOOKUP(1,0/((成型機資料庫!$F$44:$F$73=J9)*(成型機資料庫!$G$44:$G$73=K9)),成型機資料庫!$K$44:$K$73),0)</f>
        <v>600</v>
      </c>
      <c r="R9" s="477"/>
      <c r="S9" s="898"/>
      <c r="T9" s="474">
        <f>IFERROR(LOOKUP(1,0/((成型機資料庫!$F$44:$F$73=J9)*(成型機資料庫!$G$44:$G$73=K9)),成型機資料庫!$I$44:$I$73),0)</f>
        <v>24</v>
      </c>
      <c r="U9" s="473">
        <f>IFERROR(LOOKUP(1,0/((成型機資料庫!$F$44:$F$73=J9)*(成型機資料庫!$G$44:$G$73=K9)),成型機資料庫!$J$44:$J$73),0)</f>
        <v>8.8000000000000007</v>
      </c>
      <c r="V9" s="900">
        <f>IFERROR(LOOKUP(1,0/((成型機資料庫!$F$44:$F$73=J9)*(成型機資料庫!$G$44:$G$73=K9)),成型機資料庫!$L$44:$L$73),0)</f>
        <v>232.32000000000005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6" t="s">
        <v>58</v>
      </c>
      <c r="G10" s="464"/>
      <c r="H10" s="464" t="s">
        <v>689</v>
      </c>
      <c r="I10" s="531" t="s">
        <v>70</v>
      </c>
      <c r="J10" s="531" t="s">
        <v>1476</v>
      </c>
      <c r="K10" s="429" t="s">
        <v>1301</v>
      </c>
      <c r="L10" s="464">
        <f>0.05*2500</f>
        <v>125</v>
      </c>
      <c r="M10" s="464"/>
      <c r="N10" s="464"/>
      <c r="O10" s="443"/>
      <c r="P10" s="537">
        <v>1</v>
      </c>
      <c r="Q10" s="513">
        <f>IFERROR(LOOKUP(1,0/((成型機資料庫!$F$44:$F$73=J10)*(成型機資料庫!$G$44:$G$73=K10)),成型機資料庫!$K$44:$K$73),0)</f>
        <v>2500</v>
      </c>
      <c r="R10" s="477"/>
      <c r="S10" s="898"/>
      <c r="T10" s="474">
        <f>IFERROR(LOOKUP(1,0/((成型機資料庫!$F$44:$F$73=J10)*(成型機資料庫!$G$44:$G$73=K10)),成型機資料庫!$I$44:$I$73),0)</f>
        <v>120</v>
      </c>
      <c r="U10" s="473">
        <f>IFERROR(LOOKUP(1,0/((成型機資料庫!$F$44:$F$73=J10)*(成型機資料庫!$G$44:$G$73=K10)),成型機資料庫!$J$44:$J$73),0)</f>
        <v>8.6999999999999993</v>
      </c>
      <c r="V10" s="900">
        <f>IFERROR(LOOKUP(1,0/((成型機資料庫!$F$44:$F$73=J10)*(成型機資料庫!$G$44:$G$73=K10)),成型機資料庫!$L$44:$L$73),0)</f>
        <v>275.61599999999999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ht="15.75">
      <c r="A11" s="434"/>
      <c r="B11" s="434"/>
      <c r="C11" s="434"/>
      <c r="D11" s="434"/>
      <c r="E11" s="434"/>
      <c r="F11" s="436" t="s">
        <v>58</v>
      </c>
      <c r="G11" s="464"/>
      <c r="H11" s="464" t="s">
        <v>1357</v>
      </c>
      <c r="I11" s="530" t="s">
        <v>445</v>
      </c>
      <c r="J11" s="530" t="s">
        <v>1477</v>
      </c>
      <c r="K11" s="429" t="s">
        <v>1301</v>
      </c>
      <c r="L11" s="438">
        <f>0.1*1000</f>
        <v>100</v>
      </c>
      <c r="M11" s="464"/>
      <c r="N11" s="464"/>
      <c r="O11" s="443"/>
      <c r="P11" s="473">
        <v>1.6</v>
      </c>
      <c r="Q11" s="513">
        <f>IFERROR(LOOKUP(1,0/((成型機資料庫!$F$44:$F$73=J11)*(成型機資料庫!$G$44:$G$73=K11)),成型機資料庫!$K$44:$K$73),0)</f>
        <v>2500</v>
      </c>
      <c r="R11" s="477"/>
      <c r="S11" s="898"/>
      <c r="T11" s="474">
        <f>IFERROR(LOOKUP(1,0/((成型機資料庫!$F$44:$F$73=J11)*(成型機資料庫!$G$44:$G$73=K11)),成型機資料庫!$I$44:$I$73),0)</f>
        <v>90</v>
      </c>
      <c r="U11" s="473">
        <f>IFERROR(LOOKUP(1,0/((成型機資料庫!$F$44:$F$73=J11)*(成型機資料庫!$G$44:$G$73=K11)),成型機資料庫!$J$44:$J$73),0)</f>
        <v>8.3000000000000007</v>
      </c>
      <c r="V11" s="900">
        <f>IFERROR(LOOKUP(1,0/((成型機資料庫!$F$44:$F$73=J11)*(成型機資料庫!$G$44:$G$73=K11)),成型機資料庫!$L$44:$L$73),0)</f>
        <v>197.20800000000003</v>
      </c>
      <c r="W11" s="898"/>
      <c r="X11" s="898"/>
      <c r="Y11" s="898"/>
      <c r="Z11" s="485"/>
      <c r="AA11" s="478"/>
      <c r="AB11" s="438"/>
      <c r="AC11" s="482"/>
      <c r="AD11" s="536"/>
      <c r="AE11" s="438"/>
      <c r="AF11" s="438"/>
    </row>
    <row r="12" spans="1:56" s="439" customFormat="1" ht="15.75">
      <c r="A12" s="434"/>
      <c r="B12" s="434"/>
      <c r="C12" s="434"/>
      <c r="D12" s="434"/>
      <c r="E12" s="434"/>
      <c r="F12" s="436" t="s">
        <v>58</v>
      </c>
      <c r="G12" s="464"/>
      <c r="H12" s="464" t="s">
        <v>1362</v>
      </c>
      <c r="I12" s="530" t="s">
        <v>260</v>
      </c>
      <c r="J12" s="530" t="s">
        <v>260</v>
      </c>
      <c r="K12" s="429" t="s">
        <v>1301</v>
      </c>
      <c r="L12" s="464">
        <f>1.5*400</f>
        <v>600</v>
      </c>
      <c r="M12" s="464"/>
      <c r="N12" s="464"/>
      <c r="O12" s="443"/>
      <c r="P12" s="473">
        <v>30</v>
      </c>
      <c r="Q12" s="513">
        <f>IFERROR(LOOKUP(1,0/((成型機資料庫!$F$44:$F$73=J12)*(成型機資料庫!$G$44:$G$73=K12)),成型機資料庫!$K$44:$K$73),0)</f>
        <v>400</v>
      </c>
      <c r="R12" s="477"/>
      <c r="S12" s="898"/>
      <c r="T12" s="474">
        <f>IFERROR(LOOKUP(1,0/((成型機資料庫!$F$44:$F$73=J12)*(成型機資料庫!$G$44:$G$73=K12)),成型機資料庫!$I$44:$I$73),0)</f>
        <v>12</v>
      </c>
      <c r="U12" s="473">
        <f>IFERROR(LOOKUP(1,0/((成型機資料庫!$F$44:$F$73=J12)*(成型機資料庫!$G$44:$G$73=K12)),成型機資料庫!$J$44:$J$73),0)</f>
        <v>8.6999999999999993</v>
      </c>
      <c r="V12" s="900">
        <f>IFERROR(LOOKUP(1,0/((成型機資料庫!$F$44:$F$73=J12)*(成型機資料庫!$G$44:$G$73=K12)),成型機資料庫!$L$44:$L$73),0)</f>
        <v>172.25999999999996</v>
      </c>
      <c r="W12" s="898"/>
      <c r="X12" s="898"/>
      <c r="Y12" s="898"/>
      <c r="Z12" s="485"/>
      <c r="AA12" s="478"/>
      <c r="AB12" s="438"/>
      <c r="AC12" s="482"/>
      <c r="AD12" s="536"/>
      <c r="AE12" s="438"/>
      <c r="AF12" s="438"/>
    </row>
    <row r="13" spans="1:56" s="439" customFormat="1" ht="15.75">
      <c r="A13" s="434"/>
      <c r="B13" s="434"/>
      <c r="C13" s="434"/>
      <c r="D13" s="434"/>
      <c r="E13" s="434"/>
      <c r="F13" s="436" t="s">
        <v>58</v>
      </c>
      <c r="G13" s="464"/>
      <c r="H13" s="464" t="s">
        <v>1363</v>
      </c>
      <c r="I13" s="530" t="s">
        <v>264</v>
      </c>
      <c r="J13" s="530" t="s">
        <v>264</v>
      </c>
      <c r="K13" s="429" t="s">
        <v>1301</v>
      </c>
      <c r="L13" s="464">
        <f>1.35*400</f>
        <v>540</v>
      </c>
      <c r="M13" s="464"/>
      <c r="N13" s="464"/>
      <c r="O13" s="443">
        <f t="shared" ref="O13:O44" si="0">L13*M13</f>
        <v>0</v>
      </c>
      <c r="P13" s="473">
        <v>28</v>
      </c>
      <c r="Q13" s="513">
        <f>IFERROR(LOOKUP(1,0/((成型機資料庫!$F$44:$F$73=J13)*(成型機資料庫!$G$44:$G$73=K13)),成型機資料庫!$K$44:$K$73),0)</f>
        <v>400</v>
      </c>
      <c r="R13" s="477"/>
      <c r="S13" s="898"/>
      <c r="T13" s="474">
        <f>IFERROR(LOOKUP(1,0/((成型機資料庫!$F$44:$F$73=J13)*(成型機資料庫!$G$44:$G$73=K13)),成型機資料庫!$I$44:$I$73),0)</f>
        <v>12</v>
      </c>
      <c r="U13" s="473">
        <f>IFERROR(LOOKUP(1,0/((成型機資料庫!$F$44:$F$73=J13)*(成型機資料庫!$G$44:$G$73=K13)),成型機資料庫!$J$44:$J$73),0)</f>
        <v>10.3</v>
      </c>
      <c r="V13" s="900">
        <f>IFERROR(LOOKUP(1,0/((成型機資料庫!$F$44:$F$73=J13)*(成型機資料庫!$G$44:$G$73=K13)),成型機資料庫!$L$44:$L$73),0)</f>
        <v>203.94000000000003</v>
      </c>
      <c r="W13" s="898"/>
      <c r="X13" s="898"/>
      <c r="Y13" s="898"/>
      <c r="Z13" s="485"/>
      <c r="AA13" s="478"/>
      <c r="AB13" s="438"/>
      <c r="AC13" s="482"/>
      <c r="AD13" s="536"/>
      <c r="AE13" s="438"/>
      <c r="AF13" s="438"/>
    </row>
    <row r="14" spans="1:56" s="439" customFormat="1" thickBot="1">
      <c r="A14" s="496"/>
      <c r="B14" s="496"/>
      <c r="C14" s="496"/>
      <c r="D14" s="496"/>
      <c r="E14" s="496"/>
      <c r="F14" s="497"/>
      <c r="G14" s="500"/>
      <c r="H14" s="500"/>
      <c r="I14" s="498"/>
      <c r="J14" s="498"/>
      <c r="K14" s="498"/>
      <c r="L14" s="500"/>
      <c r="M14" s="500"/>
      <c r="N14" s="500"/>
      <c r="O14" s="501">
        <f t="shared" si="0"/>
        <v>0</v>
      </c>
      <c r="P14" s="528"/>
      <c r="Q14" s="514">
        <f>IFERROR(LOOKUP(1,0/((成型機資料庫!$F$44:$F$73=J14)*(成型機資料庫!$G$44:$G$73=K14)),成型機資料庫!$K$44:$K$73),0)</f>
        <v>0</v>
      </c>
      <c r="R14" s="502"/>
      <c r="S14" s="503"/>
      <c r="T14" s="511">
        <f>IFERROR(LOOKUP(1,0/((成型機資料庫!$F$44:$F$73=J14)*(成型機資料庫!$G$44:$G$73=K14)),成型機資料庫!$I$44:$I$73),0)</f>
        <v>0</v>
      </c>
      <c r="U14" s="512">
        <f>IFERROR(LOOKUP(1,0/((成型機資料庫!$F$44:$F$73=J14)*(成型機資料庫!$G$44:$G$73=K14)),成型機資料庫!$J$44:$J$73),0)</f>
        <v>0</v>
      </c>
      <c r="V14" s="991">
        <f>IFERROR(LOOKUP(1,0/((成型機資料庫!$F$44:$F$73=J14)*(成型機資料庫!$G$44:$G$73=K14)),成型機資料庫!$L$44:$L$73),0)</f>
        <v>0</v>
      </c>
      <c r="W14" s="507"/>
      <c r="X14" s="507"/>
      <c r="Y14" s="507"/>
      <c r="Z14" s="507"/>
      <c r="AA14" s="508">
        <f t="shared" ref="AA14:AA44" si="1">AB14+AC14/60</f>
        <v>0</v>
      </c>
      <c r="AB14" s="499"/>
      <c r="AC14" s="509"/>
      <c r="AD14" s="529"/>
      <c r="AE14" s="499"/>
      <c r="AF14" s="499"/>
    </row>
    <row r="15" spans="1:56" s="433" customFormat="1" ht="15.75">
      <c r="A15" s="935">
        <v>113</v>
      </c>
      <c r="B15" s="935"/>
      <c r="C15" s="935">
        <v>1</v>
      </c>
      <c r="D15" s="889"/>
      <c r="E15" s="889" t="s">
        <v>0</v>
      </c>
      <c r="F15" s="962" t="s">
        <v>44</v>
      </c>
      <c r="G15" s="999"/>
      <c r="H15" s="532"/>
      <c r="I15" s="964"/>
      <c r="J15" s="964"/>
      <c r="K15" s="964"/>
      <c r="L15" s="532"/>
      <c r="M15" s="532"/>
      <c r="N15" s="927">
        <f>M15*Q15</f>
        <v>0</v>
      </c>
      <c r="O15" s="995">
        <f t="shared" si="0"/>
        <v>0</v>
      </c>
      <c r="P15" s="1000"/>
      <c r="Q15" s="1060">
        <f>IFERROR(LOOKUP(1,0/((成型機資料庫!$F$44:$F$73=J15)*(成型機資料庫!$G$44:$G$73=K15)),成型機資料庫!$K$44:$K$73),0)</f>
        <v>0</v>
      </c>
      <c r="R15" s="997">
        <f t="shared" ref="R15:R44" si="2">M15*Q15*P15/1000</f>
        <v>0</v>
      </c>
      <c r="S15" s="996">
        <f t="shared" ref="S15:S44" si="3">IFERROR((G15-R15)/G15,0)</f>
        <v>0</v>
      </c>
      <c r="T15" s="1061">
        <f>IFERROR(LOOKUP(1,0/((成型機資料庫!$F$44:$F$73=J15)*(成型機資料庫!$G$44:$G$73=K15)),成型機資料庫!$I$44:$I$73),0)</f>
        <v>0</v>
      </c>
      <c r="U15" s="1062">
        <f>IFERROR(LOOKUP(1,0/((成型機資料庫!$F$44:$F$73=J15)*(成型機資料庫!$G$44:$G$73=K15)),成型機資料庫!$J$44:$J$73),0)</f>
        <v>0</v>
      </c>
      <c r="V15" s="927">
        <f>IFERROR(LOOKUP(1,0/((成型機資料庫!$F$44:$F$73=J15)*(成型機資料庫!$G$44:$G$73=K15)),成型機資料庫!$L$44:$L$73),0)</f>
        <v>0</v>
      </c>
      <c r="W15" s="996">
        <f t="shared" ref="W15:W44" si="4">IFERROR(M15/V15,0)</f>
        <v>0</v>
      </c>
      <c r="X15" s="987">
        <f>IFERROR(T15*U15*60*AA15/Q15,0)</f>
        <v>0</v>
      </c>
      <c r="Y15" s="996">
        <f>IFERROR(M15/X15,0)</f>
        <v>0</v>
      </c>
      <c r="Z15" s="987"/>
      <c r="AA15" s="495">
        <f t="shared" si="1"/>
        <v>0</v>
      </c>
      <c r="AB15" s="480"/>
      <c r="AC15" s="968"/>
      <c r="AD15" s="532"/>
      <c r="AE15" s="480"/>
      <c r="AF15" s="480"/>
    </row>
    <row r="16" spans="1:56" s="433" customFormat="1" ht="15.75">
      <c r="A16" s="434">
        <v>113</v>
      </c>
      <c r="B16" s="581"/>
      <c r="C16" s="581">
        <v>2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ref="N16:N44" si="5">M16*Q16</f>
        <v>0</v>
      </c>
      <c r="O16" s="901">
        <f t="shared" si="0"/>
        <v>0</v>
      </c>
      <c r="P16" s="460"/>
      <c r="Q16" s="513">
        <f>IFERROR(LOOKUP(1,0/((成型機資料庫!$F$44:$F$73=J16)*(成型機資料庫!$G$44:$G$73=K16)),成型機資料庫!$K$44:$K$73),0)</f>
        <v>0</v>
      </c>
      <c r="R16" s="899">
        <f t="shared" si="2"/>
        <v>0</v>
      </c>
      <c r="S16" s="898">
        <f t="shared" si="3"/>
        <v>0</v>
      </c>
      <c r="T16" s="474">
        <f>IFERROR(LOOKUP(1,0/((成型機資料庫!$F$44:$F$73=J16)*(成型機資料庫!$G$44:$G$73=K16)),成型機資料庫!$I$44:$I$73),0)</f>
        <v>0</v>
      </c>
      <c r="U16" s="473">
        <f>IFERROR(LOOKUP(1,0/((成型機資料庫!$F$44:$F$73=J16)*(成型機資料庫!$G$44:$G$73=K16)),成型機資料庫!$J$44:$J$73),0)</f>
        <v>0</v>
      </c>
      <c r="V16" s="900">
        <f>IFERROR(LOOKUP(1,0/((成型機資料庫!$F$44:$F$73=J16)*(成型機資料庫!$G$44:$G$73=K16)),成型機資料庫!$L$44:$L$73),0)</f>
        <v>0</v>
      </c>
      <c r="W16" s="898">
        <f t="shared" si="4"/>
        <v>0</v>
      </c>
      <c r="X16" s="923">
        <f t="shared" ref="X16:X44" si="6">IFERROR(T16*U16*60*AA16/Q16,0)</f>
        <v>0</v>
      </c>
      <c r="Y16" s="898">
        <f t="shared" ref="Y16:Y44" si="7">IFERROR(M16/X16,0)</f>
        <v>0</v>
      </c>
      <c r="Z16" s="923"/>
      <c r="AA16" s="478">
        <f t="shared" si="1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3</v>
      </c>
      <c r="D17" s="581"/>
      <c r="E17" s="581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513">
        <f>IFERROR(LOOKUP(1,0/((成型機資料庫!$F$44:$F$73=J17)*(成型機資料庫!$G$44:$G$73=K17)),成型機資料庫!$K$44:$K$73),0)</f>
        <v>0</v>
      </c>
      <c r="R17" s="899">
        <f t="shared" si="2"/>
        <v>0</v>
      </c>
      <c r="S17" s="898">
        <f t="shared" si="3"/>
        <v>0</v>
      </c>
      <c r="T17" s="474">
        <f>IFERROR(LOOKUP(1,0/((成型機資料庫!$F$44:$F$73=J17)*(成型機資料庫!$G$44:$G$73=K17)),成型機資料庫!$I$44:$I$73),0)</f>
        <v>0</v>
      </c>
      <c r="U17" s="473">
        <f>IFERROR(LOOKUP(1,0/((成型機資料庫!$F$44:$F$73=J17)*(成型機資料庫!$G$44:$G$73=K17)),成型機資料庫!$J$44:$J$73),0)</f>
        <v>0</v>
      </c>
      <c r="V17" s="900">
        <f>IFERROR(LOOKUP(1,0/((成型機資料庫!$F$44:$F$73=J17)*(成型機資料庫!$G$44:$G$73=K17)),成型機資料庫!$L$44:$L$73),0)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4</v>
      </c>
      <c r="D18" s="581"/>
      <c r="E18" s="581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513">
        <f>IFERROR(LOOKUP(1,0/((成型機資料庫!$F$44:$F$73=J18)*(成型機資料庫!$G$44:$G$73=K18)),成型機資料庫!$K$44:$K$73),0)</f>
        <v>0</v>
      </c>
      <c r="R18" s="899">
        <f t="shared" si="2"/>
        <v>0</v>
      </c>
      <c r="S18" s="898">
        <f t="shared" si="3"/>
        <v>0</v>
      </c>
      <c r="T18" s="474">
        <f>IFERROR(LOOKUP(1,0/((成型機資料庫!$F$44:$F$73=J18)*(成型機資料庫!$G$44:$G$73=K18)),成型機資料庫!$I$44:$I$73),0)</f>
        <v>0</v>
      </c>
      <c r="U18" s="473">
        <f>IFERROR(LOOKUP(1,0/((成型機資料庫!$F$44:$F$73=J18)*(成型機資料庫!$G$44:$G$73=K18)),成型機資料庫!$J$44:$J$73),0)</f>
        <v>0</v>
      </c>
      <c r="V18" s="900">
        <f>IFERROR(LOOKUP(1,0/((成型機資料庫!$F$44:$F$73=J18)*(成型機資料庫!$G$44:$G$73=K18)),成型機資料庫!$L$44:$L$73),0)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38"/>
      <c r="AE18" s="464"/>
      <c r="AF18" s="438"/>
    </row>
    <row r="19" spans="1:32" s="433" customFormat="1" ht="15.75">
      <c r="A19" s="434">
        <v>113</v>
      </c>
      <c r="B19" s="581"/>
      <c r="C19" s="581">
        <v>5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513">
        <f>IFERROR(LOOKUP(1,0/((成型機資料庫!$F$44:$F$73=J19)*(成型機資料庫!$G$44:$G$73=K19)),成型機資料庫!$K$44:$K$73),0)</f>
        <v>0</v>
      </c>
      <c r="R19" s="899">
        <f t="shared" si="2"/>
        <v>0</v>
      </c>
      <c r="S19" s="898">
        <f t="shared" si="3"/>
        <v>0</v>
      </c>
      <c r="T19" s="474">
        <f>IFERROR(LOOKUP(1,0/((成型機資料庫!$F$44:$F$73=J19)*(成型機資料庫!$G$44:$G$73=K19)),成型機資料庫!$I$44:$I$73),0)</f>
        <v>0</v>
      </c>
      <c r="U19" s="473">
        <f>IFERROR(LOOKUP(1,0/((成型機資料庫!$F$44:$F$73=J19)*(成型機資料庫!$G$44:$G$73=K19)),成型機資料庫!$J$44:$J$73),0)</f>
        <v>0</v>
      </c>
      <c r="V19" s="900">
        <f>IFERROR(LOOKUP(1,0/((成型機資料庫!$F$44:$F$73=J19)*(成型機資料庫!$G$44:$G$73=K19)),成型機資料庫!$L$44:$L$73),0)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38"/>
      <c r="AE19" s="438"/>
      <c r="AF19" s="438"/>
    </row>
    <row r="20" spans="1:32" s="433" customFormat="1" ht="15.75">
      <c r="A20" s="434">
        <v>113</v>
      </c>
      <c r="B20" s="581"/>
      <c r="C20" s="581">
        <v>6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513">
        <f>IFERROR(LOOKUP(1,0/((成型機資料庫!$F$44:$F$73=J20)*(成型機資料庫!$G$44:$G$73=K20)),成型機資料庫!$K$44:$K$73),0)</f>
        <v>0</v>
      </c>
      <c r="R20" s="899">
        <f t="shared" si="2"/>
        <v>0</v>
      </c>
      <c r="S20" s="898">
        <f t="shared" si="3"/>
        <v>0</v>
      </c>
      <c r="T20" s="474">
        <f>IFERROR(LOOKUP(1,0/((成型機資料庫!$F$44:$F$73=J20)*(成型機資料庫!$G$44:$G$73=K20)),成型機資料庫!$I$44:$I$73),0)</f>
        <v>0</v>
      </c>
      <c r="U20" s="473">
        <f>IFERROR(LOOKUP(1,0/((成型機資料庫!$F$44:$F$73=J20)*(成型機資料庫!$G$44:$G$73=K20)),成型機資料庫!$J$44:$J$73),0)</f>
        <v>0</v>
      </c>
      <c r="V20" s="900">
        <f>IFERROR(LOOKUP(1,0/((成型機資料庫!$F$44:$F$73=J20)*(成型機資料庫!$G$44:$G$73=K20)),成型機資料庫!$L$44:$L$73),0)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879"/>
      <c r="AE20" s="438"/>
      <c r="AF20" s="438"/>
    </row>
    <row r="21" spans="1:32" s="433" customFormat="1" ht="15.75">
      <c r="A21" s="434">
        <v>113</v>
      </c>
      <c r="B21" s="581"/>
      <c r="C21" s="581">
        <v>7</v>
      </c>
      <c r="D21" s="581"/>
      <c r="E21" s="889" t="s">
        <v>0</v>
      </c>
      <c r="F21" s="962" t="s">
        <v>44</v>
      </c>
      <c r="G21" s="927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513">
        <f>IFERROR(LOOKUP(1,0/((成型機資料庫!$F$44:$F$73=J21)*(成型機資料庫!$G$44:$G$73=K21)),成型機資料庫!$K$44:$K$73),0)</f>
        <v>0</v>
      </c>
      <c r="R21" s="899">
        <f t="shared" si="2"/>
        <v>0</v>
      </c>
      <c r="S21" s="898">
        <f t="shared" si="3"/>
        <v>0</v>
      </c>
      <c r="T21" s="474">
        <f>IFERROR(LOOKUP(1,0/((成型機資料庫!$F$44:$F$73=J21)*(成型機資料庫!$G$44:$G$73=K21)),成型機資料庫!$I$44:$I$73),0)</f>
        <v>0</v>
      </c>
      <c r="U21" s="473">
        <f>IFERROR(LOOKUP(1,0/((成型機資料庫!$F$44:$F$73=J21)*(成型機資料庫!$G$44:$G$73=K21)),成型機資料庫!$J$44:$J$73),0)</f>
        <v>0</v>
      </c>
      <c r="V21" s="900">
        <f>IFERROR(LOOKUP(1,0/((成型機資料庫!$F$44:$F$73=J21)*(成型機資料庫!$G$44:$G$73=K21)),成型機資料庫!$L$44:$L$73),0)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8</v>
      </c>
      <c r="D22" s="581"/>
      <c r="E22" s="889" t="s">
        <v>0</v>
      </c>
      <c r="F22" s="962" t="s">
        <v>44</v>
      </c>
      <c r="G22" s="927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513">
        <f>IFERROR(LOOKUP(1,0/((成型機資料庫!$F$44:$F$73=J22)*(成型機資料庫!$G$44:$G$73=K22)),成型機資料庫!$K$44:$K$73),0)</f>
        <v>0</v>
      </c>
      <c r="R22" s="899">
        <f t="shared" si="2"/>
        <v>0</v>
      </c>
      <c r="S22" s="898">
        <f t="shared" si="3"/>
        <v>0</v>
      </c>
      <c r="T22" s="474">
        <f>IFERROR(LOOKUP(1,0/((成型機資料庫!$F$44:$F$73=J22)*(成型機資料庫!$G$44:$G$73=K22)),成型機資料庫!$I$44:$I$73),0)</f>
        <v>0</v>
      </c>
      <c r="U22" s="473">
        <f>IFERROR(LOOKUP(1,0/((成型機資料庫!$F$44:$F$73=J22)*(成型機資料庫!$G$44:$G$73=K22)),成型機資料庫!$J$44:$J$73),0)</f>
        <v>0</v>
      </c>
      <c r="V22" s="900">
        <f>IFERROR(LOOKUP(1,0/((成型機資料庫!$F$44:$F$73=J22)*(成型機資料庫!$G$44:$G$73=K22)),成型機資料庫!$L$44:$L$73),0)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9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513">
        <f>IFERROR(LOOKUP(1,0/((成型機資料庫!$F$44:$F$73=J23)*(成型機資料庫!$G$44:$G$73=K23)),成型機資料庫!$K$44:$K$73),0)</f>
        <v>0</v>
      </c>
      <c r="R23" s="899">
        <f t="shared" si="2"/>
        <v>0</v>
      </c>
      <c r="S23" s="898">
        <f t="shared" si="3"/>
        <v>0</v>
      </c>
      <c r="T23" s="474">
        <f>IFERROR(LOOKUP(1,0/((成型機資料庫!$F$44:$F$73=J23)*(成型機資料庫!$G$44:$G$73=K23)),成型機資料庫!$I$44:$I$73),0)</f>
        <v>0</v>
      </c>
      <c r="U23" s="473">
        <f>IFERROR(LOOKUP(1,0/((成型機資料庫!$F$44:$F$73=J23)*(成型機資料庫!$G$44:$G$73=K23)),成型機資料庫!$J$44:$J$73),0)</f>
        <v>0</v>
      </c>
      <c r="V23" s="900">
        <f>IFERROR(LOOKUP(1,0/((成型機資料庫!$F$44:$F$73=J23)*(成型機資料庫!$G$44:$G$73=K23)),成型機資料庫!$L$44:$L$73),0)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10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513">
        <f>IFERROR(LOOKUP(1,0/((成型機資料庫!$F$44:$F$73=J24)*(成型機資料庫!$G$44:$G$73=K24)),成型機資料庫!$K$44:$K$73),0)</f>
        <v>0</v>
      </c>
      <c r="R24" s="899">
        <f t="shared" si="2"/>
        <v>0</v>
      </c>
      <c r="S24" s="898">
        <f t="shared" si="3"/>
        <v>0</v>
      </c>
      <c r="T24" s="474">
        <f>IFERROR(LOOKUP(1,0/((成型機資料庫!$F$44:$F$73=J24)*(成型機資料庫!$G$44:$G$73=K24)),成型機資料庫!$I$44:$I$73),0)</f>
        <v>0</v>
      </c>
      <c r="U24" s="473">
        <f>IFERROR(LOOKUP(1,0/((成型機資料庫!$F$44:$F$73=J24)*(成型機資料庫!$G$44:$G$73=K24)),成型機資料庫!$J$44:$J$73),0)</f>
        <v>0</v>
      </c>
      <c r="V24" s="900">
        <f>IFERROR(LOOKUP(1,0/((成型機資料庫!$F$44:$F$73=J24)*(成型機資料庫!$G$44:$G$73=K24)),成型機資料庫!$L$44:$L$73),0)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11</v>
      </c>
      <c r="D25" s="581"/>
      <c r="E25" s="581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513">
        <f>IFERROR(LOOKUP(1,0/((成型機資料庫!$F$44:$F$73=J25)*(成型機資料庫!$G$44:$G$73=K25)),成型機資料庫!$K$44:$K$73),0)</f>
        <v>0</v>
      </c>
      <c r="R25" s="899">
        <f t="shared" si="2"/>
        <v>0</v>
      </c>
      <c r="S25" s="898">
        <f t="shared" si="3"/>
        <v>0</v>
      </c>
      <c r="T25" s="474">
        <f>IFERROR(LOOKUP(1,0/((成型機資料庫!$F$44:$F$73=J25)*(成型機資料庫!$G$44:$G$73=K25)),成型機資料庫!$I$44:$I$73),0)</f>
        <v>0</v>
      </c>
      <c r="U25" s="473">
        <f>IFERROR(LOOKUP(1,0/((成型機資料庫!$F$44:$F$73=J25)*(成型機資料庫!$G$44:$G$73=K25)),成型機資料庫!$J$44:$J$73),0)</f>
        <v>0</v>
      </c>
      <c r="V25" s="900">
        <f>IFERROR(LOOKUP(1,0/((成型機資料庫!$F$44:$F$73=J25)*(成型機資料庫!$G$44:$G$73=K25)),成型機資料庫!$L$44:$L$73),0)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12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513">
        <f>IFERROR(LOOKUP(1,0/((成型機資料庫!$F$44:$F$73=J26)*(成型機資料庫!$G$44:$G$73=K26)),成型機資料庫!$K$44:$K$73),0)</f>
        <v>0</v>
      </c>
      <c r="R26" s="899">
        <f t="shared" si="2"/>
        <v>0</v>
      </c>
      <c r="S26" s="898">
        <f t="shared" si="3"/>
        <v>0</v>
      </c>
      <c r="T26" s="474">
        <f>IFERROR(LOOKUP(1,0/((成型機資料庫!$F$44:$F$73=J26)*(成型機資料庫!$G$44:$G$73=K26)),成型機資料庫!$I$44:$I$73),0)</f>
        <v>0</v>
      </c>
      <c r="U26" s="473">
        <f>IFERROR(LOOKUP(1,0/((成型機資料庫!$F$44:$F$73=J26)*(成型機資料庫!$G$44:$G$73=K26)),成型機資料庫!$J$44:$J$73),0)</f>
        <v>0</v>
      </c>
      <c r="V26" s="900">
        <f>IFERROR(LOOKUP(1,0/((成型機資料庫!$F$44:$F$73=J26)*(成型機資料庫!$G$44:$G$73=K26)),成型機資料庫!$L$44:$L$73),0)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13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513">
        <f>IFERROR(LOOKUP(1,0/((成型機資料庫!$F$44:$F$73=J27)*(成型機資料庫!$G$44:$G$73=K27)),成型機資料庫!$K$44:$K$73),0)</f>
        <v>0</v>
      </c>
      <c r="R27" s="899">
        <f t="shared" si="2"/>
        <v>0</v>
      </c>
      <c r="S27" s="898">
        <f t="shared" si="3"/>
        <v>0</v>
      </c>
      <c r="T27" s="474">
        <f>IFERROR(LOOKUP(1,0/((成型機資料庫!$F$44:$F$73=J27)*(成型機資料庫!$G$44:$G$73=K27)),成型機資料庫!$I$44:$I$73),0)</f>
        <v>0</v>
      </c>
      <c r="U27" s="473">
        <f>IFERROR(LOOKUP(1,0/((成型機資料庫!$F$44:$F$73=J27)*(成型機資料庫!$G$44:$G$73=K27)),成型機資料庫!$J$44:$J$73),0)</f>
        <v>0</v>
      </c>
      <c r="V27" s="900">
        <f>IFERROR(LOOKUP(1,0/((成型機資料庫!$F$44:$F$73=J27)*(成型機資料庫!$G$44:$G$73=K27)),成型機資料庫!$L$44:$L$73),0)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581"/>
      <c r="C28" s="581">
        <v>14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513">
        <f>IFERROR(LOOKUP(1,0/((成型機資料庫!$F$44:$F$73=J28)*(成型機資料庫!$G$44:$G$73=K28)),成型機資料庫!$K$44:$K$73),0)</f>
        <v>0</v>
      </c>
      <c r="R28" s="899">
        <f t="shared" si="2"/>
        <v>0</v>
      </c>
      <c r="S28" s="898">
        <f t="shared" si="3"/>
        <v>0</v>
      </c>
      <c r="T28" s="474">
        <f>IFERROR(LOOKUP(1,0/((成型機資料庫!$F$44:$F$73=J28)*(成型機資料庫!$G$44:$G$73=K28)),成型機資料庫!$I$44:$I$73),0)</f>
        <v>0</v>
      </c>
      <c r="U28" s="473">
        <f>IFERROR(LOOKUP(1,0/((成型機資料庫!$F$44:$F$73=J28)*(成型機資料庫!$G$44:$G$73=K28)),成型機資料庫!$J$44:$J$73),0)</f>
        <v>0</v>
      </c>
      <c r="V28" s="900">
        <f>IFERROR(LOOKUP(1,0/((成型機資料庫!$F$44:$F$73=J28)*(成型機資料庫!$G$44:$G$73=K28)),成型機資料庫!$L$44:$L$73),0)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581"/>
      <c r="C29" s="581">
        <v>15</v>
      </c>
      <c r="D29" s="581"/>
      <c r="E29" s="889" t="s">
        <v>0</v>
      </c>
      <c r="F29" s="962" t="s">
        <v>44</v>
      </c>
      <c r="G29" s="927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513">
        <f>IFERROR(LOOKUP(1,0/((成型機資料庫!$F$44:$F$73=J29)*(成型機資料庫!$G$44:$G$73=K29)),成型機資料庫!$K$44:$K$73),0)</f>
        <v>0</v>
      </c>
      <c r="R29" s="899">
        <f t="shared" si="2"/>
        <v>0</v>
      </c>
      <c r="S29" s="898">
        <f t="shared" si="3"/>
        <v>0</v>
      </c>
      <c r="T29" s="474">
        <f>IFERROR(LOOKUP(1,0/((成型機資料庫!$F$44:$F$73=J29)*(成型機資料庫!$G$44:$G$73=K29)),成型機資料庫!$I$44:$I$73),0)</f>
        <v>0</v>
      </c>
      <c r="U29" s="473">
        <f>IFERROR(LOOKUP(1,0/((成型機資料庫!$F$44:$F$73=J29)*(成型機資料庫!$G$44:$G$73=K29)),成型機資料庫!$J$44:$J$73),0)</f>
        <v>0</v>
      </c>
      <c r="V29" s="900">
        <f>IFERROR(LOOKUP(1,0/((成型機資料庫!$F$44:$F$73=J29)*(成型機資料庫!$G$44:$G$73=K29)),成型機資料庫!$L$44:$L$73),0)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38"/>
      <c r="AE29" s="438"/>
      <c r="AF29" s="438"/>
    </row>
    <row r="30" spans="1:32" s="433" customFormat="1" ht="15.75">
      <c r="A30" s="434">
        <v>113</v>
      </c>
      <c r="B30" s="581"/>
      <c r="C30" s="581">
        <v>16</v>
      </c>
      <c r="D30" s="581"/>
      <c r="E30" s="889" t="s">
        <v>0</v>
      </c>
      <c r="F30" s="962" t="s">
        <v>44</v>
      </c>
      <c r="G30" s="927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513">
        <f>IFERROR(LOOKUP(1,0/((成型機資料庫!$F$44:$F$73=J30)*(成型機資料庫!$G$44:$G$73=K30)),成型機資料庫!$K$44:$K$73),0)</f>
        <v>0</v>
      </c>
      <c r="R30" s="899">
        <f t="shared" si="2"/>
        <v>0</v>
      </c>
      <c r="S30" s="898">
        <f t="shared" si="3"/>
        <v>0</v>
      </c>
      <c r="T30" s="474">
        <f>IFERROR(LOOKUP(1,0/((成型機資料庫!$F$44:$F$73=J30)*(成型機資料庫!$G$44:$G$73=K30)),成型機資料庫!$I$44:$I$73),0)</f>
        <v>0</v>
      </c>
      <c r="U30" s="473">
        <f>IFERROR(LOOKUP(1,0/((成型機資料庫!$F$44:$F$73=J30)*(成型機資料庫!$G$44:$G$73=K30)),成型機資料庫!$J$44:$J$73),0)</f>
        <v>0</v>
      </c>
      <c r="V30" s="900">
        <f>IFERROR(LOOKUP(1,0/((成型機資料庫!$F$44:$F$73=J30)*(成型機資料庫!$G$44:$G$73=K30)),成型機資料庫!$L$44:$L$73),0)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64"/>
      <c r="AF30" s="438"/>
    </row>
    <row r="31" spans="1:32" s="433" customFormat="1" ht="15.75">
      <c r="A31" s="434">
        <v>113</v>
      </c>
      <c r="B31" s="581"/>
      <c r="C31" s="581">
        <v>17</v>
      </c>
      <c r="D31" s="581"/>
      <c r="E31" s="889" t="s">
        <v>0</v>
      </c>
      <c r="F31" s="962" t="s">
        <v>44</v>
      </c>
      <c r="G31" s="927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513">
        <f>IFERROR(LOOKUP(1,0/((成型機資料庫!$F$44:$F$73=J31)*(成型機資料庫!$G$44:$G$73=K31)),成型機資料庫!$K$44:$K$73),0)</f>
        <v>0</v>
      </c>
      <c r="R31" s="899">
        <f t="shared" si="2"/>
        <v>0</v>
      </c>
      <c r="S31" s="898">
        <f t="shared" si="3"/>
        <v>0</v>
      </c>
      <c r="T31" s="474">
        <f>IFERROR(LOOKUP(1,0/((成型機資料庫!$F$44:$F$73=J31)*(成型機資料庫!$G$44:$G$73=K31)),成型機資料庫!$I$44:$I$73),0)</f>
        <v>0</v>
      </c>
      <c r="U31" s="473">
        <f>IFERROR(LOOKUP(1,0/((成型機資料庫!$F$44:$F$73=J31)*(成型機資料庫!$G$44:$G$73=K31)),成型機資料庫!$J$44:$J$73),0)</f>
        <v>0</v>
      </c>
      <c r="V31" s="900">
        <f>IFERROR(LOOKUP(1,0/((成型機資料庫!$F$44:$F$73=J31)*(成型機資料庫!$G$44:$G$73=K31)),成型機資料庫!$L$44:$L$73),0)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18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513">
        <f>IFERROR(LOOKUP(1,0/((成型機資料庫!$F$44:$F$73=J32)*(成型機資料庫!$G$44:$G$73=K32)),成型機資料庫!$K$44:$K$73),0)</f>
        <v>0</v>
      </c>
      <c r="R32" s="899">
        <f t="shared" si="2"/>
        <v>0</v>
      </c>
      <c r="S32" s="898">
        <f t="shared" si="3"/>
        <v>0</v>
      </c>
      <c r="T32" s="474">
        <f>IFERROR(LOOKUP(1,0/((成型機資料庫!$F$44:$F$73=J32)*(成型機資料庫!$G$44:$G$73=K32)),成型機資料庫!$I$44:$I$73),0)</f>
        <v>0</v>
      </c>
      <c r="U32" s="473">
        <f>IFERROR(LOOKUP(1,0/((成型機資料庫!$F$44:$F$73=J32)*(成型機資料庫!$G$44:$G$73=K32)),成型機資料庫!$J$44:$J$73),0)</f>
        <v>0</v>
      </c>
      <c r="V32" s="900">
        <f>IFERROR(LOOKUP(1,0/((成型機資料庫!$F$44:$F$73=J32)*(成型機資料庫!$G$44:$G$73=K32)),成型機資料庫!$L$44:$L$73),0)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19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513">
        <f>IFERROR(LOOKUP(1,0/((成型機資料庫!$F$44:$F$73=J33)*(成型機資料庫!$G$44:$G$73=K33)),成型機資料庫!$K$44:$K$73),0)</f>
        <v>0</v>
      </c>
      <c r="R33" s="899">
        <f t="shared" si="2"/>
        <v>0</v>
      </c>
      <c r="S33" s="898">
        <f t="shared" si="3"/>
        <v>0</v>
      </c>
      <c r="T33" s="474">
        <f>IFERROR(LOOKUP(1,0/((成型機資料庫!$F$44:$F$73=J33)*(成型機資料庫!$G$44:$G$73=K33)),成型機資料庫!$I$44:$I$73),0)</f>
        <v>0</v>
      </c>
      <c r="U33" s="473">
        <f>IFERROR(LOOKUP(1,0/((成型機資料庫!$F$44:$F$73=J33)*(成型機資料庫!$G$44:$G$73=K33)),成型機資料庫!$J$44:$J$73),0)</f>
        <v>0</v>
      </c>
      <c r="V33" s="900">
        <f>IFERROR(LOOKUP(1,0/((成型機資料庫!$F$44:$F$73=J33)*(成型機資料庫!$G$44:$G$73=K33)),成型機資料庫!$L$44:$L$73),0)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20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513">
        <f>IFERROR(LOOKUP(1,0/((成型機資料庫!$F$44:$F$73=J34)*(成型機資料庫!$G$44:$G$73=K34)),成型機資料庫!$K$44:$K$73),0)</f>
        <v>0</v>
      </c>
      <c r="R34" s="899">
        <f t="shared" si="2"/>
        <v>0</v>
      </c>
      <c r="S34" s="898">
        <f t="shared" si="3"/>
        <v>0</v>
      </c>
      <c r="T34" s="474">
        <f>IFERROR(LOOKUP(1,0/((成型機資料庫!$F$44:$F$73=J34)*(成型機資料庫!$G$44:$G$73=K34)),成型機資料庫!$I$44:$I$73),0)</f>
        <v>0</v>
      </c>
      <c r="U34" s="473">
        <f>IFERROR(LOOKUP(1,0/((成型機資料庫!$F$44:$F$73=J34)*(成型機資料庫!$G$44:$G$73=K34)),成型機資料庫!$J$44:$J$73),0)</f>
        <v>0</v>
      </c>
      <c r="V34" s="900">
        <f>IFERROR(LOOKUP(1,0/((成型機資料庫!$F$44:$F$73=J34)*(成型機資料庫!$G$44:$G$73=K34)),成型機資料庫!$L$44:$L$73),0)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21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513">
        <f>IFERROR(LOOKUP(1,0/((成型機資料庫!$F$44:$F$73=J35)*(成型機資料庫!$G$44:$G$73=K35)),成型機資料庫!$K$44:$K$73),0)</f>
        <v>0</v>
      </c>
      <c r="R35" s="899">
        <f t="shared" si="2"/>
        <v>0</v>
      </c>
      <c r="S35" s="898">
        <f t="shared" si="3"/>
        <v>0</v>
      </c>
      <c r="T35" s="474">
        <f>IFERROR(LOOKUP(1,0/((成型機資料庫!$F$44:$F$73=J35)*(成型機資料庫!$G$44:$G$73=K35)),成型機資料庫!$I$44:$I$73),0)</f>
        <v>0</v>
      </c>
      <c r="U35" s="473">
        <f>IFERROR(LOOKUP(1,0/((成型機資料庫!$F$44:$F$73=J35)*(成型機資料庫!$G$44:$G$73=K35)),成型機資料庫!$J$44:$J$73),0)</f>
        <v>0</v>
      </c>
      <c r="V35" s="900">
        <f>IFERROR(LOOKUP(1,0/((成型機資料庫!$F$44:$F$73=J35)*(成型機資料庫!$G$44:$G$73=K35)),成型機資料庫!$L$44:$L$73),0)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22</v>
      </c>
      <c r="D36" s="581"/>
      <c r="E36" s="889" t="s">
        <v>0</v>
      </c>
      <c r="F36" s="962" t="s">
        <v>44</v>
      </c>
      <c r="G36" s="927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513">
        <f>IFERROR(LOOKUP(1,0/((成型機資料庫!$F$44:$F$73=J36)*(成型機資料庫!$G$44:$G$73=K36)),成型機資料庫!$K$44:$K$73),0)</f>
        <v>0</v>
      </c>
      <c r="R36" s="899">
        <f t="shared" si="2"/>
        <v>0</v>
      </c>
      <c r="S36" s="898">
        <f t="shared" si="3"/>
        <v>0</v>
      </c>
      <c r="T36" s="474">
        <f>IFERROR(LOOKUP(1,0/((成型機資料庫!$F$44:$F$73=J36)*(成型機資料庫!$G$44:$G$73=K36)),成型機資料庫!$I$44:$I$73),0)</f>
        <v>0</v>
      </c>
      <c r="U36" s="473">
        <f>IFERROR(LOOKUP(1,0/((成型機資料庫!$F$44:$F$73=J36)*(成型機資料庫!$G$44:$G$73=K36)),成型機資料庫!$J$44:$J$73),0)</f>
        <v>0</v>
      </c>
      <c r="V36" s="900">
        <f>IFERROR(LOOKUP(1,0/((成型機資料庫!$F$44:$F$73=J36)*(成型機資料庫!$G$44:$G$73=K36)),成型機資料庫!$L$44:$L$73),0)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23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513">
        <f>IFERROR(LOOKUP(1,0/((成型機資料庫!$F$44:$F$73=J37)*(成型機資料庫!$G$44:$G$73=K37)),成型機資料庫!$K$44:$K$73),0)</f>
        <v>0</v>
      </c>
      <c r="R37" s="899">
        <f t="shared" si="2"/>
        <v>0</v>
      </c>
      <c r="S37" s="898">
        <f t="shared" si="3"/>
        <v>0</v>
      </c>
      <c r="T37" s="474">
        <f>IFERROR(LOOKUP(1,0/((成型機資料庫!$F$44:$F$73=J37)*(成型機資料庫!$G$44:$G$73=K37)),成型機資料庫!$I$44:$I$73),0)</f>
        <v>0</v>
      </c>
      <c r="U37" s="473">
        <f>IFERROR(LOOKUP(1,0/((成型機資料庫!$F$44:$F$73=J37)*(成型機資料庫!$G$44:$G$73=K37)),成型機資料庫!$J$44:$J$73),0)</f>
        <v>0</v>
      </c>
      <c r="V37" s="900">
        <f>IFERROR(LOOKUP(1,0/((成型機資料庫!$F$44:$F$73=J37)*(成型機資料庫!$G$44:$G$73=K37)),成型機資料庫!$L$44:$L$73),0)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24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513">
        <f>IFERROR(LOOKUP(1,0/((成型機資料庫!$F$44:$F$73=J38)*(成型機資料庫!$G$44:$G$73=K38)),成型機資料庫!$K$44:$K$73),0)</f>
        <v>0</v>
      </c>
      <c r="R38" s="899">
        <f t="shared" si="2"/>
        <v>0</v>
      </c>
      <c r="S38" s="898">
        <f t="shared" si="3"/>
        <v>0</v>
      </c>
      <c r="T38" s="474">
        <f>IFERROR(LOOKUP(1,0/((成型機資料庫!$F$44:$F$73=J38)*(成型機資料庫!$G$44:$G$73=K38)),成型機資料庫!$I$44:$I$73),0)</f>
        <v>0</v>
      </c>
      <c r="U38" s="473">
        <f>IFERROR(LOOKUP(1,0/((成型機資料庫!$F$44:$F$73=J38)*(成型機資料庫!$G$44:$G$73=K38)),成型機資料庫!$J$44:$J$73),0)</f>
        <v>0</v>
      </c>
      <c r="V38" s="900">
        <f>IFERROR(LOOKUP(1,0/((成型機資料庫!$F$44:$F$73=J38)*(成型機資料庫!$G$44:$G$73=K38)),成型機資料庫!$L$44:$L$73),0)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434"/>
      <c r="C39" s="434">
        <v>25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513">
        <f>IFERROR(LOOKUP(1,0/((成型機資料庫!$F$44:$F$73=J39)*(成型機資料庫!$G$44:$G$73=K39)),成型機資料庫!$K$44:$K$73),0)</f>
        <v>0</v>
      </c>
      <c r="R39" s="899">
        <f t="shared" si="2"/>
        <v>0</v>
      </c>
      <c r="S39" s="898">
        <f t="shared" si="3"/>
        <v>0</v>
      </c>
      <c r="T39" s="474">
        <f>IFERROR(LOOKUP(1,0/((成型機資料庫!$F$44:$F$73=J39)*(成型機資料庫!$G$44:$G$73=K39)),成型機資料庫!$I$44:$I$73),0)</f>
        <v>0</v>
      </c>
      <c r="U39" s="473">
        <f>IFERROR(LOOKUP(1,0/((成型機資料庫!$F$44:$F$73=J39)*(成型機資料庫!$G$44:$G$73=K39)),成型機資料庫!$J$44:$J$73),0)</f>
        <v>0</v>
      </c>
      <c r="V39" s="900">
        <f>IFERROR(LOOKUP(1,0/((成型機資料庫!$F$44:$F$73=J39)*(成型機資料庫!$G$44:$G$73=K39)),成型機資料庫!$L$44:$L$73),0)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64"/>
      <c r="AF39" s="438"/>
    </row>
    <row r="40" spans="1:32" s="433" customFormat="1" ht="15.75">
      <c r="A40" s="434">
        <v>113</v>
      </c>
      <c r="B40" s="434"/>
      <c r="C40" s="434">
        <v>26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513">
        <f>IFERROR(LOOKUP(1,0/((成型機資料庫!$F$44:$F$73=J40)*(成型機資料庫!$G$44:$G$73=K40)),成型機資料庫!$K$44:$K$73),0)</f>
        <v>0</v>
      </c>
      <c r="R40" s="899">
        <f t="shared" si="2"/>
        <v>0</v>
      </c>
      <c r="S40" s="898">
        <f t="shared" si="3"/>
        <v>0</v>
      </c>
      <c r="T40" s="474">
        <f>IFERROR(LOOKUP(1,0/((成型機資料庫!$F$44:$F$73=J40)*(成型機資料庫!$G$44:$G$73=K40)),成型機資料庫!$I$44:$I$73),0)</f>
        <v>0</v>
      </c>
      <c r="U40" s="473">
        <f>IFERROR(LOOKUP(1,0/((成型機資料庫!$F$44:$F$73=J40)*(成型機資料庫!$G$44:$G$73=K40)),成型機資料庫!$J$44:$J$73),0)</f>
        <v>0</v>
      </c>
      <c r="V40" s="900">
        <f>IFERROR(LOOKUP(1,0/((成型機資料庫!$F$44:$F$73=J40)*(成型機資料庫!$G$44:$G$73=K40)),成型機資料庫!$L$44:$L$73),0)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38"/>
      <c r="AE40" s="464"/>
      <c r="AF40" s="438"/>
    </row>
    <row r="41" spans="1:32" s="433" customFormat="1" ht="15.75">
      <c r="A41" s="434">
        <v>113</v>
      </c>
      <c r="B41" s="434"/>
      <c r="C41" s="434">
        <v>27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513">
        <f>IFERROR(LOOKUP(1,0/((成型機資料庫!$F$44:$F$73=J41)*(成型機資料庫!$G$44:$G$73=K41)),成型機資料庫!$K$44:$K$73),0)</f>
        <v>0</v>
      </c>
      <c r="R41" s="899">
        <f t="shared" si="2"/>
        <v>0</v>
      </c>
      <c r="S41" s="898">
        <f t="shared" si="3"/>
        <v>0</v>
      </c>
      <c r="T41" s="474">
        <f>IFERROR(LOOKUP(1,0/((成型機資料庫!$F$44:$F$73=J41)*(成型機資料庫!$G$44:$G$73=K41)),成型機資料庫!$I$44:$I$73),0)</f>
        <v>0</v>
      </c>
      <c r="U41" s="473">
        <f>IFERROR(LOOKUP(1,0/((成型機資料庫!$F$44:$F$73=J41)*(成型機資料庫!$G$44:$G$73=K41)),成型機資料庫!$J$44:$J$73),0)</f>
        <v>0</v>
      </c>
      <c r="V41" s="900">
        <f>IFERROR(LOOKUP(1,0/((成型機資料庫!$F$44:$F$73=J41)*(成型機資料庫!$G$44:$G$73=K41)),成型機資料庫!$L$44:$L$73),0)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38"/>
      <c r="AF41" s="438"/>
    </row>
    <row r="42" spans="1:32" s="433" customFormat="1" ht="15.75">
      <c r="A42" s="434">
        <v>113</v>
      </c>
      <c r="B42" s="581"/>
      <c r="C42" s="581">
        <v>28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513">
        <f>IFERROR(LOOKUP(1,0/((成型機資料庫!$F$44:$F$73=J42)*(成型機資料庫!$G$44:$G$73=K42)),成型機資料庫!$K$44:$K$73),0)</f>
        <v>0</v>
      </c>
      <c r="R42" s="899">
        <f t="shared" si="2"/>
        <v>0</v>
      </c>
      <c r="S42" s="898">
        <f t="shared" si="3"/>
        <v>0</v>
      </c>
      <c r="T42" s="474">
        <f>IFERROR(LOOKUP(1,0/((成型機資料庫!$F$44:$F$73=J42)*(成型機資料庫!$G$44:$G$73=K42)),成型機資料庫!$I$44:$I$73),0)</f>
        <v>0</v>
      </c>
      <c r="U42" s="473">
        <f>IFERROR(LOOKUP(1,0/((成型機資料庫!$F$44:$F$73=J42)*(成型機資料庫!$G$44:$G$73=K42)),成型機資料庫!$J$44:$J$73),0)</f>
        <v>0</v>
      </c>
      <c r="V42" s="900">
        <f>IFERROR(LOOKUP(1,0/((成型機資料庫!$F$44:$F$73=J42)*(成型機資料庫!$G$44:$G$73=K42)),成型機資料庫!$L$44:$L$73),0)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34">
        <v>113</v>
      </c>
      <c r="B43" s="581"/>
      <c r="C43" s="581">
        <v>29</v>
      </c>
      <c r="D43" s="581"/>
      <c r="E43" s="889" t="s">
        <v>0</v>
      </c>
      <c r="F43" s="962" t="s">
        <v>44</v>
      </c>
      <c r="G43" s="926"/>
      <c r="H43" s="464"/>
      <c r="I43" s="429"/>
      <c r="J43" s="429"/>
      <c r="K43" s="429"/>
      <c r="L43" s="464"/>
      <c r="M43" s="464"/>
      <c r="N43" s="900">
        <f t="shared" si="5"/>
        <v>0</v>
      </c>
      <c r="O43" s="901">
        <f t="shared" si="0"/>
        <v>0</v>
      </c>
      <c r="P43" s="460"/>
      <c r="Q43" s="513">
        <f>IFERROR(LOOKUP(1,0/((成型機資料庫!$F$44:$F$73=J43)*(成型機資料庫!$G$44:$G$73=K43)),成型機資料庫!$K$44:$K$73),0)</f>
        <v>0</v>
      </c>
      <c r="R43" s="899">
        <f t="shared" si="2"/>
        <v>0</v>
      </c>
      <c r="S43" s="898">
        <f t="shared" si="3"/>
        <v>0</v>
      </c>
      <c r="T43" s="474">
        <f>IFERROR(LOOKUP(1,0/((成型機資料庫!$F$44:$F$73=J43)*(成型機資料庫!$G$44:$G$73=K43)),成型機資料庫!$I$44:$I$73),0)</f>
        <v>0</v>
      </c>
      <c r="U43" s="473">
        <f>IFERROR(LOOKUP(1,0/((成型機資料庫!$F$44:$F$73=J43)*(成型機資料庫!$G$44:$G$73=K43)),成型機資料庫!$J$44:$J$73),0)</f>
        <v>0</v>
      </c>
      <c r="V43" s="900">
        <f>IFERROR(LOOKUP(1,0/((成型機資料庫!$F$44:$F$73=J43)*(成型機資料庫!$G$44:$G$73=K43)),成型機資料庫!$L$44:$L$73),0)</f>
        <v>0</v>
      </c>
      <c r="W43" s="898">
        <f t="shared" si="4"/>
        <v>0</v>
      </c>
      <c r="X43" s="923">
        <f t="shared" si="6"/>
        <v>0</v>
      </c>
      <c r="Y43" s="898">
        <f t="shared" si="7"/>
        <v>0</v>
      </c>
      <c r="Z43" s="923"/>
      <c r="AA43" s="478">
        <f t="shared" si="1"/>
        <v>0</v>
      </c>
      <c r="AB43" s="438"/>
      <c r="AC43" s="482"/>
      <c r="AD43" s="464"/>
      <c r="AE43" s="464"/>
      <c r="AF43" s="438"/>
    </row>
    <row r="44" spans="1:32" s="433" customFormat="1" ht="15.75">
      <c r="A44" s="434">
        <v>113</v>
      </c>
      <c r="B44" s="581"/>
      <c r="C44" s="581">
        <v>30</v>
      </c>
      <c r="D44" s="581"/>
      <c r="E44" s="889" t="s">
        <v>0</v>
      </c>
      <c r="F44" s="962" t="s">
        <v>44</v>
      </c>
      <c r="G44" s="926"/>
      <c r="H44" s="464"/>
      <c r="I44" s="429"/>
      <c r="J44" s="429"/>
      <c r="K44" s="429"/>
      <c r="L44" s="464"/>
      <c r="M44" s="464"/>
      <c r="N44" s="900">
        <f t="shared" si="5"/>
        <v>0</v>
      </c>
      <c r="O44" s="901">
        <f t="shared" si="0"/>
        <v>0</v>
      </c>
      <c r="P44" s="460"/>
      <c r="Q44" s="513">
        <f>IFERROR(LOOKUP(1,0/((成型機資料庫!$F$44:$F$73=J44)*(成型機資料庫!$G$44:$G$73=K44)),成型機資料庫!$K$44:$K$73),0)</f>
        <v>0</v>
      </c>
      <c r="R44" s="899">
        <f t="shared" si="2"/>
        <v>0</v>
      </c>
      <c r="S44" s="898">
        <f t="shared" si="3"/>
        <v>0</v>
      </c>
      <c r="T44" s="474">
        <f>IFERROR(LOOKUP(1,0/((成型機資料庫!$F$44:$F$73=J44)*(成型機資料庫!$G$44:$G$73=K44)),成型機資料庫!$I$44:$I$73),0)</f>
        <v>0</v>
      </c>
      <c r="U44" s="473">
        <f>IFERROR(LOOKUP(1,0/((成型機資料庫!$F$44:$F$73=J44)*(成型機資料庫!$G$44:$G$73=K44)),成型機資料庫!$J$44:$J$73),0)</f>
        <v>0</v>
      </c>
      <c r="V44" s="900">
        <f>IFERROR(LOOKUP(1,0/((成型機資料庫!$F$44:$F$73=J44)*(成型機資料庫!$G$44:$G$73=K44)),成型機資料庫!$L$44:$L$73),0)</f>
        <v>0</v>
      </c>
      <c r="W44" s="898">
        <f t="shared" si="4"/>
        <v>0</v>
      </c>
      <c r="X44" s="923">
        <f t="shared" si="6"/>
        <v>0</v>
      </c>
      <c r="Y44" s="898">
        <f t="shared" si="7"/>
        <v>0</v>
      </c>
      <c r="Z44" s="923"/>
      <c r="AA44" s="478">
        <f t="shared" si="1"/>
        <v>0</v>
      </c>
      <c r="AB44" s="438"/>
      <c r="AC44" s="482"/>
      <c r="AD44" s="464"/>
      <c r="AE44" s="438"/>
      <c r="AF44" s="438"/>
    </row>
    <row r="45" spans="1:32" s="433" customFormat="1" ht="15.75">
      <c r="A45" s="446"/>
      <c r="B45" s="456"/>
      <c r="C45" s="456"/>
      <c r="D45" s="456"/>
      <c r="E45" s="456"/>
      <c r="F45" s="448"/>
      <c r="G45" s="951"/>
      <c r="H45" s="452"/>
      <c r="I45" s="430"/>
      <c r="J45" s="430"/>
      <c r="K45" s="430"/>
      <c r="L45" s="452"/>
      <c r="M45" s="452"/>
      <c r="N45" s="945"/>
      <c r="O45" s="946"/>
      <c r="P45" s="868"/>
      <c r="Q45" s="467"/>
      <c r="R45" s="948"/>
      <c r="S45" s="936"/>
      <c r="T45" s="936"/>
      <c r="U45" s="936"/>
      <c r="V45" s="945"/>
      <c r="W45" s="936"/>
      <c r="X45" s="947"/>
      <c r="Y45" s="936"/>
      <c r="Z45" s="947"/>
      <c r="AA45" s="488"/>
      <c r="AB45" s="439"/>
      <c r="AC45" s="471"/>
      <c r="AD45" s="452"/>
      <c r="AE45" s="439"/>
      <c r="AF45" s="439"/>
    </row>
    <row r="46" spans="1:32" s="433" customFormat="1" ht="15.75">
      <c r="A46" s="446"/>
      <c r="B46" s="456"/>
      <c r="C46" s="456"/>
      <c r="D46" s="456"/>
      <c r="E46" s="456"/>
      <c r="F46" s="448"/>
      <c r="G46" s="951"/>
      <c r="H46" s="452"/>
      <c r="I46" s="430"/>
      <c r="J46" s="430"/>
      <c r="K46" s="430"/>
      <c r="L46" s="452"/>
      <c r="M46" s="452"/>
      <c r="N46" s="945"/>
      <c r="O46" s="946"/>
      <c r="P46" s="868"/>
      <c r="Q46" s="467"/>
      <c r="R46" s="948"/>
      <c r="S46" s="936"/>
      <c r="T46" s="936"/>
      <c r="U46" s="936"/>
      <c r="V46" s="945"/>
      <c r="W46" s="936"/>
      <c r="X46" s="947"/>
      <c r="Y46" s="936"/>
      <c r="Z46" s="947"/>
      <c r="AA46" s="488"/>
      <c r="AB46" s="439"/>
      <c r="AC46" s="471"/>
      <c r="AD46" s="452"/>
      <c r="AE46" s="439"/>
      <c r="AF46" s="439"/>
    </row>
    <row r="47" spans="1:32" s="433" customFormat="1" thickBot="1">
      <c r="A47" s="446"/>
      <c r="B47" s="446"/>
      <c r="C47" s="446"/>
      <c r="D47" s="446"/>
      <c r="E47" s="446"/>
      <c r="F47" s="448"/>
      <c r="G47" s="448"/>
      <c r="H47" s="430"/>
      <c r="I47" s="430"/>
      <c r="J47" s="430"/>
      <c r="K47" s="430"/>
      <c r="L47" s="439"/>
      <c r="M47" s="452"/>
      <c r="N47" s="452"/>
      <c r="O47" s="457"/>
      <c r="P47" s="466"/>
      <c r="Q47" s="467"/>
      <c r="R47" s="486"/>
      <c r="S47" s="457"/>
      <c r="T47" s="457"/>
      <c r="U47" s="457"/>
      <c r="V47" s="458"/>
      <c r="W47" s="487">
        <f>SUM(W15:W44)</f>
        <v>0</v>
      </c>
      <c r="X47" s="487"/>
      <c r="Y47" s="487"/>
      <c r="Z47" s="487"/>
      <c r="AA47" s="488"/>
      <c r="AB47" s="489"/>
      <c r="AC47" s="489"/>
      <c r="AD47" s="469" t="s">
        <v>46</v>
      </c>
      <c r="AE47" s="439"/>
      <c r="AF47" s="439"/>
    </row>
    <row r="48" spans="1:32" s="469" customFormat="1" ht="31.5">
      <c r="A48" s="479"/>
      <c r="B48" s="479"/>
      <c r="C48" s="479"/>
      <c r="D48" s="479"/>
      <c r="E48" s="479"/>
      <c r="F48" s="452"/>
      <c r="G48" s="524" t="s">
        <v>503</v>
      </c>
      <c r="H48" s="517"/>
      <c r="I48" s="518"/>
      <c r="L48" s="1842" t="s">
        <v>1348</v>
      </c>
      <c r="M48" s="525" t="s">
        <v>1294</v>
      </c>
      <c r="N48" s="525" t="s">
        <v>1295</v>
      </c>
      <c r="O48" s="526" t="s">
        <v>458</v>
      </c>
      <c r="P48" s="520"/>
      <c r="Q48" s="521"/>
      <c r="R48" s="524" t="s">
        <v>504</v>
      </c>
      <c r="S48" s="524" t="s">
        <v>455</v>
      </c>
      <c r="T48" s="521"/>
      <c r="U48" s="521"/>
      <c r="V48" s="524" t="s">
        <v>1293</v>
      </c>
      <c r="W48" s="524" t="s">
        <v>459</v>
      </c>
      <c r="X48" s="521"/>
      <c r="Y48" s="524" t="s">
        <v>1345</v>
      </c>
      <c r="Z48" s="524" t="s">
        <v>1350</v>
      </c>
      <c r="AA48" s="524" t="s">
        <v>1351</v>
      </c>
      <c r="AB48" s="524" t="s">
        <v>1353</v>
      </c>
      <c r="AC48" s="524" t="s">
        <v>1352</v>
      </c>
      <c r="AD48" s="469" t="s">
        <v>253</v>
      </c>
      <c r="AE48" s="452"/>
      <c r="AF48" s="452"/>
    </row>
    <row r="49" spans="1:56" thickBot="1">
      <c r="G49" s="522">
        <f>SUM(G15:G44)</f>
        <v>0</v>
      </c>
      <c r="I49" s="431"/>
      <c r="J49" s="518"/>
      <c r="K49" s="518"/>
      <c r="L49" s="1843"/>
      <c r="M49" s="522">
        <f>SUM(M15:M44)</f>
        <v>0</v>
      </c>
      <c r="N49" s="522">
        <f>SUM(N15:N44)</f>
        <v>0</v>
      </c>
      <c r="O49" s="902">
        <f>SUM(O15:O44)</f>
        <v>0</v>
      </c>
      <c r="P49" s="470"/>
      <c r="R49" s="924">
        <f>SUM(R15:R44)</f>
        <v>0</v>
      </c>
      <c r="S49" s="897" t="e">
        <f>(G49-R49)/G49</f>
        <v>#DIV/0!</v>
      </c>
      <c r="T49" s="446"/>
      <c r="U49" s="446"/>
      <c r="V49" s="686" t="e">
        <f>N49/W49</f>
        <v>#DIV/0!</v>
      </c>
      <c r="W49" s="516" t="e">
        <f>W47/Y49</f>
        <v>#DIV/0!</v>
      </c>
      <c r="X49" s="446"/>
      <c r="Y49" s="516"/>
      <c r="Z49" s="958">
        <f>SUM(Z15:Z44)</f>
        <v>0</v>
      </c>
      <c r="AA49" s="516">
        <f>SUM(AA15:AA44)</f>
        <v>0</v>
      </c>
      <c r="AB49" s="516">
        <f>Z49-AA49</f>
        <v>0</v>
      </c>
      <c r="AC49" s="896" t="e">
        <f>AA49/Z49</f>
        <v>#DIV/0!</v>
      </c>
    </row>
    <row r="50" spans="1:56">
      <c r="G50" s="453"/>
      <c r="M50" s="453"/>
      <c r="N50" s="453"/>
      <c r="O50"/>
      <c r="P50" s="470"/>
      <c r="R50"/>
      <c r="S50"/>
      <c r="T50"/>
      <c r="U50"/>
    </row>
    <row r="51" spans="1:56" ht="17.25" thickBot="1"/>
    <row r="52" spans="1:56" ht="15.75">
      <c r="A52" s="1824" t="s">
        <v>668</v>
      </c>
      <c r="B52" s="1824" t="s">
        <v>330</v>
      </c>
      <c r="C52" s="1826" t="s">
        <v>311</v>
      </c>
      <c r="D52" s="1828" t="s">
        <v>331</v>
      </c>
      <c r="E52" s="1828" t="s">
        <v>332</v>
      </c>
      <c r="F52" s="1830" t="s">
        <v>194</v>
      </c>
      <c r="G52" s="1830" t="s">
        <v>386</v>
      </c>
      <c r="H52" s="1832" t="s">
        <v>360</v>
      </c>
      <c r="I52" s="1832" t="s">
        <v>361</v>
      </c>
      <c r="J52" s="1832" t="s">
        <v>510</v>
      </c>
      <c r="K52" s="1832" t="s">
        <v>1320</v>
      </c>
      <c r="L52" s="1828" t="s">
        <v>362</v>
      </c>
      <c r="M52" s="1828" t="s">
        <v>514</v>
      </c>
      <c r="N52" s="1856" t="s">
        <v>511</v>
      </c>
      <c r="O52" s="1858" t="s">
        <v>457</v>
      </c>
      <c r="P52" s="1836" t="s">
        <v>379</v>
      </c>
      <c r="Q52" s="1828" t="s">
        <v>627</v>
      </c>
      <c r="R52" s="1852" t="s">
        <v>381</v>
      </c>
      <c r="S52" s="1854" t="s">
        <v>435</v>
      </c>
      <c r="T52" s="1834" t="s">
        <v>365</v>
      </c>
      <c r="U52" s="1836" t="s">
        <v>366</v>
      </c>
      <c r="V52" s="1844" t="s">
        <v>1286</v>
      </c>
      <c r="W52" s="1846" t="s">
        <v>201</v>
      </c>
      <c r="X52" s="1846" t="s">
        <v>1318</v>
      </c>
      <c r="Y52" s="1846" t="s">
        <v>1319</v>
      </c>
      <c r="Z52" s="1849" t="s">
        <v>1285</v>
      </c>
      <c r="AA52" s="1849" t="s">
        <v>339</v>
      </c>
      <c r="AB52" s="1860" t="s">
        <v>340</v>
      </c>
      <c r="AC52" s="1861"/>
      <c r="AD52" s="1862" t="s">
        <v>371</v>
      </c>
      <c r="AE52" s="1862" t="s">
        <v>383</v>
      </c>
      <c r="AF52" s="1840" t="s">
        <v>29</v>
      </c>
    </row>
    <row r="53" spans="1:56" s="447" customFormat="1" thickBot="1">
      <c r="A53" s="1825"/>
      <c r="B53" s="1825"/>
      <c r="C53" s="1827"/>
      <c r="D53" s="1829"/>
      <c r="E53" s="1829"/>
      <c r="F53" s="1831"/>
      <c r="G53" s="1831"/>
      <c r="H53" s="1833"/>
      <c r="I53" s="1833"/>
      <c r="J53" s="1833"/>
      <c r="K53" s="1838"/>
      <c r="L53" s="1829"/>
      <c r="M53" s="1839"/>
      <c r="N53" s="1857"/>
      <c r="O53" s="1859"/>
      <c r="P53" s="1837"/>
      <c r="Q53" s="1829"/>
      <c r="R53" s="1853"/>
      <c r="S53" s="1855"/>
      <c r="T53" s="1835"/>
      <c r="U53" s="1837"/>
      <c r="V53" s="1845"/>
      <c r="W53" s="1847"/>
      <c r="X53" s="1848"/>
      <c r="Y53" s="1848"/>
      <c r="Z53" s="1850"/>
      <c r="AA53" s="1851"/>
      <c r="AB53" s="491" t="s">
        <v>350</v>
      </c>
      <c r="AC53" s="491" t="s">
        <v>351</v>
      </c>
      <c r="AD53" s="1863"/>
      <c r="AE53" s="1863"/>
      <c r="AF53" s="1841"/>
      <c r="AG53" s="446"/>
      <c r="AH53" s="446"/>
      <c r="AU53" s="446"/>
      <c r="AV53" s="446"/>
      <c r="AW53" s="446"/>
      <c r="AX53" s="446"/>
      <c r="AY53" s="446"/>
      <c r="AZ53" s="446"/>
      <c r="BA53" s="446"/>
      <c r="BB53" s="446"/>
      <c r="BC53" s="446"/>
      <c r="BD53" s="446"/>
    </row>
    <row r="54" spans="1:56" s="433" customFormat="1" ht="15.75">
      <c r="A54" s="434">
        <v>113</v>
      </c>
      <c r="B54" s="434"/>
      <c r="C54" s="434">
        <v>1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>M54*Q54</f>
        <v>0</v>
      </c>
      <c r="O54" s="901">
        <f t="shared" ref="O54:O83" si="8">L54*M54</f>
        <v>0</v>
      </c>
      <c r="P54" s="460"/>
      <c r="Q54" s="513">
        <f>IFERROR(LOOKUP(1,0/((成型機資料庫!$F$44:$F$73=J54)*(成型機資料庫!$G$44:$G$73=K54)),成型機資料庫!$K$44:$K$73),0)</f>
        <v>0</v>
      </c>
      <c r="R54" s="899">
        <f t="shared" ref="R54:R83" si="9">M54*Q54*P54/1000</f>
        <v>0</v>
      </c>
      <c r="S54" s="898">
        <f t="shared" ref="S54:S83" si="10">IFERROR((G54-R54)/G54,0)</f>
        <v>0</v>
      </c>
      <c r="T54" s="474">
        <f>IFERROR(LOOKUP(1,0/((成型機資料庫!$F$44:$F$73=J54)*(成型機資料庫!$G$44:$G$73=K54)),成型機資料庫!$I$44:$I$73),0)</f>
        <v>0</v>
      </c>
      <c r="U54" s="473">
        <f>IFERROR(LOOKUP(1,0/((成型機資料庫!$F$44:$F$73=J54)*(成型機資料庫!$G$44:$G$73=K54)),成型機資料庫!$J$44:$J$73),0)</f>
        <v>0</v>
      </c>
      <c r="V54" s="900">
        <f>IFERROR(LOOKUP(1,0/((成型機資料庫!$F$44:$F$73=J54)*(成型機資料庫!$G$44:$G$73=K54)),成型機資料庫!$L$44:$L$73),0)</f>
        <v>0</v>
      </c>
      <c r="W54" s="898">
        <f t="shared" ref="W54:W83" si="11">IFERROR(M54/V54,0)</f>
        <v>0</v>
      </c>
      <c r="X54" s="923">
        <f>IFERROR(T54*U54*60*AA54/Q54,0)</f>
        <v>0</v>
      </c>
      <c r="Y54" s="898">
        <f>IFERROR(M54/X54,0)</f>
        <v>0</v>
      </c>
      <c r="Z54" s="923"/>
      <c r="AA54" s="478">
        <f t="shared" ref="AA54:AA83" si="12">AB54+AC54/60</f>
        <v>0</v>
      </c>
      <c r="AB54" s="438"/>
      <c r="AC54" s="482"/>
      <c r="AD54" s="464"/>
      <c r="AE54" s="438"/>
      <c r="AF54" s="438"/>
    </row>
    <row r="55" spans="1:56" s="433" customFormat="1" ht="15.75">
      <c r="A55" s="434">
        <v>113</v>
      </c>
      <c r="B55" s="581"/>
      <c r="C55" s="581">
        <v>2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ref="N55:N83" si="13">M55*Q55</f>
        <v>0</v>
      </c>
      <c r="O55" s="901">
        <f t="shared" si="8"/>
        <v>0</v>
      </c>
      <c r="P55" s="460"/>
      <c r="Q55" s="513">
        <f>IFERROR(LOOKUP(1,0/((成型機資料庫!$F$44:$F$73=J55)*(成型機資料庫!$G$44:$G$73=K55)),成型機資料庫!$K$44:$K$73),0)</f>
        <v>0</v>
      </c>
      <c r="R55" s="899">
        <f t="shared" si="9"/>
        <v>0</v>
      </c>
      <c r="S55" s="898">
        <f t="shared" si="10"/>
        <v>0</v>
      </c>
      <c r="T55" s="474">
        <f>IFERROR(LOOKUP(1,0/((成型機資料庫!$F$44:$F$73=J55)*(成型機資料庫!$G$44:$G$73=K55)),成型機資料庫!$I$44:$I$73),0)</f>
        <v>0</v>
      </c>
      <c r="U55" s="473">
        <f>IFERROR(LOOKUP(1,0/((成型機資料庫!$F$44:$F$73=J55)*(成型機資料庫!$G$44:$G$73=K55)),成型機資料庫!$J$44:$J$73),0)</f>
        <v>0</v>
      </c>
      <c r="V55" s="900">
        <f>IFERROR(LOOKUP(1,0/((成型機資料庫!$F$44:$F$73=J55)*(成型機資料庫!$G$44:$G$73=K55)),成型機資料庫!$L$44:$L$73),0)</f>
        <v>0</v>
      </c>
      <c r="W55" s="898">
        <f t="shared" si="11"/>
        <v>0</v>
      </c>
      <c r="X55" s="923">
        <f t="shared" ref="X55:X83" si="14">IFERROR(T55*U55*60*AA55/Q55,0)</f>
        <v>0</v>
      </c>
      <c r="Y55" s="898">
        <f t="shared" ref="Y55:Y83" si="15">IFERROR(M55/X55,0)</f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56" s="433" customFormat="1" ht="15.75">
      <c r="A56" s="434">
        <v>113</v>
      </c>
      <c r="B56" s="581"/>
      <c r="C56" s="581">
        <v>3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513">
        <f>IFERROR(LOOKUP(1,0/((成型機資料庫!$F$44:$F$73=J56)*(成型機資料庫!$G$44:$G$73=K56)),成型機資料庫!$K$44:$K$73),0)</f>
        <v>0</v>
      </c>
      <c r="R56" s="899">
        <f t="shared" si="9"/>
        <v>0</v>
      </c>
      <c r="S56" s="898">
        <f t="shared" si="10"/>
        <v>0</v>
      </c>
      <c r="T56" s="474">
        <f>IFERROR(LOOKUP(1,0/((成型機資料庫!$F$44:$F$73=J56)*(成型機資料庫!$G$44:$G$73=K56)),成型機資料庫!$I$44:$I$73),0)</f>
        <v>0</v>
      </c>
      <c r="U56" s="473">
        <f>IFERROR(LOOKUP(1,0/((成型機資料庫!$F$44:$F$73=J56)*(成型機資料庫!$G$44:$G$73=K56)),成型機資料庫!$J$44:$J$73),0)</f>
        <v>0</v>
      </c>
      <c r="V56" s="900">
        <f>IFERROR(LOOKUP(1,0/((成型機資料庫!$F$44:$F$73=J56)*(成型機資料庫!$G$44:$G$73=K56)),成型機資料庫!$L$44:$L$73),0)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4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513">
        <f>IFERROR(LOOKUP(1,0/((成型機資料庫!$F$44:$F$73=J57)*(成型機資料庫!$G$44:$G$73=K57)),成型機資料庫!$K$44:$K$73),0)</f>
        <v>0</v>
      </c>
      <c r="R57" s="899">
        <f t="shared" si="9"/>
        <v>0</v>
      </c>
      <c r="S57" s="898">
        <f t="shared" si="10"/>
        <v>0</v>
      </c>
      <c r="T57" s="474">
        <f>IFERROR(LOOKUP(1,0/((成型機資料庫!$F$44:$F$73=J57)*(成型機資料庫!$G$44:$G$73=K57)),成型機資料庫!$I$44:$I$73),0)</f>
        <v>0</v>
      </c>
      <c r="U57" s="473">
        <f>IFERROR(LOOKUP(1,0/((成型機資料庫!$F$44:$F$73=J57)*(成型機資料庫!$G$44:$G$73=K57)),成型機資料庫!$J$44:$J$73),0)</f>
        <v>0</v>
      </c>
      <c r="V57" s="900">
        <f>IFERROR(LOOKUP(1,0/((成型機資料庫!$F$44:$F$73=J57)*(成型機資料庫!$G$44:$G$73=K57)),成型機資料庫!$L$44:$L$73),0)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38"/>
      <c r="AE57" s="464"/>
      <c r="AF57" s="438"/>
    </row>
    <row r="58" spans="1:56" s="433" customFormat="1" ht="15.75">
      <c r="A58" s="434">
        <v>113</v>
      </c>
      <c r="B58" s="581"/>
      <c r="C58" s="581">
        <v>5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513">
        <f>IFERROR(LOOKUP(1,0/((成型機資料庫!$F$44:$F$73=J58)*(成型機資料庫!$G$44:$G$73=K58)),成型機資料庫!$K$44:$K$73),0)</f>
        <v>0</v>
      </c>
      <c r="R58" s="899">
        <f t="shared" si="9"/>
        <v>0</v>
      </c>
      <c r="S58" s="898">
        <f t="shared" si="10"/>
        <v>0</v>
      </c>
      <c r="T58" s="474">
        <f>IFERROR(LOOKUP(1,0/((成型機資料庫!$F$44:$F$73=J58)*(成型機資料庫!$G$44:$G$73=K58)),成型機資料庫!$I$44:$I$73),0)</f>
        <v>0</v>
      </c>
      <c r="U58" s="473">
        <f>IFERROR(LOOKUP(1,0/((成型機資料庫!$F$44:$F$73=J58)*(成型機資料庫!$G$44:$G$73=K58)),成型機資料庫!$J$44:$J$73),0)</f>
        <v>0</v>
      </c>
      <c r="V58" s="900">
        <f>IFERROR(LOOKUP(1,0/((成型機資料庫!$F$44:$F$73=J58)*(成型機資料庫!$G$44:$G$73=K58)),成型機資料庫!$L$44:$L$73),0)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38"/>
      <c r="AE58" s="438"/>
      <c r="AF58" s="438"/>
    </row>
    <row r="59" spans="1:56" s="433" customFormat="1" ht="15.75">
      <c r="A59" s="434">
        <v>113</v>
      </c>
      <c r="B59" s="581"/>
      <c r="C59" s="581">
        <v>6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513">
        <f>IFERROR(LOOKUP(1,0/((成型機資料庫!$F$44:$F$73=J59)*(成型機資料庫!$G$44:$G$73=K59)),成型機資料庫!$K$44:$K$73),0)</f>
        <v>0</v>
      </c>
      <c r="R59" s="899">
        <f t="shared" si="9"/>
        <v>0</v>
      </c>
      <c r="S59" s="898">
        <f t="shared" si="10"/>
        <v>0</v>
      </c>
      <c r="T59" s="474">
        <f>IFERROR(LOOKUP(1,0/((成型機資料庫!$F$44:$F$73=J59)*(成型機資料庫!$G$44:$G$73=K59)),成型機資料庫!$I$44:$I$73),0)</f>
        <v>0</v>
      </c>
      <c r="U59" s="473">
        <f>IFERROR(LOOKUP(1,0/((成型機資料庫!$F$44:$F$73=J59)*(成型機資料庫!$G$44:$G$73=K59)),成型機資料庫!$J$44:$J$73),0)</f>
        <v>0</v>
      </c>
      <c r="V59" s="900">
        <f>IFERROR(LOOKUP(1,0/((成型機資料庫!$F$44:$F$73=J59)*(成型機資料庫!$G$44:$G$73=K59)),成型機資料庫!$L$44:$L$73),0)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879"/>
      <c r="AE59" s="438"/>
      <c r="AF59" s="438"/>
    </row>
    <row r="60" spans="1:56" s="433" customFormat="1" ht="15.75">
      <c r="A60" s="434">
        <v>113</v>
      </c>
      <c r="B60" s="581"/>
      <c r="C60" s="581">
        <v>7</v>
      </c>
      <c r="D60" s="581"/>
      <c r="E60" s="581" t="s">
        <v>43</v>
      </c>
      <c r="F60" s="436" t="s">
        <v>44</v>
      </c>
      <c r="G60" s="927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513">
        <f>IFERROR(LOOKUP(1,0/((成型機資料庫!$F$44:$F$73=J60)*(成型機資料庫!$G$44:$G$73=K60)),成型機資料庫!$K$44:$K$73),0)</f>
        <v>0</v>
      </c>
      <c r="R60" s="899">
        <f t="shared" si="9"/>
        <v>0</v>
      </c>
      <c r="S60" s="898">
        <f t="shared" si="10"/>
        <v>0</v>
      </c>
      <c r="T60" s="474">
        <f>IFERROR(LOOKUP(1,0/((成型機資料庫!$F$44:$F$73=J60)*(成型機資料庫!$G$44:$G$73=K60)),成型機資料庫!$I$44:$I$73),0)</f>
        <v>0</v>
      </c>
      <c r="U60" s="473">
        <f>IFERROR(LOOKUP(1,0/((成型機資料庫!$F$44:$F$73=J60)*(成型機資料庫!$G$44:$G$73=K60)),成型機資料庫!$J$44:$J$73),0)</f>
        <v>0</v>
      </c>
      <c r="V60" s="900">
        <f>IFERROR(LOOKUP(1,0/((成型機資料庫!$F$44:$F$73=J60)*(成型機資料庫!$G$44:$G$73=K60)),成型機資料庫!$L$44:$L$73),0)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8</v>
      </c>
      <c r="D61" s="581"/>
      <c r="E61" s="581" t="s">
        <v>43</v>
      </c>
      <c r="F61" s="436" t="s">
        <v>44</v>
      </c>
      <c r="G61" s="927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513">
        <f>IFERROR(LOOKUP(1,0/((成型機資料庫!$F$44:$F$73=J61)*(成型機資料庫!$G$44:$G$73=K61)),成型機資料庫!$K$44:$K$73),0)</f>
        <v>0</v>
      </c>
      <c r="R61" s="899">
        <f t="shared" si="9"/>
        <v>0</v>
      </c>
      <c r="S61" s="898">
        <f t="shared" si="10"/>
        <v>0</v>
      </c>
      <c r="T61" s="474">
        <f>IFERROR(LOOKUP(1,0/((成型機資料庫!$F$44:$F$73=J61)*(成型機資料庫!$G$44:$G$73=K61)),成型機資料庫!$I$44:$I$73),0)</f>
        <v>0</v>
      </c>
      <c r="U61" s="473">
        <f>IFERROR(LOOKUP(1,0/((成型機資料庫!$F$44:$F$73=J61)*(成型機資料庫!$G$44:$G$73=K61)),成型機資料庫!$J$44:$J$73),0)</f>
        <v>0</v>
      </c>
      <c r="V61" s="900">
        <f>IFERROR(LOOKUP(1,0/((成型機資料庫!$F$44:$F$73=J61)*(成型機資料庫!$G$44:$G$73=K61)),成型機資料庫!$L$44:$L$73),0)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9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513">
        <f>IFERROR(LOOKUP(1,0/((成型機資料庫!$F$44:$F$73=J62)*(成型機資料庫!$G$44:$G$73=K62)),成型機資料庫!$K$44:$K$73),0)</f>
        <v>0</v>
      </c>
      <c r="R62" s="899">
        <f t="shared" si="9"/>
        <v>0</v>
      </c>
      <c r="S62" s="898">
        <f t="shared" si="10"/>
        <v>0</v>
      </c>
      <c r="T62" s="474">
        <f>IFERROR(LOOKUP(1,0/((成型機資料庫!$F$44:$F$73=J62)*(成型機資料庫!$G$44:$G$73=K62)),成型機資料庫!$I$44:$I$73),0)</f>
        <v>0</v>
      </c>
      <c r="U62" s="473">
        <f>IFERROR(LOOKUP(1,0/((成型機資料庫!$F$44:$F$73=J62)*(成型機資料庫!$G$44:$G$73=K62)),成型機資料庫!$J$44:$J$73),0)</f>
        <v>0</v>
      </c>
      <c r="V62" s="900">
        <f>IFERROR(LOOKUP(1,0/((成型機資料庫!$F$44:$F$73=J62)*(成型機資料庫!$G$44:$G$73=K62)),成型機資料庫!$L$44:$L$73),0)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10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513">
        <f>IFERROR(LOOKUP(1,0/((成型機資料庫!$F$44:$F$73=J63)*(成型機資料庫!$G$44:$G$73=K63)),成型機資料庫!$K$44:$K$73),0)</f>
        <v>0</v>
      </c>
      <c r="R63" s="899">
        <f t="shared" si="9"/>
        <v>0</v>
      </c>
      <c r="S63" s="898">
        <f t="shared" si="10"/>
        <v>0</v>
      </c>
      <c r="T63" s="474">
        <f>IFERROR(LOOKUP(1,0/((成型機資料庫!$F$44:$F$73=J63)*(成型機資料庫!$G$44:$G$73=K63)),成型機資料庫!$I$44:$I$73),0)</f>
        <v>0</v>
      </c>
      <c r="U63" s="473">
        <f>IFERROR(LOOKUP(1,0/((成型機資料庫!$F$44:$F$73=J63)*(成型機資料庫!$G$44:$G$73=K63)),成型機資料庫!$J$44:$J$73),0)</f>
        <v>0</v>
      </c>
      <c r="V63" s="900">
        <f>IFERROR(LOOKUP(1,0/((成型機資料庫!$F$44:$F$73=J63)*(成型機資料庫!$G$44:$G$73=K63)),成型機資料庫!$L$44:$L$73),0)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11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513">
        <f>IFERROR(LOOKUP(1,0/((成型機資料庫!$F$44:$F$73=J64)*(成型機資料庫!$G$44:$G$73=K64)),成型機資料庫!$K$44:$K$73),0)</f>
        <v>0</v>
      </c>
      <c r="R64" s="899">
        <f t="shared" si="9"/>
        <v>0</v>
      </c>
      <c r="S64" s="898">
        <f t="shared" si="10"/>
        <v>0</v>
      </c>
      <c r="T64" s="474">
        <f>IFERROR(LOOKUP(1,0/((成型機資料庫!$F$44:$F$73=J64)*(成型機資料庫!$G$44:$G$73=K64)),成型機資料庫!$I$44:$I$73),0)</f>
        <v>0</v>
      </c>
      <c r="U64" s="473">
        <f>IFERROR(LOOKUP(1,0/((成型機資料庫!$F$44:$F$73=J64)*(成型機資料庫!$G$44:$G$73=K64)),成型機資料庫!$J$44:$J$73),0)</f>
        <v>0</v>
      </c>
      <c r="V64" s="900">
        <f>IFERROR(LOOKUP(1,0/((成型機資料庫!$F$44:$F$73=J64)*(成型機資料庫!$G$44:$G$73=K64)),成型機資料庫!$L$44:$L$73),0)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12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513">
        <f>IFERROR(LOOKUP(1,0/((成型機資料庫!$F$44:$F$73=J65)*(成型機資料庫!$G$44:$G$73=K65)),成型機資料庫!$K$44:$K$73),0)</f>
        <v>0</v>
      </c>
      <c r="R65" s="899">
        <f t="shared" si="9"/>
        <v>0</v>
      </c>
      <c r="S65" s="898">
        <f t="shared" si="10"/>
        <v>0</v>
      </c>
      <c r="T65" s="474">
        <f>IFERROR(LOOKUP(1,0/((成型機資料庫!$F$44:$F$73=J65)*(成型機資料庫!$G$44:$G$73=K65)),成型機資料庫!$I$44:$I$73),0)</f>
        <v>0</v>
      </c>
      <c r="U65" s="473">
        <f>IFERROR(LOOKUP(1,0/((成型機資料庫!$F$44:$F$73=J65)*(成型機資料庫!$G$44:$G$73=K65)),成型機資料庫!$J$44:$J$73),0)</f>
        <v>0</v>
      </c>
      <c r="V65" s="900">
        <f>IFERROR(LOOKUP(1,0/((成型機資料庫!$F$44:$F$73=J65)*(成型機資料庫!$G$44:$G$73=K65)),成型機資料庫!$L$44:$L$73),0)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13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513">
        <f>IFERROR(LOOKUP(1,0/((成型機資料庫!$F$44:$F$73=J66)*(成型機資料庫!$G$44:$G$73=K66)),成型機資料庫!$K$44:$K$73),0)</f>
        <v>0</v>
      </c>
      <c r="R66" s="899">
        <f t="shared" si="9"/>
        <v>0</v>
      </c>
      <c r="S66" s="898">
        <f t="shared" si="10"/>
        <v>0</v>
      </c>
      <c r="T66" s="474">
        <f>IFERROR(LOOKUP(1,0/((成型機資料庫!$F$44:$F$73=J66)*(成型機資料庫!$G$44:$G$73=K66)),成型機資料庫!$I$44:$I$73),0)</f>
        <v>0</v>
      </c>
      <c r="U66" s="473">
        <f>IFERROR(LOOKUP(1,0/((成型機資料庫!$F$44:$F$73=J66)*(成型機資料庫!$G$44:$G$73=K66)),成型機資料庫!$J$44:$J$73),0)</f>
        <v>0</v>
      </c>
      <c r="V66" s="900">
        <f>IFERROR(LOOKUP(1,0/((成型機資料庫!$F$44:$F$73=J66)*(成型機資料庫!$G$44:$G$73=K66)),成型機資料庫!$L$44:$L$73),0)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581"/>
      <c r="C67" s="581">
        <v>14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513">
        <f>IFERROR(LOOKUP(1,0/((成型機資料庫!$F$44:$F$73=J67)*(成型機資料庫!$G$44:$G$73=K67)),成型機資料庫!$K$44:$K$73),0)</f>
        <v>0</v>
      </c>
      <c r="R67" s="899">
        <f t="shared" si="9"/>
        <v>0</v>
      </c>
      <c r="S67" s="898">
        <f t="shared" si="10"/>
        <v>0</v>
      </c>
      <c r="T67" s="474">
        <f>IFERROR(LOOKUP(1,0/((成型機資料庫!$F$44:$F$73=J67)*(成型機資料庫!$G$44:$G$73=K67)),成型機資料庫!$I$44:$I$73),0)</f>
        <v>0</v>
      </c>
      <c r="U67" s="473">
        <f>IFERROR(LOOKUP(1,0/((成型機資料庫!$F$44:$F$73=J67)*(成型機資料庫!$G$44:$G$73=K67)),成型機資料庫!$J$44:$J$73),0)</f>
        <v>0</v>
      </c>
      <c r="V67" s="900">
        <f>IFERROR(LOOKUP(1,0/((成型機資料庫!$F$44:$F$73=J67)*(成型機資料庫!$G$44:$G$73=K67)),成型機資料庫!$L$44:$L$73),0)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581"/>
      <c r="C68" s="581">
        <v>15</v>
      </c>
      <c r="D68" s="581"/>
      <c r="E68" s="581" t="s">
        <v>43</v>
      </c>
      <c r="F68" s="436" t="s">
        <v>44</v>
      </c>
      <c r="G68" s="927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513">
        <f>IFERROR(LOOKUP(1,0/((成型機資料庫!$F$44:$F$73=J68)*(成型機資料庫!$G$44:$G$73=K68)),成型機資料庫!$K$44:$K$73),0)</f>
        <v>0</v>
      </c>
      <c r="R68" s="899">
        <f t="shared" si="9"/>
        <v>0</v>
      </c>
      <c r="S68" s="898">
        <f t="shared" si="10"/>
        <v>0</v>
      </c>
      <c r="T68" s="474">
        <f>IFERROR(LOOKUP(1,0/((成型機資料庫!$F$44:$F$73=J68)*(成型機資料庫!$G$44:$G$73=K68)),成型機資料庫!$I$44:$I$73),0)</f>
        <v>0</v>
      </c>
      <c r="U68" s="473">
        <f>IFERROR(LOOKUP(1,0/((成型機資料庫!$F$44:$F$73=J68)*(成型機資料庫!$G$44:$G$73=K68)),成型機資料庫!$J$44:$J$73),0)</f>
        <v>0</v>
      </c>
      <c r="V68" s="900">
        <f>IFERROR(LOOKUP(1,0/((成型機資料庫!$F$44:$F$73=J68)*(成型機資料庫!$G$44:$G$73=K68)),成型機資料庫!$L$44:$L$73),0)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38"/>
      <c r="AE68" s="438"/>
      <c r="AF68" s="438"/>
    </row>
    <row r="69" spans="1:32" s="433" customFormat="1" ht="15.75">
      <c r="A69" s="434">
        <v>113</v>
      </c>
      <c r="B69" s="581"/>
      <c r="C69" s="581">
        <v>16</v>
      </c>
      <c r="D69" s="581"/>
      <c r="E69" s="581" t="s">
        <v>43</v>
      </c>
      <c r="F69" s="436" t="s">
        <v>44</v>
      </c>
      <c r="G69" s="927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513">
        <f>IFERROR(LOOKUP(1,0/((成型機資料庫!$F$44:$F$73=J69)*(成型機資料庫!$G$44:$G$73=K69)),成型機資料庫!$K$44:$K$73),0)</f>
        <v>0</v>
      </c>
      <c r="R69" s="899">
        <f t="shared" si="9"/>
        <v>0</v>
      </c>
      <c r="S69" s="898">
        <f t="shared" si="10"/>
        <v>0</v>
      </c>
      <c r="T69" s="474">
        <f>IFERROR(LOOKUP(1,0/((成型機資料庫!$F$44:$F$73=J69)*(成型機資料庫!$G$44:$G$73=K69)),成型機資料庫!$I$44:$I$73),0)</f>
        <v>0</v>
      </c>
      <c r="U69" s="473">
        <f>IFERROR(LOOKUP(1,0/((成型機資料庫!$F$44:$F$73=J69)*(成型機資料庫!$G$44:$G$73=K69)),成型機資料庫!$J$44:$J$73),0)</f>
        <v>0</v>
      </c>
      <c r="V69" s="900">
        <f>IFERROR(LOOKUP(1,0/((成型機資料庫!$F$44:$F$73=J69)*(成型機資料庫!$G$44:$G$73=K69)),成型機資料庫!$L$44:$L$73),0)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64"/>
      <c r="AF69" s="438"/>
    </row>
    <row r="70" spans="1:32" s="433" customFormat="1" ht="15.75">
      <c r="A70" s="434">
        <v>113</v>
      </c>
      <c r="B70" s="581"/>
      <c r="C70" s="581">
        <v>17</v>
      </c>
      <c r="D70" s="581"/>
      <c r="E70" s="581" t="s">
        <v>43</v>
      </c>
      <c r="F70" s="436" t="s">
        <v>44</v>
      </c>
      <c r="G70" s="927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513">
        <f>IFERROR(LOOKUP(1,0/((成型機資料庫!$F$44:$F$73=J70)*(成型機資料庫!$G$44:$G$73=K70)),成型機資料庫!$K$44:$K$73),0)</f>
        <v>0</v>
      </c>
      <c r="R70" s="899">
        <f t="shared" si="9"/>
        <v>0</v>
      </c>
      <c r="S70" s="898">
        <f t="shared" si="10"/>
        <v>0</v>
      </c>
      <c r="T70" s="474">
        <f>IFERROR(LOOKUP(1,0/((成型機資料庫!$F$44:$F$73=J70)*(成型機資料庫!$G$44:$G$73=K70)),成型機資料庫!$I$44:$I$73),0)</f>
        <v>0</v>
      </c>
      <c r="U70" s="473">
        <f>IFERROR(LOOKUP(1,0/((成型機資料庫!$F$44:$F$73=J70)*(成型機資料庫!$G$44:$G$73=K70)),成型機資料庫!$J$44:$J$73),0)</f>
        <v>0</v>
      </c>
      <c r="V70" s="900">
        <f>IFERROR(LOOKUP(1,0/((成型機資料庫!$F$44:$F$73=J70)*(成型機資料庫!$G$44:$G$73=K70)),成型機資料庫!$L$44:$L$73),0)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18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513">
        <f>IFERROR(LOOKUP(1,0/((成型機資料庫!$F$44:$F$73=J71)*(成型機資料庫!$G$44:$G$73=K71)),成型機資料庫!$K$44:$K$73),0)</f>
        <v>0</v>
      </c>
      <c r="R71" s="899">
        <f t="shared" si="9"/>
        <v>0</v>
      </c>
      <c r="S71" s="898">
        <f t="shared" si="10"/>
        <v>0</v>
      </c>
      <c r="T71" s="474">
        <f>IFERROR(LOOKUP(1,0/((成型機資料庫!$F$44:$F$73=J71)*(成型機資料庫!$G$44:$G$73=K71)),成型機資料庫!$I$44:$I$73),0)</f>
        <v>0</v>
      </c>
      <c r="U71" s="473">
        <f>IFERROR(LOOKUP(1,0/((成型機資料庫!$F$44:$F$73=J71)*(成型機資料庫!$G$44:$G$73=K71)),成型機資料庫!$J$44:$J$73),0)</f>
        <v>0</v>
      </c>
      <c r="V71" s="900">
        <f>IFERROR(LOOKUP(1,0/((成型機資料庫!$F$44:$F$73=J71)*(成型機資料庫!$G$44:$G$73=K71)),成型機資料庫!$L$44:$L$73),0)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19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513">
        <f>IFERROR(LOOKUP(1,0/((成型機資料庫!$F$44:$F$73=J72)*(成型機資料庫!$G$44:$G$73=K72)),成型機資料庫!$K$44:$K$73),0)</f>
        <v>0</v>
      </c>
      <c r="R72" s="899">
        <f t="shared" si="9"/>
        <v>0</v>
      </c>
      <c r="S72" s="898">
        <f t="shared" si="10"/>
        <v>0</v>
      </c>
      <c r="T72" s="474">
        <f>IFERROR(LOOKUP(1,0/((成型機資料庫!$F$44:$F$73=J72)*(成型機資料庫!$G$44:$G$73=K72)),成型機資料庫!$I$44:$I$73),0)</f>
        <v>0</v>
      </c>
      <c r="U72" s="473">
        <f>IFERROR(LOOKUP(1,0/((成型機資料庫!$F$44:$F$73=J72)*(成型機資料庫!$G$44:$G$73=K72)),成型機資料庫!$J$44:$J$73),0)</f>
        <v>0</v>
      </c>
      <c r="V72" s="900">
        <f>IFERROR(LOOKUP(1,0/((成型機資料庫!$F$44:$F$73=J72)*(成型機資料庫!$G$44:$G$73=K72)),成型機資料庫!$L$44:$L$73),0)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20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513">
        <f>IFERROR(LOOKUP(1,0/((成型機資料庫!$F$44:$F$73=J73)*(成型機資料庫!$G$44:$G$73=K73)),成型機資料庫!$K$44:$K$73),0)</f>
        <v>0</v>
      </c>
      <c r="R73" s="899">
        <f t="shared" si="9"/>
        <v>0</v>
      </c>
      <c r="S73" s="898">
        <f t="shared" si="10"/>
        <v>0</v>
      </c>
      <c r="T73" s="474">
        <f>IFERROR(LOOKUP(1,0/((成型機資料庫!$F$44:$F$73=J73)*(成型機資料庫!$G$44:$G$73=K73)),成型機資料庫!$I$44:$I$73),0)</f>
        <v>0</v>
      </c>
      <c r="U73" s="473">
        <f>IFERROR(LOOKUP(1,0/((成型機資料庫!$F$44:$F$73=J73)*(成型機資料庫!$G$44:$G$73=K73)),成型機資料庫!$J$44:$J$73),0)</f>
        <v>0</v>
      </c>
      <c r="V73" s="900">
        <f>IFERROR(LOOKUP(1,0/((成型機資料庫!$F$44:$F$73=J73)*(成型機資料庫!$G$44:$G$73=K73)),成型機資料庫!$L$44:$L$73),0)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21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513">
        <f>IFERROR(LOOKUP(1,0/((成型機資料庫!$F$44:$F$73=J74)*(成型機資料庫!$G$44:$G$73=K74)),成型機資料庫!$K$44:$K$73),0)</f>
        <v>0</v>
      </c>
      <c r="R74" s="899">
        <f t="shared" si="9"/>
        <v>0</v>
      </c>
      <c r="S74" s="898">
        <f t="shared" si="10"/>
        <v>0</v>
      </c>
      <c r="T74" s="474">
        <f>IFERROR(LOOKUP(1,0/((成型機資料庫!$F$44:$F$73=J74)*(成型機資料庫!$G$44:$G$73=K74)),成型機資料庫!$I$44:$I$73),0)</f>
        <v>0</v>
      </c>
      <c r="U74" s="473">
        <f>IFERROR(LOOKUP(1,0/((成型機資料庫!$F$44:$F$73=J74)*(成型機資料庫!$G$44:$G$73=K74)),成型機資料庫!$J$44:$J$73),0)</f>
        <v>0</v>
      </c>
      <c r="V74" s="900">
        <f>IFERROR(LOOKUP(1,0/((成型機資料庫!$F$44:$F$73=J74)*(成型機資料庫!$G$44:$G$73=K74)),成型機資料庫!$L$44:$L$73),0)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22</v>
      </c>
      <c r="D75" s="581"/>
      <c r="E75" s="581" t="s">
        <v>43</v>
      </c>
      <c r="F75" s="436" t="s">
        <v>44</v>
      </c>
      <c r="G75" s="927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513">
        <f>IFERROR(LOOKUP(1,0/((成型機資料庫!$F$44:$F$73=J75)*(成型機資料庫!$G$44:$G$73=K75)),成型機資料庫!$K$44:$K$73),0)</f>
        <v>0</v>
      </c>
      <c r="R75" s="899">
        <f t="shared" si="9"/>
        <v>0</v>
      </c>
      <c r="S75" s="898">
        <f t="shared" si="10"/>
        <v>0</v>
      </c>
      <c r="T75" s="474">
        <f>IFERROR(LOOKUP(1,0/((成型機資料庫!$F$44:$F$73=J75)*(成型機資料庫!$G$44:$G$73=K75)),成型機資料庫!$I$44:$I$73),0)</f>
        <v>0</v>
      </c>
      <c r="U75" s="473">
        <f>IFERROR(LOOKUP(1,0/((成型機資料庫!$F$44:$F$73=J75)*(成型機資料庫!$G$44:$G$73=K75)),成型機資料庫!$J$44:$J$73),0)</f>
        <v>0</v>
      </c>
      <c r="V75" s="900">
        <f>IFERROR(LOOKUP(1,0/((成型機資料庫!$F$44:$F$73=J75)*(成型機資料庫!$G$44:$G$73=K75)),成型機資料庫!$L$44:$L$73),0)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23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513">
        <f>IFERROR(LOOKUP(1,0/((成型機資料庫!$F$44:$F$73=J76)*(成型機資料庫!$G$44:$G$73=K76)),成型機資料庫!$K$44:$K$73),0)</f>
        <v>0</v>
      </c>
      <c r="R76" s="899">
        <f t="shared" si="9"/>
        <v>0</v>
      </c>
      <c r="S76" s="898">
        <f t="shared" si="10"/>
        <v>0</v>
      </c>
      <c r="T76" s="474">
        <f>IFERROR(LOOKUP(1,0/((成型機資料庫!$F$44:$F$73=J76)*(成型機資料庫!$G$44:$G$73=K76)),成型機資料庫!$I$44:$I$73),0)</f>
        <v>0</v>
      </c>
      <c r="U76" s="473">
        <f>IFERROR(LOOKUP(1,0/((成型機資料庫!$F$44:$F$73=J76)*(成型機資料庫!$G$44:$G$73=K76)),成型機資料庫!$J$44:$J$73),0)</f>
        <v>0</v>
      </c>
      <c r="V76" s="900">
        <f>IFERROR(LOOKUP(1,0/((成型機資料庫!$F$44:$F$73=J76)*(成型機資料庫!$G$44:$G$73=K76)),成型機資料庫!$L$44:$L$73),0)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24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513">
        <f>IFERROR(LOOKUP(1,0/((成型機資料庫!$F$44:$F$73=J77)*(成型機資料庫!$G$44:$G$73=K77)),成型機資料庫!$K$44:$K$73),0)</f>
        <v>0</v>
      </c>
      <c r="R77" s="899">
        <f t="shared" si="9"/>
        <v>0</v>
      </c>
      <c r="S77" s="898">
        <f t="shared" si="10"/>
        <v>0</v>
      </c>
      <c r="T77" s="474">
        <f>IFERROR(LOOKUP(1,0/((成型機資料庫!$F$44:$F$73=J77)*(成型機資料庫!$G$44:$G$73=K77)),成型機資料庫!$I$44:$I$73),0)</f>
        <v>0</v>
      </c>
      <c r="U77" s="473">
        <f>IFERROR(LOOKUP(1,0/((成型機資料庫!$F$44:$F$73=J77)*(成型機資料庫!$G$44:$G$73=K77)),成型機資料庫!$J$44:$J$73),0)</f>
        <v>0</v>
      </c>
      <c r="V77" s="900">
        <f>IFERROR(LOOKUP(1,0/((成型機資料庫!$F$44:$F$73=J77)*(成型機資料庫!$G$44:$G$73=K77)),成型機資料庫!$L$44:$L$73),0)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434"/>
      <c r="C78" s="434">
        <v>25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513">
        <f>IFERROR(LOOKUP(1,0/((成型機資料庫!$F$44:$F$73=J78)*(成型機資料庫!$G$44:$G$73=K78)),成型機資料庫!$K$44:$K$73),0)</f>
        <v>0</v>
      </c>
      <c r="R78" s="899">
        <f t="shared" si="9"/>
        <v>0</v>
      </c>
      <c r="S78" s="898">
        <f t="shared" si="10"/>
        <v>0</v>
      </c>
      <c r="T78" s="474">
        <f>IFERROR(LOOKUP(1,0/((成型機資料庫!$F$44:$F$73=J78)*(成型機資料庫!$G$44:$G$73=K78)),成型機資料庫!$I$44:$I$73),0)</f>
        <v>0</v>
      </c>
      <c r="U78" s="473">
        <f>IFERROR(LOOKUP(1,0/((成型機資料庫!$F$44:$F$73=J78)*(成型機資料庫!$G$44:$G$73=K78)),成型機資料庫!$J$44:$J$73),0)</f>
        <v>0</v>
      </c>
      <c r="V78" s="900">
        <f>IFERROR(LOOKUP(1,0/((成型機資料庫!$F$44:$F$73=J78)*(成型機資料庫!$G$44:$G$73=K78)),成型機資料庫!$L$44:$L$73),0)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64"/>
      <c r="AF78" s="438"/>
    </row>
    <row r="79" spans="1:32" s="433" customFormat="1" ht="15.75">
      <c r="A79" s="434">
        <v>113</v>
      </c>
      <c r="B79" s="434"/>
      <c r="C79" s="434">
        <v>26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513">
        <f>IFERROR(LOOKUP(1,0/((成型機資料庫!$F$44:$F$73=J79)*(成型機資料庫!$G$44:$G$73=K79)),成型機資料庫!$K$44:$K$73),0)</f>
        <v>0</v>
      </c>
      <c r="R79" s="899">
        <f t="shared" si="9"/>
        <v>0</v>
      </c>
      <c r="S79" s="898">
        <f t="shared" si="10"/>
        <v>0</v>
      </c>
      <c r="T79" s="474">
        <f>IFERROR(LOOKUP(1,0/((成型機資料庫!$F$44:$F$73=J79)*(成型機資料庫!$G$44:$G$73=K79)),成型機資料庫!$I$44:$I$73),0)</f>
        <v>0</v>
      </c>
      <c r="U79" s="473">
        <f>IFERROR(LOOKUP(1,0/((成型機資料庫!$F$44:$F$73=J79)*(成型機資料庫!$G$44:$G$73=K79)),成型機資料庫!$J$44:$J$73),0)</f>
        <v>0</v>
      </c>
      <c r="V79" s="900">
        <f>IFERROR(LOOKUP(1,0/((成型機資料庫!$F$44:$F$73=J79)*(成型機資料庫!$G$44:$G$73=K79)),成型機資料庫!$L$44:$L$73),0)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38"/>
      <c r="AE79" s="464"/>
      <c r="AF79" s="438"/>
    </row>
    <row r="80" spans="1:32" s="433" customFormat="1" ht="15.75">
      <c r="A80" s="434">
        <v>113</v>
      </c>
      <c r="B80" s="434"/>
      <c r="C80" s="434">
        <v>27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513">
        <f>IFERROR(LOOKUP(1,0/((成型機資料庫!$F$44:$F$73=J80)*(成型機資料庫!$G$44:$G$73=K80)),成型機資料庫!$K$44:$K$73),0)</f>
        <v>0</v>
      </c>
      <c r="R80" s="899">
        <f t="shared" si="9"/>
        <v>0</v>
      </c>
      <c r="S80" s="898">
        <f t="shared" si="10"/>
        <v>0</v>
      </c>
      <c r="T80" s="474">
        <f>IFERROR(LOOKUP(1,0/((成型機資料庫!$F$44:$F$73=J80)*(成型機資料庫!$G$44:$G$73=K80)),成型機資料庫!$I$44:$I$73),0)</f>
        <v>0</v>
      </c>
      <c r="U80" s="473">
        <f>IFERROR(LOOKUP(1,0/((成型機資料庫!$F$44:$F$73=J80)*(成型機資料庫!$G$44:$G$73=K80)),成型機資料庫!$J$44:$J$73),0)</f>
        <v>0</v>
      </c>
      <c r="V80" s="900">
        <f>IFERROR(LOOKUP(1,0/((成型機資料庫!$F$44:$F$73=J80)*(成型機資料庫!$G$44:$G$73=K80)),成型機資料庫!$L$44:$L$73),0)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38"/>
      <c r="AF80" s="438"/>
    </row>
    <row r="81" spans="1:56" s="433" customFormat="1" ht="15.75">
      <c r="A81" s="434">
        <v>113</v>
      </c>
      <c r="B81" s="581"/>
      <c r="C81" s="581">
        <v>28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513">
        <f>IFERROR(LOOKUP(1,0/((成型機資料庫!$F$44:$F$73=J81)*(成型機資料庫!$G$44:$G$73=K81)),成型機資料庫!$K$44:$K$73),0)</f>
        <v>0</v>
      </c>
      <c r="R81" s="899">
        <f t="shared" si="9"/>
        <v>0</v>
      </c>
      <c r="S81" s="898">
        <f t="shared" si="10"/>
        <v>0</v>
      </c>
      <c r="T81" s="474">
        <f>IFERROR(LOOKUP(1,0/((成型機資料庫!$F$44:$F$73=J81)*(成型機資料庫!$G$44:$G$73=K81)),成型機資料庫!$I$44:$I$73),0)</f>
        <v>0</v>
      </c>
      <c r="U81" s="473">
        <f>IFERROR(LOOKUP(1,0/((成型機資料庫!$F$44:$F$73=J81)*(成型機資料庫!$G$44:$G$73=K81)),成型機資料庫!$J$44:$J$73),0)</f>
        <v>0</v>
      </c>
      <c r="V81" s="900">
        <f>IFERROR(LOOKUP(1,0/((成型機資料庫!$F$44:$F$73=J81)*(成型機資料庫!$G$44:$G$73=K81)),成型機資料庫!$L$44:$L$73),0)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56" s="433" customFormat="1" ht="15.75">
      <c r="A82" s="434">
        <v>113</v>
      </c>
      <c r="B82" s="581"/>
      <c r="C82" s="581">
        <v>29</v>
      </c>
      <c r="D82" s="581"/>
      <c r="E82" s="581" t="s">
        <v>43</v>
      </c>
      <c r="F82" s="436" t="s">
        <v>44</v>
      </c>
      <c r="G82" s="926"/>
      <c r="H82" s="464"/>
      <c r="I82" s="429"/>
      <c r="J82" s="429"/>
      <c r="K82" s="429"/>
      <c r="L82" s="464"/>
      <c r="M82" s="464"/>
      <c r="N82" s="900">
        <f t="shared" si="13"/>
        <v>0</v>
      </c>
      <c r="O82" s="901">
        <f t="shared" si="8"/>
        <v>0</v>
      </c>
      <c r="P82" s="460"/>
      <c r="Q82" s="513">
        <f>IFERROR(LOOKUP(1,0/((成型機資料庫!$F$44:$F$73=J82)*(成型機資料庫!$G$44:$G$73=K82)),成型機資料庫!$K$44:$K$73),0)</f>
        <v>0</v>
      </c>
      <c r="R82" s="899">
        <f t="shared" si="9"/>
        <v>0</v>
      </c>
      <c r="S82" s="898">
        <f t="shared" si="10"/>
        <v>0</v>
      </c>
      <c r="T82" s="474">
        <f>IFERROR(LOOKUP(1,0/((成型機資料庫!$F$44:$F$73=J82)*(成型機資料庫!$G$44:$G$73=K82)),成型機資料庫!$I$44:$I$73),0)</f>
        <v>0</v>
      </c>
      <c r="U82" s="473">
        <f>IFERROR(LOOKUP(1,0/((成型機資料庫!$F$44:$F$73=J82)*(成型機資料庫!$G$44:$G$73=K82)),成型機資料庫!$J$44:$J$73),0)</f>
        <v>0</v>
      </c>
      <c r="V82" s="900">
        <f>IFERROR(LOOKUP(1,0/((成型機資料庫!$F$44:$F$73=J82)*(成型機資料庫!$G$44:$G$73=K82)),成型機資料庫!$L$44:$L$73),0)</f>
        <v>0</v>
      </c>
      <c r="W82" s="898">
        <f t="shared" si="11"/>
        <v>0</v>
      </c>
      <c r="X82" s="923">
        <f t="shared" si="14"/>
        <v>0</v>
      </c>
      <c r="Y82" s="898">
        <f t="shared" si="15"/>
        <v>0</v>
      </c>
      <c r="Z82" s="923"/>
      <c r="AA82" s="478">
        <f t="shared" si="12"/>
        <v>0</v>
      </c>
      <c r="AB82" s="438"/>
      <c r="AC82" s="482"/>
      <c r="AD82" s="464"/>
      <c r="AE82" s="464"/>
      <c r="AF82" s="438"/>
    </row>
    <row r="83" spans="1:56" s="433" customFormat="1" ht="15.75">
      <c r="A83" s="434">
        <v>113</v>
      </c>
      <c r="B83" s="581"/>
      <c r="C83" s="581">
        <v>30</v>
      </c>
      <c r="D83" s="581"/>
      <c r="E83" s="581" t="s">
        <v>43</v>
      </c>
      <c r="F83" s="436" t="s">
        <v>44</v>
      </c>
      <c r="G83" s="926"/>
      <c r="H83" s="464"/>
      <c r="I83" s="429"/>
      <c r="J83" s="429"/>
      <c r="K83" s="429"/>
      <c r="L83" s="464"/>
      <c r="M83" s="464"/>
      <c r="N83" s="900">
        <f t="shared" si="13"/>
        <v>0</v>
      </c>
      <c r="O83" s="901">
        <f t="shared" si="8"/>
        <v>0</v>
      </c>
      <c r="P83" s="460"/>
      <c r="Q83" s="513">
        <f>IFERROR(LOOKUP(1,0/((成型機資料庫!$F$44:$F$73=J83)*(成型機資料庫!$G$44:$G$73=K83)),成型機資料庫!$K$44:$K$73),0)</f>
        <v>0</v>
      </c>
      <c r="R83" s="899">
        <f t="shared" si="9"/>
        <v>0</v>
      </c>
      <c r="S83" s="898">
        <f t="shared" si="10"/>
        <v>0</v>
      </c>
      <c r="T83" s="474">
        <f>IFERROR(LOOKUP(1,0/((成型機資料庫!$F$44:$F$73=J83)*(成型機資料庫!$G$44:$G$73=K83)),成型機資料庫!$I$44:$I$73),0)</f>
        <v>0</v>
      </c>
      <c r="U83" s="473">
        <f>IFERROR(LOOKUP(1,0/((成型機資料庫!$F$44:$F$73=J83)*(成型機資料庫!$G$44:$G$73=K83)),成型機資料庫!$J$44:$J$73),0)</f>
        <v>0</v>
      </c>
      <c r="V83" s="900">
        <f>IFERROR(LOOKUP(1,0/((成型機資料庫!$F$44:$F$73=J83)*(成型機資料庫!$G$44:$G$73=K83)),成型機資料庫!$L$44:$L$73),0)</f>
        <v>0</v>
      </c>
      <c r="W83" s="898">
        <f t="shared" si="11"/>
        <v>0</v>
      </c>
      <c r="X83" s="923">
        <f t="shared" si="14"/>
        <v>0</v>
      </c>
      <c r="Y83" s="898">
        <f t="shared" si="15"/>
        <v>0</v>
      </c>
      <c r="Z83" s="923"/>
      <c r="AA83" s="478">
        <f t="shared" si="12"/>
        <v>0</v>
      </c>
      <c r="AB83" s="438"/>
      <c r="AC83" s="482"/>
      <c r="AD83" s="464"/>
      <c r="AE83" s="438"/>
      <c r="AF83" s="438"/>
    </row>
    <row r="84" spans="1:56" s="433" customFormat="1" ht="15.75">
      <c r="A84" s="446"/>
      <c r="B84" s="456"/>
      <c r="C84" s="456"/>
      <c r="D84" s="456"/>
      <c r="E84" s="456"/>
      <c r="F84" s="448"/>
      <c r="G84" s="951"/>
      <c r="H84" s="452"/>
      <c r="I84" s="430"/>
      <c r="J84" s="469"/>
      <c r="K84" s="469"/>
      <c r="L84" s="452"/>
      <c r="M84" s="452"/>
      <c r="N84" s="945"/>
      <c r="O84" s="946"/>
      <c r="P84" s="868"/>
      <c r="Q84" s="467"/>
      <c r="R84" s="948"/>
      <c r="S84" s="936"/>
      <c r="T84" s="936"/>
      <c r="U84" s="936"/>
      <c r="V84" s="945"/>
      <c r="W84" s="936"/>
      <c r="X84" s="947"/>
      <c r="Y84" s="936"/>
      <c r="Z84" s="947"/>
      <c r="AA84" s="488"/>
      <c r="AB84" s="439"/>
      <c r="AC84" s="471"/>
      <c r="AD84" s="452"/>
      <c r="AE84" s="439"/>
      <c r="AF84" s="439"/>
    </row>
    <row r="85" spans="1:56" s="433" customFormat="1" ht="15.75">
      <c r="A85" s="446"/>
      <c r="B85" s="456"/>
      <c r="C85" s="456"/>
      <c r="D85" s="456"/>
      <c r="E85" s="456"/>
      <c r="F85" s="448"/>
      <c r="G85" s="951"/>
      <c r="H85" s="452"/>
      <c r="I85" s="430"/>
      <c r="J85" s="469"/>
      <c r="K85" s="469"/>
      <c r="L85" s="452"/>
      <c r="M85" s="452"/>
      <c r="N85" s="945"/>
      <c r="O85" s="946"/>
      <c r="P85" s="868"/>
      <c r="Q85" s="467"/>
      <c r="R85" s="948"/>
      <c r="S85" s="936"/>
      <c r="T85" s="936"/>
      <c r="U85" s="936"/>
      <c r="V85" s="945"/>
      <c r="W85" s="936"/>
      <c r="X85" s="947"/>
      <c r="Y85" s="936"/>
      <c r="Z85" s="947"/>
      <c r="AA85" s="488"/>
      <c r="AB85" s="439"/>
      <c r="AC85" s="471"/>
      <c r="AD85" s="452"/>
      <c r="AE85" s="439"/>
      <c r="AF85" s="439"/>
    </row>
    <row r="86" spans="1:56" s="433" customFormat="1" thickBot="1">
      <c r="A86" s="446"/>
      <c r="B86" s="446"/>
      <c r="C86" s="446"/>
      <c r="D86" s="446"/>
      <c r="E86" s="446"/>
      <c r="F86" s="448"/>
      <c r="G86" s="448"/>
      <c r="H86" s="430"/>
      <c r="I86" s="430"/>
      <c r="J86" s="430"/>
      <c r="K86" s="430"/>
      <c r="L86" s="439"/>
      <c r="M86" s="452"/>
      <c r="N86" s="452"/>
      <c r="O86" s="457"/>
      <c r="P86" s="466"/>
      <c r="Q86" s="467"/>
      <c r="R86" s="486"/>
      <c r="S86" s="457"/>
      <c r="T86" s="457"/>
      <c r="U86" s="457"/>
      <c r="V86" s="458"/>
      <c r="W86" s="487">
        <f>SUM(W54:W83)</f>
        <v>0</v>
      </c>
      <c r="X86" s="487"/>
      <c r="Y86" s="487"/>
      <c r="Z86" s="487"/>
      <c r="AA86" s="488"/>
      <c r="AB86" s="489"/>
      <c r="AC86" s="489"/>
      <c r="AD86" s="469" t="s">
        <v>46</v>
      </c>
      <c r="AE86" s="439"/>
      <c r="AF86" s="439"/>
    </row>
    <row r="87" spans="1:56" s="469" customFormat="1" ht="31.5">
      <c r="A87" s="479"/>
      <c r="B87" s="479"/>
      <c r="C87" s="479"/>
      <c r="D87" s="479"/>
      <c r="E87" s="479"/>
      <c r="F87" s="452"/>
      <c r="G87" s="524" t="s">
        <v>503</v>
      </c>
      <c r="H87" s="517"/>
      <c r="I87" s="518"/>
      <c r="L87" s="1842" t="s">
        <v>1349</v>
      </c>
      <c r="M87" s="525" t="s">
        <v>1294</v>
      </c>
      <c r="N87" s="525" t="s">
        <v>1295</v>
      </c>
      <c r="O87" s="526" t="s">
        <v>458</v>
      </c>
      <c r="P87" s="520"/>
      <c r="Q87" s="521"/>
      <c r="R87" s="524" t="s">
        <v>504</v>
      </c>
      <c r="S87" s="524" t="s">
        <v>455</v>
      </c>
      <c r="T87" s="521"/>
      <c r="U87" s="521"/>
      <c r="V87" s="524" t="s">
        <v>1293</v>
      </c>
      <c r="W87" s="524" t="s">
        <v>459</v>
      </c>
      <c r="X87" s="521"/>
      <c r="Y87" s="524" t="s">
        <v>1345</v>
      </c>
      <c r="Z87" s="524" t="s">
        <v>1350</v>
      </c>
      <c r="AA87" s="524" t="s">
        <v>1351</v>
      </c>
      <c r="AB87" s="524" t="s">
        <v>1353</v>
      </c>
      <c r="AC87" s="524" t="s">
        <v>1352</v>
      </c>
      <c r="AD87" s="469" t="s">
        <v>253</v>
      </c>
      <c r="AE87" s="452"/>
      <c r="AF87" s="452"/>
    </row>
    <row r="88" spans="1:56" thickBot="1">
      <c r="G88" s="522">
        <f>SUM(G54:G83)</f>
        <v>0</v>
      </c>
      <c r="I88" s="431"/>
      <c r="J88" s="518"/>
      <c r="K88" s="518"/>
      <c r="L88" s="1843"/>
      <c r="M88" s="522">
        <f>SUM(M54:M83)</f>
        <v>0</v>
      </c>
      <c r="N88" s="522">
        <f>SUM(N54:N83)</f>
        <v>0</v>
      </c>
      <c r="O88" s="902">
        <f>SUM(O54:O83)</f>
        <v>0</v>
      </c>
      <c r="P88" s="470"/>
      <c r="R88" s="924">
        <f>SUM(R54:R83)</f>
        <v>0</v>
      </c>
      <c r="S88" s="897" t="e">
        <f>(G88-R88)/G88</f>
        <v>#DIV/0!</v>
      </c>
      <c r="T88" s="446"/>
      <c r="U88" s="446"/>
      <c r="V88" s="686" t="e">
        <f>N88/W88</f>
        <v>#DIV/0!</v>
      </c>
      <c r="W88" s="516" t="e">
        <f>W86/Y88</f>
        <v>#DIV/0!</v>
      </c>
      <c r="X88" s="446"/>
      <c r="Y88" s="516"/>
      <c r="Z88" s="958">
        <f>SUM(Z54:Z83)</f>
        <v>0</v>
      </c>
      <c r="AA88" s="516">
        <f>SUM(AA54:AA83)</f>
        <v>0</v>
      </c>
      <c r="AB88" s="516">
        <f>Z88-AA88</f>
        <v>0</v>
      </c>
      <c r="AC88" s="896" t="e">
        <f>AA88/Z88</f>
        <v>#DIV/0!</v>
      </c>
    </row>
    <row r="89" spans="1:56" s="455" customFormat="1">
      <c r="A89" s="446"/>
      <c r="B89" s="446"/>
      <c r="C89" s="446"/>
      <c r="D89" s="446"/>
      <c r="E89" s="446"/>
      <c r="F89" s="433"/>
      <c r="G89" s="454"/>
      <c r="H89" s="449"/>
      <c r="I89" s="450"/>
      <c r="J89" s="450"/>
      <c r="K89" s="450"/>
      <c r="L89" s="446"/>
      <c r="M89" s="446"/>
      <c r="N89" s="446"/>
      <c r="O89" s="472"/>
      <c r="Q89" s="446"/>
      <c r="R89" s="441"/>
      <c r="S89" s="440"/>
      <c r="T89" s="440"/>
      <c r="U89" s="440"/>
      <c r="V89" s="456"/>
      <c r="W89"/>
      <c r="X89"/>
      <c r="Y89"/>
      <c r="Z89"/>
      <c r="AA89" s="445"/>
      <c r="AB89" s="432"/>
      <c r="AC89" s="432"/>
      <c r="AD89" s="451"/>
      <c r="AE89" s="433"/>
      <c r="AF89" s="433"/>
      <c r="AG89" s="446"/>
      <c r="AH89" s="446"/>
      <c r="AI89" s="446"/>
      <c r="AJ89" s="446"/>
      <c r="AK89" s="446"/>
      <c r="AL89" s="446"/>
      <c r="AM89" s="446"/>
      <c r="AN89" s="446"/>
      <c r="AO89" s="446"/>
      <c r="AP89" s="446"/>
      <c r="AQ89" s="446"/>
      <c r="AR89" s="446"/>
      <c r="AS89" s="446"/>
      <c r="AT89" s="446"/>
      <c r="AU89" s="446"/>
      <c r="AV89" s="446"/>
      <c r="AW89" s="446"/>
      <c r="AX89" s="446"/>
      <c r="AY89" s="446"/>
      <c r="AZ89" s="446"/>
      <c r="BA89" s="446"/>
      <c r="BB89" s="446"/>
      <c r="BC89" s="446"/>
      <c r="BD89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52:AF53"/>
    <mergeCell ref="L87:L88"/>
    <mergeCell ref="X52:X53"/>
    <mergeCell ref="Y52:Y53"/>
    <mergeCell ref="Z52:Z53"/>
    <mergeCell ref="AA52:AA53"/>
    <mergeCell ref="AB52:AC52"/>
    <mergeCell ref="AD52:AD53"/>
    <mergeCell ref="R52:R53"/>
    <mergeCell ref="S52:S53"/>
    <mergeCell ref="T52:T53"/>
    <mergeCell ref="U52:U53"/>
    <mergeCell ref="V52:V53"/>
    <mergeCell ref="W52:W53"/>
    <mergeCell ref="L52:L53"/>
    <mergeCell ref="P52:P53"/>
    <mergeCell ref="AB2:AC2"/>
    <mergeCell ref="AD2:AD3"/>
    <mergeCell ref="AE2:AE3"/>
    <mergeCell ref="M52:M53"/>
    <mergeCell ref="N52:N53"/>
    <mergeCell ref="O52:O53"/>
    <mergeCell ref="Q52:Q53"/>
    <mergeCell ref="AE52:AE53"/>
    <mergeCell ref="AF2:AF3"/>
    <mergeCell ref="L48:L49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52:A53"/>
    <mergeCell ref="B52:B53"/>
    <mergeCell ref="C52:C53"/>
    <mergeCell ref="D52:D53"/>
    <mergeCell ref="E52:E53"/>
    <mergeCell ref="K52:K53"/>
    <mergeCell ref="F52:F53"/>
    <mergeCell ref="G52:G53"/>
    <mergeCell ref="H52:H53"/>
    <mergeCell ref="I52:I53"/>
    <mergeCell ref="J52:J53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41">
    <cfRule type="cellIs" dxfId="776" priority="3" stopIfTrue="1" operator="equal">
      <formula>"未開機"</formula>
    </cfRule>
  </conditionalFormatting>
  <conditionalFormatting sqref="R54:U85">
    <cfRule type="expression" dxfId="775" priority="1" stopIfTrue="1">
      <formula>R54=0</formula>
    </cfRule>
  </conditionalFormatting>
  <conditionalFormatting sqref="W15:W46">
    <cfRule type="cellIs" dxfId="774" priority="34" stopIfTrue="1" operator="between">
      <formula>0.851</formula>
      <formula>1</formula>
    </cfRule>
    <cfRule type="cellIs" dxfId="773" priority="33" stopIfTrue="1" operator="lessThan">
      <formula>0.7</formula>
    </cfRule>
    <cfRule type="expression" dxfId="772" priority="32" stopIfTrue="1">
      <formula>W15=0</formula>
    </cfRule>
    <cfRule type="expression" dxfId="771" priority="36" stopIfTrue="1">
      <formula>W15=0</formula>
    </cfRule>
    <cfRule type="cellIs" dxfId="770" priority="35" stopIfTrue="1" operator="between">
      <formula>0.7</formula>
      <formula>0.85</formula>
    </cfRule>
  </conditionalFormatting>
  <conditionalFormatting sqref="W54:W85">
    <cfRule type="expression" dxfId="769" priority="15" stopIfTrue="1">
      <formula>W54=0</formula>
    </cfRule>
    <cfRule type="cellIs" dxfId="768" priority="16" stopIfTrue="1" operator="lessThan">
      <formula>0.7</formula>
    </cfRule>
    <cfRule type="cellIs" dxfId="767" priority="17" stopIfTrue="1" operator="between">
      <formula>0.851</formula>
      <formula>1</formula>
    </cfRule>
    <cfRule type="cellIs" dxfId="766" priority="18" stopIfTrue="1" operator="between">
      <formula>0.7</formula>
      <formula>0.85</formula>
    </cfRule>
    <cfRule type="expression" dxfId="765" priority="19" stopIfTrue="1">
      <formula>W54=0</formula>
    </cfRule>
  </conditionalFormatting>
  <conditionalFormatting sqref="W4:Y13 S4:U8 S9:S13 T9:U44 R15:S44 Z15:Z46 R45:U46">
    <cfRule type="expression" dxfId="764" priority="40" stopIfTrue="1">
      <formula>R4=0</formula>
    </cfRule>
  </conditionalFormatting>
  <conditionalFormatting sqref="W4:Y13">
    <cfRule type="cellIs" dxfId="763" priority="37" stopIfTrue="1" operator="lessThan">
      <formula>0.7</formula>
    </cfRule>
    <cfRule type="cellIs" dxfId="762" priority="38" stopIfTrue="1" operator="between">
      <formula>0.851</formula>
      <formula>1</formula>
    </cfRule>
    <cfRule type="cellIs" dxfId="761" priority="39" stopIfTrue="1" operator="between">
      <formula>0.7</formula>
      <formula>0.85</formula>
    </cfRule>
  </conditionalFormatting>
  <conditionalFormatting sqref="X16:X46">
    <cfRule type="cellIs" dxfId="760" priority="22" stopIfTrue="1" operator="lessThan">
      <formula>0.7</formula>
    </cfRule>
    <cfRule type="cellIs" dxfId="759" priority="23" stopIfTrue="1" operator="between">
      <formula>0.851</formula>
      <formula>1</formula>
    </cfRule>
    <cfRule type="cellIs" dxfId="758" priority="24" stopIfTrue="1" operator="between">
      <formula>0.7</formula>
      <formula>0.85</formula>
    </cfRule>
    <cfRule type="expression" dxfId="757" priority="25" stopIfTrue="1">
      <formula>X16=0</formula>
    </cfRule>
    <cfRule type="expression" dxfId="756" priority="21" stopIfTrue="1">
      <formula>X16=0</formula>
    </cfRule>
  </conditionalFormatting>
  <conditionalFormatting sqref="X55:X85">
    <cfRule type="expression" dxfId="755" priority="4" stopIfTrue="1">
      <formula>X55=0</formula>
    </cfRule>
    <cfRule type="cellIs" dxfId="754" priority="5" stopIfTrue="1" operator="lessThan">
      <formula>0.7</formula>
    </cfRule>
    <cfRule type="cellIs" dxfId="753" priority="6" stopIfTrue="1" operator="between">
      <formula>0.851</formula>
      <formula>1</formula>
    </cfRule>
    <cfRule type="cellIs" dxfId="752" priority="7" stopIfTrue="1" operator="between">
      <formula>0.7</formula>
      <formula>0.85</formula>
    </cfRule>
    <cfRule type="expression" dxfId="751" priority="8" stopIfTrue="1">
      <formula>X55=0</formula>
    </cfRule>
  </conditionalFormatting>
  <conditionalFormatting sqref="X15:Y15 Y16:Y46">
    <cfRule type="expression" dxfId="750" priority="27" stopIfTrue="1">
      <formula>X15=0</formula>
    </cfRule>
    <cfRule type="cellIs" dxfId="749" priority="28" stopIfTrue="1" operator="lessThan">
      <formula>0.7</formula>
    </cfRule>
    <cfRule type="cellIs" dxfId="748" priority="29" stopIfTrue="1" operator="between">
      <formula>0.851</formula>
      <formula>1</formula>
    </cfRule>
    <cfRule type="cellIs" dxfId="747" priority="30" stopIfTrue="1" operator="between">
      <formula>0.7</formula>
      <formula>0.85</formula>
    </cfRule>
    <cfRule type="expression" dxfId="746" priority="31" stopIfTrue="1">
      <formula>X15=0</formula>
    </cfRule>
  </conditionalFormatting>
  <conditionalFormatting sqref="X54:Y54 Y55:Y85">
    <cfRule type="expression" dxfId="745" priority="10" stopIfTrue="1">
      <formula>X54=0</formula>
    </cfRule>
    <cfRule type="expression" dxfId="744" priority="14" stopIfTrue="1">
      <formula>X54=0</formula>
    </cfRule>
    <cfRule type="cellIs" dxfId="743" priority="13" stopIfTrue="1" operator="between">
      <formula>0.7</formula>
      <formula>0.85</formula>
    </cfRule>
    <cfRule type="cellIs" dxfId="742" priority="12" stopIfTrue="1" operator="between">
      <formula>0.851</formula>
      <formula>1</formula>
    </cfRule>
    <cfRule type="cellIs" dxfId="741" priority="11" stopIfTrue="1" operator="lessThan">
      <formula>0.7</formula>
    </cfRule>
  </conditionalFormatting>
  <conditionalFormatting sqref="Y15:Y46">
    <cfRule type="cellIs" dxfId="740" priority="26" stopIfTrue="1" operator="greaterThan">
      <formula>1</formula>
    </cfRule>
  </conditionalFormatting>
  <conditionalFormatting sqref="Y54:Y85">
    <cfRule type="cellIs" dxfId="739" priority="9" stopIfTrue="1" operator="greaterThan">
      <formula>1</formula>
    </cfRule>
  </conditionalFormatting>
  <conditionalFormatting sqref="Z54:Z85">
    <cfRule type="expression" dxfId="738" priority="20" stopIfTrue="1">
      <formula>Z54=0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7EA2ECE9-24AD-498A-ACD3-4C3E7593C88F}">
          <x14:formula1>
            <xm:f>規格清單!$D$22:$D$31</xm:f>
          </x14:formula1>
          <xm:sqref>J54:J83 J4:J44</xm:sqref>
        </x14:dataValidation>
        <x14:dataValidation type="list" allowBlank="1" showInputMessage="1" showErrorMessage="1" xr:uid="{55990530-0138-42DF-B97F-38B495B0D60E}">
          <x14:formula1>
            <xm:f>成型機資料庫!$A$9:$A$11</xm:f>
          </x14:formula1>
          <xm:sqref>K4:K44 K54:K83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1F7B6-4D01-4B82-B9C7-9A45F052AEBD}">
  <dimension ref="A1:BD87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446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963</v>
      </c>
      <c r="I4" s="429" t="s">
        <v>462</v>
      </c>
      <c r="J4" s="429" t="s">
        <v>1470</v>
      </c>
      <c r="K4" s="429" t="s">
        <v>1301</v>
      </c>
      <c r="L4" s="464">
        <v>216</v>
      </c>
      <c r="M4" s="464"/>
      <c r="N4" s="464"/>
      <c r="O4" s="443">
        <f>L4*M4</f>
        <v>0</v>
      </c>
      <c r="P4" s="461">
        <v>5.6</v>
      </c>
      <c r="Q4" s="438">
        <f>IFERROR(LOOKUP(1,0/((成型機資料庫!$F$74:$F$97=J4)*(成型機資料庫!$G$74:$G$97=K4)),成型機資料庫!$K$74:$K$97),0)</f>
        <v>600</v>
      </c>
      <c r="R4" s="477">
        <f>M4*Q4*P4/1000</f>
        <v>0</v>
      </c>
      <c r="S4" s="898">
        <f>IFERROR((G4-R4)/G4,0)</f>
        <v>0</v>
      </c>
      <c r="T4" s="482">
        <f>IFERROR(LOOKUP(1,0/((成型機資料庫!$F$74:$F$97=J4)*(成型機資料庫!$G$74:$G$97=K4)),成型機資料庫!$I$74:$I$97),0)</f>
        <v>30</v>
      </c>
      <c r="U4" s="483">
        <f>IFERROR(LOOKUP(1,0/((成型機資料庫!$F$74:$F$97=J4)*(成型機資料庫!$G$74:$G$97=K4)),成型機資料庫!$J$74:$J$97),0)</f>
        <v>13.3</v>
      </c>
      <c r="V4" s="900">
        <f>IFERROR(LOOKUP(1,0/((成型機資料庫!$F$74:$F$97=J4)*(成型機資料庫!$G$74:$G$97=K4)),成型機資料庫!$L$74:$L$97),0)</f>
        <v>438.9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59</v>
      </c>
      <c r="G5" s="464"/>
      <c r="H5" s="464" t="s">
        <v>921</v>
      </c>
      <c r="I5" s="429" t="s">
        <v>463</v>
      </c>
      <c r="J5" s="429" t="s">
        <v>1471</v>
      </c>
      <c r="K5" s="429" t="s">
        <v>1301</v>
      </c>
      <c r="L5" s="438">
        <v>115</v>
      </c>
      <c r="M5" s="464"/>
      <c r="N5" s="464"/>
      <c r="O5" s="443"/>
      <c r="P5" s="461">
        <v>4.2</v>
      </c>
      <c r="Q5" s="438">
        <f>IFERROR(LOOKUP(1,0/((成型機資料庫!$F$74:$F$97=J5)*(成型機資料庫!$G$74:$G$97=K5)),成型機資料庫!$K$74:$K$97),0)</f>
        <v>500</v>
      </c>
      <c r="R5" s="477"/>
      <c r="S5" s="898"/>
      <c r="T5" s="482">
        <f>IFERROR(LOOKUP(1,0/((成型機資料庫!$F$74:$F$97=J5)*(成型機資料庫!$G$74:$G$97=K5)),成型機資料庫!$I$74:$I$97),0)</f>
        <v>36</v>
      </c>
      <c r="U5" s="483">
        <f>IFERROR(LOOKUP(1,0/((成型機資料庫!$F$74:$F$97=J5)*(成型機資料庫!$G$74:$G$97=K5)),成型機資料庫!$J$74:$J$97),0)</f>
        <v>9</v>
      </c>
      <c r="V5" s="900">
        <f>IFERROR(LOOKUP(1,0/((成型機資料庫!$F$74:$F$97=J5)*(成型機資料庫!$G$74:$G$97=K5)),成型機資料庫!$L$74:$L$97),0)</f>
        <v>427.68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692</v>
      </c>
      <c r="I6" s="429" t="s">
        <v>465</v>
      </c>
      <c r="J6" s="429" t="s">
        <v>1472</v>
      </c>
      <c r="K6" s="429" t="s">
        <v>1301</v>
      </c>
      <c r="L6" s="438">
        <v>210</v>
      </c>
      <c r="M6" s="464"/>
      <c r="N6" s="464"/>
      <c r="O6" s="443"/>
      <c r="P6" s="461">
        <v>3.7</v>
      </c>
      <c r="Q6" s="438">
        <f>IFERROR(LOOKUP(1,0/((成型機資料庫!$F$74:$F$97=J6)*(成型機資料庫!$G$74:$G$97=K6)),成型機資料庫!$K$74:$K$97),0)</f>
        <v>1000</v>
      </c>
      <c r="R6" s="477"/>
      <c r="S6" s="898"/>
      <c r="T6" s="482">
        <f>IFERROR(LOOKUP(1,0/((成型機資料庫!$F$74:$F$97=J6)*(成型機資料庫!$G$74:$G$97=K6)),成型機資料庫!$I$74:$I$97),0)</f>
        <v>70</v>
      </c>
      <c r="U6" s="483">
        <f>IFERROR(LOOKUP(1,0/((成型機資料庫!$F$74:$F$97=J6)*(成型機資料庫!$G$74:$G$97=K6)),成型機資料庫!$J$74:$J$97),0)</f>
        <v>9</v>
      </c>
      <c r="V6" s="900">
        <f>IFERROR(LOOKUP(1,0/((成型機資料庫!$F$74:$F$97=J6)*(成型機資料庫!$G$74:$G$97=K6)),成型機資料庫!$L$74:$L$97),0)</f>
        <v>415.8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29" t="s">
        <v>1364</v>
      </c>
      <c r="I7" s="429" t="s">
        <v>1365</v>
      </c>
      <c r="J7" s="429" t="s">
        <v>1463</v>
      </c>
      <c r="K7" s="429" t="s">
        <v>1301</v>
      </c>
      <c r="L7" s="438">
        <v>230</v>
      </c>
      <c r="M7" s="464"/>
      <c r="N7" s="464"/>
      <c r="O7" s="443"/>
      <c r="P7" s="461">
        <v>3.5</v>
      </c>
      <c r="Q7" s="438">
        <f>IFERROR(LOOKUP(1,0/((成型機資料庫!$F$74:$F$97=J7)*(成型機資料庫!$G$74:$G$97=K7)),成型機資料庫!$K$74:$K$97),0)</f>
        <v>1000</v>
      </c>
      <c r="R7" s="477"/>
      <c r="S7" s="898"/>
      <c r="T7" s="482">
        <f>IFERROR(LOOKUP(1,0/((成型機資料庫!$F$74:$F$97=J7)*(成型機資料庫!$G$74:$G$97=K7)),成型機資料庫!$I$74:$I$97),0)</f>
        <v>30</v>
      </c>
      <c r="U7" s="483">
        <f>IFERROR(LOOKUP(1,0/((成型機資料庫!$F$74:$F$97=J7)*(成型機資料庫!$G$74:$G$97=K7)),成型機資料庫!$J$74:$J$97),0)</f>
        <v>9.5</v>
      </c>
      <c r="V7" s="900">
        <f>IFERROR(LOOKUP(1,0/((成型機資料庫!$F$74:$F$97=J7)*(成型機資料庫!$G$74:$G$97=K7)),成型機資料庫!$L$74:$L$97),0)</f>
        <v>188.1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59</v>
      </c>
      <c r="G8" s="464"/>
      <c r="H8" s="429" t="s">
        <v>1366</v>
      </c>
      <c r="I8" s="429" t="s">
        <v>261</v>
      </c>
      <c r="J8" s="429" t="s">
        <v>1473</v>
      </c>
      <c r="K8" s="429" t="s">
        <v>1301</v>
      </c>
      <c r="L8" s="464">
        <v>174</v>
      </c>
      <c r="M8" s="464"/>
      <c r="N8" s="464"/>
      <c r="O8" s="443"/>
      <c r="P8" s="461">
        <v>4.5</v>
      </c>
      <c r="Q8" s="438">
        <f>IFERROR(LOOKUP(1,0/((成型機資料庫!$F$74:$F$97=J8)*(成型機資料庫!$G$74:$G$97=K8)),成型機資料庫!$K$74:$K$97),0)</f>
        <v>600</v>
      </c>
      <c r="R8" s="477"/>
      <c r="S8" s="898"/>
      <c r="T8" s="482">
        <f>IFERROR(LOOKUP(1,0/((成型機資料庫!$F$74:$F$97=J8)*(成型機資料庫!$G$74:$G$97=K8)),成型機資料庫!$I$74:$I$97),0)</f>
        <v>24</v>
      </c>
      <c r="U8" s="483">
        <f>IFERROR(LOOKUP(1,0/((成型機資料庫!$F$74:$F$97=J8)*(成型機資料庫!$G$74:$G$97=K8)),成型機資料庫!$J$74:$J$97),0)</f>
        <v>4.7</v>
      </c>
      <c r="V8" s="900">
        <f>IFERROR(LOOKUP(1,0/((成型機資料庫!$F$74:$F$97=J8)*(成型機資料庫!$G$74:$G$97=K8)),成型機資料庫!$L$74:$L$97),0)</f>
        <v>124.08000000000003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5" t="s">
        <v>59</v>
      </c>
      <c r="G9" s="464"/>
      <c r="H9" s="464" t="s">
        <v>1360</v>
      </c>
      <c r="I9" s="464" t="s">
        <v>467</v>
      </c>
      <c r="J9" s="464" t="s">
        <v>1462</v>
      </c>
      <c r="K9" s="429" t="s">
        <v>1301</v>
      </c>
      <c r="L9" s="464">
        <v>300</v>
      </c>
      <c r="M9" s="464"/>
      <c r="N9" s="464"/>
      <c r="O9" s="443"/>
      <c r="P9" s="483">
        <v>2.2999999999999998</v>
      </c>
      <c r="Q9" s="438">
        <f>IFERROR(LOOKUP(1,0/((成型機資料庫!$F$74:$F$97=J9)*(成型機資料庫!$G$74:$G$97=K9)),成型機資料庫!$K$74:$K$97),0)</f>
        <v>2000</v>
      </c>
      <c r="R9" s="477"/>
      <c r="S9" s="898"/>
      <c r="T9" s="482">
        <f>IFERROR(LOOKUP(1,0/((成型機資料庫!$F$74:$F$97=J9)*(成型機資料庫!$G$74:$G$97=K9)),成型機資料庫!$I$74:$I$97),0)</f>
        <v>56</v>
      </c>
      <c r="U9" s="483">
        <f>IFERROR(LOOKUP(1,0/((成型機資料庫!$F$74:$F$97=J9)*(成型機資料庫!$G$74:$G$97=K9)),成型機資料庫!$J$74:$J$97),0)</f>
        <v>10.7</v>
      </c>
      <c r="V9" s="900">
        <f>IFERROR(LOOKUP(1,0/((成型機資料庫!$F$74:$F$97=J9)*(成型機資料庫!$G$74:$G$97=K9)),成型機資料庫!$L$74:$L$97),0)</f>
        <v>197.73599999999996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5" t="s">
        <v>59</v>
      </c>
      <c r="G10" s="464"/>
      <c r="H10" s="464" t="s">
        <v>1360</v>
      </c>
      <c r="I10" s="429" t="s">
        <v>461</v>
      </c>
      <c r="J10" s="429" t="s">
        <v>1474</v>
      </c>
      <c r="K10" s="429" t="s">
        <v>1301</v>
      </c>
      <c r="L10" s="464">
        <v>170</v>
      </c>
      <c r="M10" s="464"/>
      <c r="N10" s="464"/>
      <c r="O10" s="443"/>
      <c r="P10" s="461">
        <v>3.1</v>
      </c>
      <c r="Q10" s="438">
        <f>IFERROR(LOOKUP(1,0/((成型機資料庫!$F$74:$F$97=J10)*(成型機資料庫!$G$74:$G$97=K10)),成型機資料庫!$K$74:$K$97),0)</f>
        <v>1000</v>
      </c>
      <c r="R10" s="477"/>
      <c r="S10" s="898"/>
      <c r="T10" s="482">
        <f>IFERROR(LOOKUP(1,0/((成型機資料庫!$F$74:$F$97=J10)*(成型機資料庫!$G$74:$G$97=K10)),成型機資料庫!$I$74:$I$97),0)</f>
        <v>48</v>
      </c>
      <c r="U10" s="483">
        <f>IFERROR(LOOKUP(1,0/((成型機資料庫!$F$74:$F$97=J10)*(成型機資料庫!$G$74:$G$97=K10)),成型機資料庫!$J$74:$J$97),0)</f>
        <v>10.7</v>
      </c>
      <c r="V10" s="900">
        <f>IFERROR(LOOKUP(1,0/((成型機資料庫!$F$74:$F$97=J10)*(成型機資料庫!$G$74:$G$97=K10)),成型機資料庫!$L$74:$L$97),0)</f>
        <v>338.97599999999994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ht="15.75">
      <c r="A11" s="434"/>
      <c r="B11" s="434"/>
      <c r="C11" s="434"/>
      <c r="D11" s="434"/>
      <c r="E11" s="434"/>
      <c r="F11" s="435" t="s">
        <v>58</v>
      </c>
      <c r="G11" s="464"/>
      <c r="H11" s="464" t="s">
        <v>689</v>
      </c>
      <c r="I11" s="464" t="s">
        <v>436</v>
      </c>
      <c r="J11" s="464" t="s">
        <v>1464</v>
      </c>
      <c r="K11" s="429" t="s">
        <v>1301</v>
      </c>
      <c r="L11" s="464">
        <f>0.05*2500</f>
        <v>125</v>
      </c>
      <c r="M11" s="464"/>
      <c r="N11" s="464"/>
      <c r="O11" s="443">
        <f t="shared" ref="O11:O42" si="0">L11*M11</f>
        <v>0</v>
      </c>
      <c r="P11" s="483">
        <v>1</v>
      </c>
      <c r="Q11" s="438">
        <f>IFERROR(LOOKUP(1,0/((成型機資料庫!$F$74:$F$97=J11)*(成型機資料庫!$G$74:$G$97=K11)),成型機資料庫!$K$74:$K$97),0)</f>
        <v>2500</v>
      </c>
      <c r="R11" s="477"/>
      <c r="S11" s="898"/>
      <c r="T11" s="482">
        <f>IFERROR(LOOKUP(1,0/((成型機資料庫!$F$74:$F$97=J11)*(成型機資料庫!$G$74:$G$97=K11)),成型機資料庫!$I$74:$I$97),0)</f>
        <v>120</v>
      </c>
      <c r="U11" s="483">
        <f>IFERROR(LOOKUP(1,0/((成型機資料庫!$F$74:$F$97=J11)*(成型機資料庫!$G$74:$G$97=K11)),成型機資料庫!$J$74:$J$97),0)</f>
        <v>8.6999999999999993</v>
      </c>
      <c r="V11" s="900">
        <f>IFERROR(LOOKUP(1,0/((成型機資料庫!$F$74:$F$97=J11)*(成型機資料庫!$G$74:$G$97=K11)),成型機資料庫!$L$74:$L$97),0)</f>
        <v>275.61599999999999</v>
      </c>
      <c r="W11" s="898"/>
      <c r="X11" s="898"/>
      <c r="Y11" s="898"/>
      <c r="Z11" s="485"/>
      <c r="AA11" s="478"/>
      <c r="AB11" s="438"/>
      <c r="AC11" s="482"/>
      <c r="AD11" s="536"/>
      <c r="AE11" s="438"/>
      <c r="AF11" s="438"/>
    </row>
    <row r="12" spans="1:56" s="439" customFormat="1" thickBot="1">
      <c r="A12" s="496"/>
      <c r="B12" s="496"/>
      <c r="C12" s="496"/>
      <c r="D12" s="496"/>
      <c r="E12" s="496"/>
      <c r="F12" s="497"/>
      <c r="G12" s="500"/>
      <c r="H12" s="500"/>
      <c r="I12" s="498"/>
      <c r="J12" s="498"/>
      <c r="K12" s="498"/>
      <c r="L12" s="500"/>
      <c r="M12" s="500"/>
      <c r="N12" s="500"/>
      <c r="O12" s="501">
        <f t="shared" si="0"/>
        <v>0</v>
      </c>
      <c r="P12" s="528"/>
      <c r="Q12" s="499">
        <f>IFERROR(LOOKUP(1,0/((成型機資料庫!$F$74:$F$97=J12)*(成型機資料庫!$G$74:$G$97=K12)),成型機資料庫!$K$74:$K$97),0)</f>
        <v>0</v>
      </c>
      <c r="R12" s="502"/>
      <c r="S12" s="503"/>
      <c r="T12" s="509">
        <f>IFERROR(LOOKUP(1,0/((成型機資料庫!$F$74:$F$97=J12)*(成型機資料庫!$G$74:$G$97=K12)),成型機資料庫!$I$74:$I$97),0)</f>
        <v>0</v>
      </c>
      <c r="U12" s="505">
        <f>IFERROR(LOOKUP(1,0/((成型機資料庫!$F$74:$F$97=J12)*(成型機資料庫!$G$74:$G$97=K12)),成型機資料庫!$J$74:$J$97),0)</f>
        <v>0</v>
      </c>
      <c r="V12" s="991">
        <f>IFERROR(LOOKUP(1,0/((成型機資料庫!$F$74:$F$97=J12)*(成型機資料庫!$G$74:$G$97=K12)),成型機資料庫!$L$74:$L$97),0)</f>
        <v>0</v>
      </c>
      <c r="W12" s="507"/>
      <c r="X12" s="507"/>
      <c r="Y12" s="507"/>
      <c r="Z12" s="507"/>
      <c r="AA12" s="508">
        <f t="shared" ref="AA12:AA42" si="1">AB12+AC12/60</f>
        <v>0</v>
      </c>
      <c r="AB12" s="499"/>
      <c r="AC12" s="509"/>
      <c r="AD12" s="529"/>
      <c r="AE12" s="499"/>
      <c r="AF12" s="499"/>
    </row>
    <row r="13" spans="1:56" s="433" customFormat="1" ht="15.75">
      <c r="A13" s="935">
        <v>113</v>
      </c>
      <c r="B13" s="935"/>
      <c r="C13" s="935">
        <v>1</v>
      </c>
      <c r="D13" s="889"/>
      <c r="E13" s="889" t="s">
        <v>0</v>
      </c>
      <c r="F13" s="962" t="s">
        <v>44</v>
      </c>
      <c r="G13" s="999"/>
      <c r="H13" s="532"/>
      <c r="I13" s="964"/>
      <c r="J13" s="964"/>
      <c r="K13" s="964"/>
      <c r="L13" s="532"/>
      <c r="M13" s="532"/>
      <c r="N13" s="927">
        <f>M13*Q13</f>
        <v>0</v>
      </c>
      <c r="O13" s="995">
        <f t="shared" si="0"/>
        <v>0</v>
      </c>
      <c r="P13" s="1000"/>
      <c r="Q13" s="480">
        <f>IFERROR(LOOKUP(1,0/((成型機資料庫!$F$74:$F$97=J13)*(成型機資料庫!$G$74:$G$97=K13)),成型機資料庫!$K$74:$K$97),0)</f>
        <v>0</v>
      </c>
      <c r="R13" s="997">
        <f t="shared" ref="R13:R42" si="2">M13*Q13*P13/1000</f>
        <v>0</v>
      </c>
      <c r="S13" s="996">
        <f t="shared" ref="S13:S42" si="3">IFERROR((G13-R13)/G13,0)</f>
        <v>0</v>
      </c>
      <c r="T13" s="968">
        <f>IFERROR(LOOKUP(1,0/((成型機資料庫!$F$74:$F$97=J13)*(成型機資料庫!$G$74:$G$97=K13)),成型機資料庫!$I$74:$I$97),0)</f>
        <v>0</v>
      </c>
      <c r="U13" s="967">
        <f>IFERROR(LOOKUP(1,0/((成型機資料庫!$F$74:$F$97=J13)*(成型機資料庫!$G$74:$G$97=K13)),成型機資料庫!$J$74:$J$97),0)</f>
        <v>0</v>
      </c>
      <c r="V13" s="927">
        <f>IFERROR(LOOKUP(1,0/((成型機資料庫!$F$74:$F$97=J13)*(成型機資料庫!$G$74:$G$97=K13)),成型機資料庫!$L$74:$L$97),0)</f>
        <v>0</v>
      </c>
      <c r="W13" s="996">
        <f t="shared" ref="W13:W42" si="4">IFERROR(M13/V13,0)</f>
        <v>0</v>
      </c>
      <c r="X13" s="987">
        <f>IFERROR(T13*U13*60*AA13/Q13,0)</f>
        <v>0</v>
      </c>
      <c r="Y13" s="996">
        <f>IFERROR(M13/X13,0)</f>
        <v>0</v>
      </c>
      <c r="Z13" s="987"/>
      <c r="AA13" s="495">
        <f t="shared" si="1"/>
        <v>0</v>
      </c>
      <c r="AB13" s="480"/>
      <c r="AC13" s="968"/>
      <c r="AD13" s="532"/>
      <c r="AE13" s="480"/>
      <c r="AF13" s="480"/>
    </row>
    <row r="14" spans="1:56" s="433" customFormat="1" ht="15.75">
      <c r="A14" s="434">
        <v>113</v>
      </c>
      <c r="B14" s="581"/>
      <c r="C14" s="581">
        <v>2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ref="N14:N42" si="5">M14*Q14</f>
        <v>0</v>
      </c>
      <c r="O14" s="901">
        <f t="shared" si="0"/>
        <v>0</v>
      </c>
      <c r="P14" s="460"/>
      <c r="Q14" s="438">
        <f>IFERROR(LOOKUP(1,0/((成型機資料庫!$F$74:$F$97=J14)*(成型機資料庫!$G$74:$G$97=K14)),成型機資料庫!$K$74:$K$97),0)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IFERROR(LOOKUP(1,0/((成型機資料庫!$F$74:$F$97=J14)*(成型機資料庫!$G$74:$G$97=K14)),成型機資料庫!$I$74:$I$97),0)</f>
        <v>0</v>
      </c>
      <c r="U14" s="483">
        <f>IFERROR(LOOKUP(1,0/((成型機資料庫!$F$74:$F$97=J14)*(成型機資料庫!$G$74:$G$97=K14)),成型機資料庫!$J$74:$J$97),0)</f>
        <v>0</v>
      </c>
      <c r="V14" s="900">
        <f>IFERROR(LOOKUP(1,0/((成型機資料庫!$F$74:$F$97=J14)*(成型機資料庫!$G$74:$G$97=K14)),成型機資料庫!$L$74:$L$97),0)</f>
        <v>0</v>
      </c>
      <c r="W14" s="898">
        <f t="shared" si="4"/>
        <v>0</v>
      </c>
      <c r="X14" s="923">
        <f t="shared" ref="X14:X42" si="6">IFERROR(T14*U14*60*AA14/Q14,0)</f>
        <v>0</v>
      </c>
      <c r="Y14" s="898">
        <f t="shared" ref="Y14:Y42" si="7">IFERROR(M14/X14,0)</f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3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IFERROR(LOOKUP(1,0/((成型機資料庫!$F$74:$F$97=J15)*(成型機資料庫!$G$74:$G$97=K15)),成型機資料庫!$K$74:$K$97),0)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IFERROR(LOOKUP(1,0/((成型機資料庫!$F$74:$F$97=J15)*(成型機資料庫!$G$74:$G$97=K15)),成型機資料庫!$I$74:$I$97),0)</f>
        <v>0</v>
      </c>
      <c r="U15" s="483">
        <f>IFERROR(LOOKUP(1,0/((成型機資料庫!$F$74:$F$97=J15)*(成型機資料庫!$G$74:$G$97=K15)),成型機資料庫!$J$74:$J$97),0)</f>
        <v>0</v>
      </c>
      <c r="V15" s="900">
        <f>IFERROR(LOOKUP(1,0/((成型機資料庫!$F$74:$F$97=J15)*(成型機資料庫!$G$74:$G$97=K15)),成型機資料庫!$L$74:$L$97),0)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4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IFERROR(LOOKUP(1,0/((成型機資料庫!$F$74:$F$97=J16)*(成型機資料庫!$G$74:$G$97=K16)),成型機資料庫!$K$74:$K$97),0)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IFERROR(LOOKUP(1,0/((成型機資料庫!$F$74:$F$97=J16)*(成型機資料庫!$G$74:$G$97=K16)),成型機資料庫!$I$74:$I$97),0)</f>
        <v>0</v>
      </c>
      <c r="U16" s="483">
        <f>IFERROR(LOOKUP(1,0/((成型機資料庫!$F$74:$F$97=J16)*(成型機資料庫!$G$74:$G$97=K16)),成型機資料庫!$J$74:$J$97),0)</f>
        <v>0</v>
      </c>
      <c r="V16" s="900">
        <f>IFERROR(LOOKUP(1,0/((成型機資料庫!$F$74:$F$97=J16)*(成型機資料庫!$G$74:$G$97=K16)),成型機資料庫!$L$74:$L$97),0)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64"/>
      <c r="AF16" s="438"/>
    </row>
    <row r="17" spans="1:32" s="433" customFormat="1" ht="15.75">
      <c r="A17" s="434">
        <v>113</v>
      </c>
      <c r="B17" s="581"/>
      <c r="C17" s="581">
        <v>5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IFERROR(LOOKUP(1,0/((成型機資料庫!$F$74:$F$97=J17)*(成型機資料庫!$G$74:$G$97=K17)),成型機資料庫!$K$74:$K$97),0)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IFERROR(LOOKUP(1,0/((成型機資料庫!$F$74:$F$97=J17)*(成型機資料庫!$G$74:$G$97=K17)),成型機資料庫!$I$74:$I$97),0)</f>
        <v>0</v>
      </c>
      <c r="U17" s="483">
        <f>IFERROR(LOOKUP(1,0/((成型機資料庫!$F$74:$F$97=J17)*(成型機資料庫!$G$74:$G$97=K17)),成型機資料庫!$J$74:$J$97),0)</f>
        <v>0</v>
      </c>
      <c r="V17" s="900">
        <f>IFERROR(LOOKUP(1,0/((成型機資料庫!$F$74:$F$97=J17)*(成型機資料庫!$G$74:$G$97=K17)),成型機資料庫!$L$74:$L$97),0)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6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IFERROR(LOOKUP(1,0/((成型機資料庫!$F$74:$F$97=J18)*(成型機資料庫!$G$74:$G$97=K18)),成型機資料庫!$K$74:$K$97),0)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IFERROR(LOOKUP(1,0/((成型機資料庫!$F$74:$F$97=J18)*(成型機資料庫!$G$74:$G$97=K18)),成型機資料庫!$I$74:$I$97),0)</f>
        <v>0</v>
      </c>
      <c r="U18" s="483">
        <f>IFERROR(LOOKUP(1,0/((成型機資料庫!$F$74:$F$97=J18)*(成型機資料庫!$G$74:$G$97=K18)),成型機資料庫!$J$74:$J$97),0)</f>
        <v>0</v>
      </c>
      <c r="V18" s="900">
        <f>IFERROR(LOOKUP(1,0/((成型機資料庫!$F$74:$F$97=J18)*(成型機資料庫!$G$74:$G$97=K18)),成型機資料庫!$L$74:$L$97),0)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879"/>
      <c r="AE18" s="438"/>
      <c r="AF18" s="438"/>
    </row>
    <row r="19" spans="1:32" s="433" customFormat="1" ht="15.75">
      <c r="A19" s="434">
        <v>113</v>
      </c>
      <c r="B19" s="581"/>
      <c r="C19" s="581">
        <v>7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IFERROR(LOOKUP(1,0/((成型機資料庫!$F$74:$F$97=J19)*(成型機資料庫!$G$74:$G$97=K19)),成型機資料庫!$K$74:$K$97),0)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IFERROR(LOOKUP(1,0/((成型機資料庫!$F$74:$F$97=J19)*(成型機資料庫!$G$74:$G$97=K19)),成型機資料庫!$I$74:$I$97),0)</f>
        <v>0</v>
      </c>
      <c r="U19" s="483">
        <f>IFERROR(LOOKUP(1,0/((成型機資料庫!$F$74:$F$97=J19)*(成型機資料庫!$G$74:$G$97=K19)),成型機資料庫!$J$74:$J$97),0)</f>
        <v>0</v>
      </c>
      <c r="V19" s="900">
        <f>IFERROR(LOOKUP(1,0/((成型機資料庫!$F$74:$F$97=J19)*(成型機資料庫!$G$74:$G$97=K19)),成型機資料庫!$L$74:$L$97),0)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8</v>
      </c>
      <c r="D20" s="581"/>
      <c r="E20" s="889" t="s">
        <v>0</v>
      </c>
      <c r="F20" s="962" t="s">
        <v>44</v>
      </c>
      <c r="G20" s="927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IFERROR(LOOKUP(1,0/((成型機資料庫!$F$74:$F$97=J20)*(成型機資料庫!$G$74:$G$97=K20)),成型機資料庫!$K$74:$K$97),0)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IFERROR(LOOKUP(1,0/((成型機資料庫!$F$74:$F$97=J20)*(成型機資料庫!$G$74:$G$97=K20)),成型機資料庫!$I$74:$I$97),0)</f>
        <v>0</v>
      </c>
      <c r="U20" s="483">
        <f>IFERROR(LOOKUP(1,0/((成型機資料庫!$F$74:$F$97=J20)*(成型機資料庫!$G$74:$G$97=K20)),成型機資料庫!$J$74:$J$97),0)</f>
        <v>0</v>
      </c>
      <c r="V20" s="900">
        <f>IFERROR(LOOKUP(1,0/((成型機資料庫!$F$74:$F$97=J20)*(成型機資料庫!$G$74:$G$97=K20)),成型機資料庫!$L$74:$L$97),0)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9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IFERROR(LOOKUP(1,0/((成型機資料庫!$F$74:$F$97=J21)*(成型機資料庫!$G$74:$G$97=K21)),成型機資料庫!$K$74:$K$97),0)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IFERROR(LOOKUP(1,0/((成型機資料庫!$F$74:$F$97=J21)*(成型機資料庫!$G$74:$G$97=K21)),成型機資料庫!$I$74:$I$97),0)</f>
        <v>0</v>
      </c>
      <c r="U21" s="483">
        <f>IFERROR(LOOKUP(1,0/((成型機資料庫!$F$74:$F$97=J21)*(成型機資料庫!$G$74:$G$97=K21)),成型機資料庫!$J$74:$J$97),0)</f>
        <v>0</v>
      </c>
      <c r="V21" s="900">
        <f>IFERROR(LOOKUP(1,0/((成型機資料庫!$F$74:$F$97=J21)*(成型機資料庫!$G$74:$G$97=K21)),成型機資料庫!$L$74:$L$97),0)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10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IFERROR(LOOKUP(1,0/((成型機資料庫!$F$74:$F$97=J22)*(成型機資料庫!$G$74:$G$97=K22)),成型機資料庫!$K$74:$K$97),0)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IFERROR(LOOKUP(1,0/((成型機資料庫!$F$74:$F$97=J22)*(成型機資料庫!$G$74:$G$97=K22)),成型機資料庫!$I$74:$I$97),0)</f>
        <v>0</v>
      </c>
      <c r="U22" s="483">
        <f>IFERROR(LOOKUP(1,0/((成型機資料庫!$F$74:$F$97=J22)*(成型機資料庫!$G$74:$G$97=K22)),成型機資料庫!$J$74:$J$97),0)</f>
        <v>0</v>
      </c>
      <c r="V22" s="900">
        <f>IFERROR(LOOKUP(1,0/((成型機資料庫!$F$74:$F$97=J22)*(成型機資料庫!$G$74:$G$97=K22)),成型機資料庫!$L$74:$L$97),0)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38"/>
      <c r="AE22" s="438"/>
      <c r="AF22" s="438"/>
    </row>
    <row r="23" spans="1:32" s="433" customFormat="1" ht="15.75">
      <c r="A23" s="434">
        <v>113</v>
      </c>
      <c r="B23" s="581"/>
      <c r="C23" s="581">
        <v>11</v>
      </c>
      <c r="D23" s="581"/>
      <c r="E23" s="581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IFERROR(LOOKUP(1,0/((成型機資料庫!$F$74:$F$97=J23)*(成型機資料庫!$G$74:$G$97=K23)),成型機資料庫!$K$74:$K$97),0)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IFERROR(LOOKUP(1,0/((成型機資料庫!$F$74:$F$97=J23)*(成型機資料庫!$G$74:$G$97=K23)),成型機資料庫!$I$74:$I$97),0)</f>
        <v>0</v>
      </c>
      <c r="U23" s="483">
        <f>IFERROR(LOOKUP(1,0/((成型機資料庫!$F$74:$F$97=J23)*(成型機資料庫!$G$74:$G$97=K23)),成型機資料庫!$J$74:$J$97),0)</f>
        <v>0</v>
      </c>
      <c r="V23" s="900">
        <f>IFERROR(LOOKUP(1,0/((成型機資料庫!$F$74:$F$97=J23)*(成型機資料庫!$G$74:$G$97=K23)),成型機資料庫!$L$74:$L$97),0)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12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IFERROR(LOOKUP(1,0/((成型機資料庫!$F$74:$F$97=J24)*(成型機資料庫!$G$74:$G$97=K24)),成型機資料庫!$K$74:$K$97),0)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IFERROR(LOOKUP(1,0/((成型機資料庫!$F$74:$F$97=J24)*(成型機資料庫!$G$74:$G$97=K24)),成型機資料庫!$I$74:$I$97),0)</f>
        <v>0</v>
      </c>
      <c r="U24" s="483">
        <f>IFERROR(LOOKUP(1,0/((成型機資料庫!$F$74:$F$97=J24)*(成型機資料庫!$G$74:$G$97=K24)),成型機資料庫!$J$74:$J$97),0)</f>
        <v>0</v>
      </c>
      <c r="V24" s="900">
        <f>IFERROR(LOOKUP(1,0/((成型機資料庫!$F$74:$F$97=J24)*(成型機資料庫!$G$74:$G$97=K24)),成型機資料庫!$L$74:$L$97),0)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13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IFERROR(LOOKUP(1,0/((成型機資料庫!$F$74:$F$97=J25)*(成型機資料庫!$G$74:$G$97=K25)),成型機資料庫!$K$74:$K$97),0)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IFERROR(LOOKUP(1,0/((成型機資料庫!$F$74:$F$97=J25)*(成型機資料庫!$G$74:$G$97=K25)),成型機資料庫!$I$74:$I$97),0)</f>
        <v>0</v>
      </c>
      <c r="U25" s="483">
        <f>IFERROR(LOOKUP(1,0/((成型機資料庫!$F$74:$F$97=J25)*(成型機資料庫!$G$74:$G$97=K25)),成型機資料庫!$J$74:$J$97),0)</f>
        <v>0</v>
      </c>
      <c r="V25" s="900">
        <f>IFERROR(LOOKUP(1,0/((成型機資料庫!$F$74:$F$97=J25)*(成型機資料庫!$G$74:$G$97=K25)),成型機資料庫!$L$74:$L$97),0)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14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IFERROR(LOOKUP(1,0/((成型機資料庫!$F$74:$F$97=J26)*(成型機資料庫!$G$74:$G$97=K26)),成型機資料庫!$K$74:$K$97),0)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IFERROR(LOOKUP(1,0/((成型機資料庫!$F$74:$F$97=J26)*(成型機資料庫!$G$74:$G$97=K26)),成型機資料庫!$I$74:$I$97),0)</f>
        <v>0</v>
      </c>
      <c r="U26" s="483">
        <f>IFERROR(LOOKUP(1,0/((成型機資料庫!$F$74:$F$97=J26)*(成型機資料庫!$G$74:$G$97=K26)),成型機資料庫!$J$74:$J$97),0)</f>
        <v>0</v>
      </c>
      <c r="V26" s="900">
        <f>IFERROR(LOOKUP(1,0/((成型機資料庫!$F$74:$F$97=J26)*(成型機資料庫!$G$74:$G$97=K26)),成型機資料庫!$L$74:$L$97),0)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581"/>
      <c r="C27" s="581">
        <v>15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IFERROR(LOOKUP(1,0/((成型機資料庫!$F$74:$F$97=J27)*(成型機資料庫!$G$74:$G$97=K27)),成型機資料庫!$K$74:$K$97),0)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IFERROR(LOOKUP(1,0/((成型機資料庫!$F$74:$F$97=J27)*(成型機資料庫!$G$74:$G$97=K27)),成型機資料庫!$I$74:$I$97),0)</f>
        <v>0</v>
      </c>
      <c r="U27" s="483">
        <f>IFERROR(LOOKUP(1,0/((成型機資料庫!$F$74:$F$97=J27)*(成型機資料庫!$G$74:$G$97=K27)),成型機資料庫!$J$74:$J$97),0)</f>
        <v>0</v>
      </c>
      <c r="V27" s="900">
        <f>IFERROR(LOOKUP(1,0/((成型機資料庫!$F$74:$F$97=J27)*(成型機資料庫!$G$74:$G$97=K27)),成型機資料庫!$L$74:$L$97),0)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38"/>
      <c r="AE27" s="438"/>
      <c r="AF27" s="438"/>
    </row>
    <row r="28" spans="1:32" s="433" customFormat="1" ht="15.75">
      <c r="A28" s="434">
        <v>113</v>
      </c>
      <c r="B28" s="581"/>
      <c r="C28" s="581">
        <v>16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IFERROR(LOOKUP(1,0/((成型機資料庫!$F$74:$F$97=J28)*(成型機資料庫!$G$74:$G$97=K28)),成型機資料庫!$K$74:$K$97),0)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IFERROR(LOOKUP(1,0/((成型機資料庫!$F$74:$F$97=J28)*(成型機資料庫!$G$74:$G$97=K28)),成型機資料庫!$I$74:$I$97),0)</f>
        <v>0</v>
      </c>
      <c r="U28" s="483">
        <f>IFERROR(LOOKUP(1,0/((成型機資料庫!$F$74:$F$97=J28)*(成型機資料庫!$G$74:$G$97=K28)),成型機資料庫!$J$74:$J$97),0)</f>
        <v>0</v>
      </c>
      <c r="V28" s="900">
        <f>IFERROR(LOOKUP(1,0/((成型機資料庫!$F$74:$F$97=J28)*(成型機資料庫!$G$74:$G$97=K28)),成型機資料庫!$L$74:$L$97),0)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64"/>
      <c r="AF28" s="438"/>
    </row>
    <row r="29" spans="1:32" s="433" customFormat="1" ht="15.75">
      <c r="A29" s="434">
        <v>113</v>
      </c>
      <c r="B29" s="581"/>
      <c r="C29" s="581">
        <v>17</v>
      </c>
      <c r="D29" s="581"/>
      <c r="E29" s="889" t="s">
        <v>0</v>
      </c>
      <c r="F29" s="962" t="s">
        <v>44</v>
      </c>
      <c r="G29" s="927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IFERROR(LOOKUP(1,0/((成型機資料庫!$F$74:$F$97=J29)*(成型機資料庫!$G$74:$G$97=K29)),成型機資料庫!$K$74:$K$97),0)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IFERROR(LOOKUP(1,0/((成型機資料庫!$F$74:$F$97=J29)*(成型機資料庫!$G$74:$G$97=K29)),成型機資料庫!$I$74:$I$97),0)</f>
        <v>0</v>
      </c>
      <c r="U29" s="483">
        <f>IFERROR(LOOKUP(1,0/((成型機資料庫!$F$74:$F$97=J29)*(成型機資料庫!$G$74:$G$97=K29)),成型機資料庫!$J$74:$J$97),0)</f>
        <v>0</v>
      </c>
      <c r="V29" s="900">
        <f>IFERROR(LOOKUP(1,0/((成型機資料庫!$F$74:$F$97=J29)*(成型機資料庫!$G$74:$G$97=K29)),成型機資料庫!$L$74:$L$97),0)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18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IFERROR(LOOKUP(1,0/((成型機資料庫!$F$74:$F$97=J30)*(成型機資料庫!$G$74:$G$97=K30)),成型機資料庫!$K$74:$K$97),0)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IFERROR(LOOKUP(1,0/((成型機資料庫!$F$74:$F$97=J30)*(成型機資料庫!$G$74:$G$97=K30)),成型機資料庫!$I$74:$I$97),0)</f>
        <v>0</v>
      </c>
      <c r="U30" s="483">
        <f>IFERROR(LOOKUP(1,0/((成型機資料庫!$F$74:$F$97=J30)*(成型機資料庫!$G$74:$G$97=K30)),成型機資料庫!$J$74:$J$97),0)</f>
        <v>0</v>
      </c>
      <c r="V30" s="900">
        <f>IFERROR(LOOKUP(1,0/((成型機資料庫!$F$74:$F$97=J30)*(成型機資料庫!$G$74:$G$97=K30)),成型機資料庫!$L$74:$L$97),0)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19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IFERROR(LOOKUP(1,0/((成型機資料庫!$F$74:$F$97=J31)*(成型機資料庫!$G$74:$G$97=K31)),成型機資料庫!$K$74:$K$97),0)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IFERROR(LOOKUP(1,0/((成型機資料庫!$F$74:$F$97=J31)*(成型機資料庫!$G$74:$G$97=K31)),成型機資料庫!$I$74:$I$97),0)</f>
        <v>0</v>
      </c>
      <c r="U31" s="483">
        <f>IFERROR(LOOKUP(1,0/((成型機資料庫!$F$74:$F$97=J31)*(成型機資料庫!$G$74:$G$97=K31)),成型機資料庫!$J$74:$J$97),0)</f>
        <v>0</v>
      </c>
      <c r="V31" s="900">
        <f>IFERROR(LOOKUP(1,0/((成型機資料庫!$F$74:$F$97=J31)*(成型機資料庫!$G$74:$G$97=K31)),成型機資料庫!$L$74:$L$97),0)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20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IFERROR(LOOKUP(1,0/((成型機資料庫!$F$74:$F$97=J32)*(成型機資料庫!$G$74:$G$97=K32)),成型機資料庫!$K$74:$K$97),0)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IFERROR(LOOKUP(1,0/((成型機資料庫!$F$74:$F$97=J32)*(成型機資料庫!$G$74:$G$97=K32)),成型機資料庫!$I$74:$I$97),0)</f>
        <v>0</v>
      </c>
      <c r="U32" s="483">
        <f>IFERROR(LOOKUP(1,0/((成型機資料庫!$F$74:$F$97=J32)*(成型機資料庫!$G$74:$G$97=K32)),成型機資料庫!$J$74:$J$97),0)</f>
        <v>0</v>
      </c>
      <c r="V32" s="900">
        <f>IFERROR(LOOKUP(1,0/((成型機資料庫!$F$74:$F$97=J32)*(成型機資料庫!$G$74:$G$97=K32)),成型機資料庫!$L$74:$L$97),0)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21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IFERROR(LOOKUP(1,0/((成型機資料庫!$F$74:$F$97=J33)*(成型機資料庫!$G$74:$G$97=K33)),成型機資料庫!$K$74:$K$97),0)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IFERROR(LOOKUP(1,0/((成型機資料庫!$F$74:$F$97=J33)*(成型機資料庫!$G$74:$G$97=K33)),成型機資料庫!$I$74:$I$97),0)</f>
        <v>0</v>
      </c>
      <c r="U33" s="483">
        <f>IFERROR(LOOKUP(1,0/((成型機資料庫!$F$74:$F$97=J33)*(成型機資料庫!$G$74:$G$97=K33)),成型機資料庫!$J$74:$J$97),0)</f>
        <v>0</v>
      </c>
      <c r="V33" s="900">
        <f>IFERROR(LOOKUP(1,0/((成型機資料庫!$F$74:$F$97=J33)*(成型機資料庫!$G$74:$G$97=K33)),成型機資料庫!$L$74:$L$97),0)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22</v>
      </c>
      <c r="D34" s="581"/>
      <c r="E34" s="889" t="s">
        <v>0</v>
      </c>
      <c r="F34" s="962" t="s">
        <v>44</v>
      </c>
      <c r="G34" s="927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IFERROR(LOOKUP(1,0/((成型機資料庫!$F$74:$F$97=J34)*(成型機資料庫!$G$74:$G$97=K34)),成型機資料庫!$K$74:$K$97),0)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IFERROR(LOOKUP(1,0/((成型機資料庫!$F$74:$F$97=J34)*(成型機資料庫!$G$74:$G$97=K34)),成型機資料庫!$I$74:$I$97),0)</f>
        <v>0</v>
      </c>
      <c r="U34" s="483">
        <f>IFERROR(LOOKUP(1,0/((成型機資料庫!$F$74:$F$97=J34)*(成型機資料庫!$G$74:$G$97=K34)),成型機資料庫!$J$74:$J$97),0)</f>
        <v>0</v>
      </c>
      <c r="V34" s="900">
        <f>IFERROR(LOOKUP(1,0/((成型機資料庫!$F$74:$F$97=J34)*(成型機資料庫!$G$74:$G$97=K34)),成型機資料庫!$L$74:$L$97),0)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23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IFERROR(LOOKUP(1,0/((成型機資料庫!$F$74:$F$97=J35)*(成型機資料庫!$G$74:$G$97=K35)),成型機資料庫!$K$74:$K$97),0)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IFERROR(LOOKUP(1,0/((成型機資料庫!$F$74:$F$97=J35)*(成型機資料庫!$G$74:$G$97=K35)),成型機資料庫!$I$74:$I$97),0)</f>
        <v>0</v>
      </c>
      <c r="U35" s="483">
        <f>IFERROR(LOOKUP(1,0/((成型機資料庫!$F$74:$F$97=J35)*(成型機資料庫!$G$74:$G$97=K35)),成型機資料庫!$J$74:$J$97),0)</f>
        <v>0</v>
      </c>
      <c r="V35" s="900">
        <f>IFERROR(LOOKUP(1,0/((成型機資料庫!$F$74:$F$97=J35)*(成型機資料庫!$G$74:$G$97=K35)),成型機資料庫!$L$74:$L$97),0)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64"/>
      <c r="AF35" s="438"/>
    </row>
    <row r="36" spans="1:32" s="433" customFormat="1" ht="15.75">
      <c r="A36" s="434">
        <v>113</v>
      </c>
      <c r="B36" s="434"/>
      <c r="C36" s="434">
        <v>24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IFERROR(LOOKUP(1,0/((成型機資料庫!$F$74:$F$97=J36)*(成型機資料庫!$G$74:$G$97=K36)),成型機資料庫!$K$74:$K$97),0)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IFERROR(LOOKUP(1,0/((成型機資料庫!$F$74:$F$97=J36)*(成型機資料庫!$G$74:$G$97=K36)),成型機資料庫!$I$74:$I$97),0)</f>
        <v>0</v>
      </c>
      <c r="U36" s="483">
        <f>IFERROR(LOOKUP(1,0/((成型機資料庫!$F$74:$F$97=J36)*(成型機資料庫!$G$74:$G$97=K36)),成型機資料庫!$J$74:$J$97),0)</f>
        <v>0</v>
      </c>
      <c r="V36" s="900">
        <f>IFERROR(LOOKUP(1,0/((成型機資料庫!$F$74:$F$97=J36)*(成型機資料庫!$G$74:$G$97=K36)),成型機資料庫!$L$74:$L$97),0)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25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IFERROR(LOOKUP(1,0/((成型機資料庫!$F$74:$F$97=J37)*(成型機資料庫!$G$74:$G$97=K37)),成型機資料庫!$K$74:$K$97),0)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IFERROR(LOOKUP(1,0/((成型機資料庫!$F$74:$F$97=J37)*(成型機資料庫!$G$74:$G$97=K37)),成型機資料庫!$I$74:$I$97),0)</f>
        <v>0</v>
      </c>
      <c r="U37" s="483">
        <f>IFERROR(LOOKUP(1,0/((成型機資料庫!$F$74:$F$97=J37)*(成型機資料庫!$G$74:$G$97=K37)),成型機資料庫!$J$74:$J$97),0)</f>
        <v>0</v>
      </c>
      <c r="V37" s="900">
        <f>IFERROR(LOOKUP(1,0/((成型機資料庫!$F$74:$F$97=J37)*(成型機資料庫!$G$74:$G$97=K37)),成型機資料庫!$L$74:$L$97),0)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26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IFERROR(LOOKUP(1,0/((成型機資料庫!$F$74:$F$97=J38)*(成型機資料庫!$G$74:$G$97=K38)),成型機資料庫!$K$74:$K$97),0)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IFERROR(LOOKUP(1,0/((成型機資料庫!$F$74:$F$97=J38)*(成型機資料庫!$G$74:$G$97=K38)),成型機資料庫!$I$74:$I$97),0)</f>
        <v>0</v>
      </c>
      <c r="U38" s="483">
        <f>IFERROR(LOOKUP(1,0/((成型機資料庫!$F$74:$F$97=J38)*(成型機資料庫!$G$74:$G$97=K38)),成型機資料庫!$J$74:$J$97),0)</f>
        <v>0</v>
      </c>
      <c r="V38" s="900">
        <f>IFERROR(LOOKUP(1,0/((成型機資料庫!$F$74:$F$97=J38)*(成型機資料庫!$G$74:$G$97=K38)),成型機資料庫!$L$74:$L$97),0)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38"/>
      <c r="AE38" s="464"/>
      <c r="AF38" s="438"/>
    </row>
    <row r="39" spans="1:32" s="433" customFormat="1" ht="15.75">
      <c r="A39" s="434">
        <v>113</v>
      </c>
      <c r="B39" s="434"/>
      <c r="C39" s="434">
        <v>27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IFERROR(LOOKUP(1,0/((成型機資料庫!$F$74:$F$97=J39)*(成型機資料庫!$G$74:$G$97=K39)),成型機資料庫!$K$74:$K$97),0)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IFERROR(LOOKUP(1,0/((成型機資料庫!$F$74:$F$97=J39)*(成型機資料庫!$G$74:$G$97=K39)),成型機資料庫!$I$74:$I$97),0)</f>
        <v>0</v>
      </c>
      <c r="U39" s="483">
        <f>IFERROR(LOOKUP(1,0/((成型機資料庫!$F$74:$F$97=J39)*(成型機資料庫!$G$74:$G$97=K39)),成型機資料庫!$J$74:$J$97),0)</f>
        <v>0</v>
      </c>
      <c r="V39" s="900">
        <f>IFERROR(LOOKUP(1,0/((成型機資料庫!$F$74:$F$97=J39)*(成型機資料庫!$G$74:$G$97=K39)),成型機資料庫!$L$74:$L$97),0)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28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IFERROR(LOOKUP(1,0/((成型機資料庫!$F$74:$F$97=J40)*(成型機資料庫!$G$74:$G$97=K40)),成型機資料庫!$K$74:$K$97),0)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IFERROR(LOOKUP(1,0/((成型機資料庫!$F$74:$F$97=J40)*(成型機資料庫!$G$74:$G$97=K40)),成型機資料庫!$I$74:$I$97),0)</f>
        <v>0</v>
      </c>
      <c r="U40" s="483">
        <f>IFERROR(LOOKUP(1,0/((成型機資料庫!$F$74:$F$97=J40)*(成型機資料庫!$G$74:$G$97=K40)),成型機資料庫!$J$74:$J$97),0)</f>
        <v>0</v>
      </c>
      <c r="V40" s="900">
        <f>IFERROR(LOOKUP(1,0/((成型機資料庫!$F$74:$F$97=J40)*(成型機資料庫!$G$74:$G$97=K40)),成型機資料庫!$L$74:$L$97),0)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34">
        <v>113</v>
      </c>
      <c r="B41" s="581"/>
      <c r="C41" s="581">
        <v>29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IFERROR(LOOKUP(1,0/((成型機資料庫!$F$74:$F$97=J41)*(成型機資料庫!$G$74:$G$97=K41)),成型機資料庫!$K$74:$K$97),0)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IFERROR(LOOKUP(1,0/((成型機資料庫!$F$74:$F$97=J41)*(成型機資料庫!$G$74:$G$97=K41)),成型機資料庫!$I$74:$I$97),0)</f>
        <v>0</v>
      </c>
      <c r="U41" s="483">
        <f>IFERROR(LOOKUP(1,0/((成型機資料庫!$F$74:$F$97=J41)*(成型機資料庫!$G$74:$G$97=K41)),成型機資料庫!$J$74:$J$97),0)</f>
        <v>0</v>
      </c>
      <c r="V41" s="900">
        <f>IFERROR(LOOKUP(1,0/((成型機資料庫!$F$74:$F$97=J41)*(成型機資料庫!$G$74:$G$97=K41)),成型機資料庫!$L$74:$L$97),0)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64"/>
      <c r="AF41" s="438"/>
    </row>
    <row r="42" spans="1:32" s="433" customFormat="1" ht="15.75">
      <c r="A42" s="434">
        <v>113</v>
      </c>
      <c r="B42" s="581"/>
      <c r="C42" s="581">
        <v>30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IFERROR(LOOKUP(1,0/((成型機資料庫!$F$74:$F$97=J42)*(成型機資料庫!$G$74:$G$97=K42)),成型機資料庫!$K$74:$K$97),0)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IFERROR(LOOKUP(1,0/((成型機資料庫!$F$74:$F$97=J42)*(成型機資料庫!$G$74:$G$97=K42)),成型機資料庫!$I$74:$I$97),0)</f>
        <v>0</v>
      </c>
      <c r="U42" s="483">
        <f>IFERROR(LOOKUP(1,0/((成型機資料庫!$F$74:$F$97=J42)*(成型機資料庫!$G$74:$G$97=K42)),成型機資料庫!$J$74:$J$97),0)</f>
        <v>0</v>
      </c>
      <c r="V42" s="900">
        <f>IFERROR(LOOKUP(1,0/((成型機資料庫!$F$74:$F$97=J42)*(成型機資料庫!$G$74:$G$97=K42)),成型機資料庫!$L$74:$L$97),0)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ht="15.75">
      <c r="A44" s="446"/>
      <c r="B44" s="456"/>
      <c r="C44" s="456"/>
      <c r="D44" s="456"/>
      <c r="E44" s="456"/>
      <c r="F44" s="448"/>
      <c r="G44" s="951"/>
      <c r="H44" s="452"/>
      <c r="I44" s="430"/>
      <c r="J44" s="430"/>
      <c r="K44" s="430"/>
      <c r="L44" s="452"/>
      <c r="M44" s="452"/>
      <c r="N44" s="945"/>
      <c r="O44" s="946"/>
      <c r="P44" s="868"/>
      <c r="Q44" s="467"/>
      <c r="R44" s="948"/>
      <c r="S44" s="936"/>
      <c r="T44" s="936"/>
      <c r="U44" s="936"/>
      <c r="V44" s="945"/>
      <c r="W44" s="936"/>
      <c r="X44" s="947"/>
      <c r="Y44" s="936"/>
      <c r="Z44" s="947"/>
      <c r="AA44" s="488"/>
      <c r="AB44" s="439"/>
      <c r="AC44" s="471"/>
      <c r="AD44" s="452"/>
      <c r="AE44" s="439"/>
      <c r="AF44" s="439"/>
    </row>
    <row r="45" spans="1:32" s="433" customFormat="1" thickBot="1">
      <c r="A45" s="446"/>
      <c r="B45" s="446"/>
      <c r="C45" s="446"/>
      <c r="D45" s="446"/>
      <c r="E45" s="446"/>
      <c r="F45" s="448"/>
      <c r="G45" s="448"/>
      <c r="H45" s="430"/>
      <c r="I45" s="430"/>
      <c r="J45" s="430"/>
      <c r="K45" s="430"/>
      <c r="L45" s="439"/>
      <c r="M45" s="452"/>
      <c r="N45" s="452"/>
      <c r="O45" s="457"/>
      <c r="P45" s="466"/>
      <c r="Q45" s="467"/>
      <c r="R45" s="486"/>
      <c r="S45" s="457"/>
      <c r="T45" s="457"/>
      <c r="U45" s="457"/>
      <c r="V45" s="458"/>
      <c r="W45" s="487">
        <f>SUM(W13:W42)</f>
        <v>0</v>
      </c>
      <c r="X45" s="487"/>
      <c r="Y45" s="487"/>
      <c r="Z45" s="487"/>
      <c r="AA45" s="488"/>
      <c r="AB45" s="489"/>
      <c r="AC45" s="489"/>
      <c r="AD45" s="469" t="s">
        <v>46</v>
      </c>
      <c r="AE45" s="439"/>
      <c r="AF45" s="439"/>
    </row>
    <row r="46" spans="1:32" s="469" customFormat="1" ht="31.5">
      <c r="A46" s="479"/>
      <c r="B46" s="479"/>
      <c r="C46" s="479"/>
      <c r="D46" s="479"/>
      <c r="E46" s="479"/>
      <c r="F46" s="452"/>
      <c r="G46" s="524" t="s">
        <v>503</v>
      </c>
      <c r="H46" s="517"/>
      <c r="I46" s="518"/>
      <c r="L46" s="1842" t="s">
        <v>1348</v>
      </c>
      <c r="M46" s="525" t="s">
        <v>1294</v>
      </c>
      <c r="N46" s="525" t="s">
        <v>1295</v>
      </c>
      <c r="O46" s="526" t="s">
        <v>458</v>
      </c>
      <c r="P46" s="520"/>
      <c r="Q46" s="521"/>
      <c r="R46" s="524" t="s">
        <v>504</v>
      </c>
      <c r="S46" s="524" t="s">
        <v>455</v>
      </c>
      <c r="T46" s="521"/>
      <c r="U46" s="521"/>
      <c r="V46" s="524" t="s">
        <v>1293</v>
      </c>
      <c r="W46" s="524" t="s">
        <v>459</v>
      </c>
      <c r="X46" s="521"/>
      <c r="Y46" s="524" t="s">
        <v>1345</v>
      </c>
      <c r="Z46" s="524" t="s">
        <v>1350</v>
      </c>
      <c r="AA46" s="524" t="s">
        <v>1351</v>
      </c>
      <c r="AB46" s="524" t="s">
        <v>1353</v>
      </c>
      <c r="AC46" s="524" t="s">
        <v>1352</v>
      </c>
      <c r="AD46" s="469" t="s">
        <v>253</v>
      </c>
      <c r="AE46" s="452"/>
      <c r="AF46" s="452"/>
    </row>
    <row r="47" spans="1:32" thickBot="1">
      <c r="G47" s="522">
        <f>SUM(G13:G42)</f>
        <v>0</v>
      </c>
      <c r="I47" s="431"/>
      <c r="J47" s="518"/>
      <c r="K47" s="518"/>
      <c r="L47" s="1843"/>
      <c r="M47" s="522">
        <f>SUM(M13:M42)</f>
        <v>0</v>
      </c>
      <c r="N47" s="522">
        <f>SUM(N13:N42)</f>
        <v>0</v>
      </c>
      <c r="O47" s="902">
        <f>SUM(O13:O42)</f>
        <v>0</v>
      </c>
      <c r="P47" s="470"/>
      <c r="R47" s="924">
        <f>SUM(R13:R42)</f>
        <v>0</v>
      </c>
      <c r="S47" s="897" t="e">
        <f>(G47-R47)/G47</f>
        <v>#DIV/0!</v>
      </c>
      <c r="T47" s="446"/>
      <c r="U47" s="446"/>
      <c r="V47" s="686" t="e">
        <f>N47/W47</f>
        <v>#DIV/0!</v>
      </c>
      <c r="W47" s="516" t="e">
        <f>W45/Y47</f>
        <v>#DIV/0!</v>
      </c>
      <c r="X47" s="446"/>
      <c r="Y47" s="516"/>
      <c r="Z47" s="958">
        <f>SUM(Z13:Z42)</f>
        <v>0</v>
      </c>
      <c r="AA47" s="516">
        <f>SUM(AA13:AA42)</f>
        <v>0</v>
      </c>
      <c r="AB47" s="516">
        <f>Z47-AA47</f>
        <v>0</v>
      </c>
      <c r="AC47" s="896" t="e">
        <f>AA47/Z47</f>
        <v>#DIV/0!</v>
      </c>
    </row>
    <row r="48" spans="1:32">
      <c r="G48" s="453"/>
      <c r="M48" s="453"/>
      <c r="N48" s="453"/>
      <c r="O48"/>
      <c r="P48" s="470"/>
      <c r="R48"/>
      <c r="S48"/>
      <c r="T48"/>
      <c r="U48"/>
    </row>
    <row r="49" spans="1:56" ht="17.25" thickBot="1"/>
    <row r="50" spans="1:56" ht="15.75">
      <c r="A50" s="1824" t="s">
        <v>668</v>
      </c>
      <c r="B50" s="1824" t="s">
        <v>330</v>
      </c>
      <c r="C50" s="1826" t="s">
        <v>311</v>
      </c>
      <c r="D50" s="1828" t="s">
        <v>331</v>
      </c>
      <c r="E50" s="1828" t="s">
        <v>332</v>
      </c>
      <c r="F50" s="1830" t="s">
        <v>194</v>
      </c>
      <c r="G50" s="1830" t="s">
        <v>386</v>
      </c>
      <c r="H50" s="1832" t="s">
        <v>360</v>
      </c>
      <c r="I50" s="1832" t="s">
        <v>361</v>
      </c>
      <c r="J50" s="1832" t="s">
        <v>510</v>
      </c>
      <c r="K50" s="1832" t="s">
        <v>1320</v>
      </c>
      <c r="L50" s="1828" t="s">
        <v>362</v>
      </c>
      <c r="M50" s="1828" t="s">
        <v>514</v>
      </c>
      <c r="N50" s="1856" t="s">
        <v>511</v>
      </c>
      <c r="O50" s="1858" t="s">
        <v>457</v>
      </c>
      <c r="P50" s="1836" t="s">
        <v>379</v>
      </c>
      <c r="Q50" s="1828" t="s">
        <v>627</v>
      </c>
      <c r="R50" s="1852" t="s">
        <v>381</v>
      </c>
      <c r="S50" s="1854" t="s">
        <v>435</v>
      </c>
      <c r="T50" s="1834" t="s">
        <v>365</v>
      </c>
      <c r="U50" s="1836" t="s">
        <v>366</v>
      </c>
      <c r="V50" s="1844" t="s">
        <v>1286</v>
      </c>
      <c r="W50" s="1846" t="s">
        <v>201</v>
      </c>
      <c r="X50" s="1846" t="s">
        <v>1318</v>
      </c>
      <c r="Y50" s="1846" t="s">
        <v>1319</v>
      </c>
      <c r="Z50" s="1849" t="s">
        <v>1285</v>
      </c>
      <c r="AA50" s="1849" t="s">
        <v>339</v>
      </c>
      <c r="AB50" s="1860" t="s">
        <v>340</v>
      </c>
      <c r="AC50" s="1861"/>
      <c r="AD50" s="1862" t="s">
        <v>371</v>
      </c>
      <c r="AE50" s="1862" t="s">
        <v>383</v>
      </c>
      <c r="AF50" s="1840" t="s">
        <v>29</v>
      </c>
    </row>
    <row r="51" spans="1:56" s="447" customFormat="1" thickBot="1">
      <c r="A51" s="1825"/>
      <c r="B51" s="1825"/>
      <c r="C51" s="1827"/>
      <c r="D51" s="1829"/>
      <c r="E51" s="1829"/>
      <c r="F51" s="1831"/>
      <c r="G51" s="1831"/>
      <c r="H51" s="1833"/>
      <c r="I51" s="1833"/>
      <c r="J51" s="1833"/>
      <c r="K51" s="1838"/>
      <c r="L51" s="1829"/>
      <c r="M51" s="1839"/>
      <c r="N51" s="1857"/>
      <c r="O51" s="1859"/>
      <c r="P51" s="1837"/>
      <c r="Q51" s="1829"/>
      <c r="R51" s="1853"/>
      <c r="S51" s="1855"/>
      <c r="T51" s="1835"/>
      <c r="U51" s="1837"/>
      <c r="V51" s="1845"/>
      <c r="W51" s="1847"/>
      <c r="X51" s="1848"/>
      <c r="Y51" s="1848"/>
      <c r="Z51" s="1850"/>
      <c r="AA51" s="1851"/>
      <c r="AB51" s="491" t="s">
        <v>350</v>
      </c>
      <c r="AC51" s="491" t="s">
        <v>351</v>
      </c>
      <c r="AD51" s="1863"/>
      <c r="AE51" s="1863"/>
      <c r="AF51" s="1841"/>
      <c r="AG51" s="446"/>
      <c r="AH51" s="446"/>
      <c r="AU51" s="446"/>
      <c r="AV51" s="446"/>
      <c r="AW51" s="446"/>
      <c r="AX51" s="446"/>
      <c r="AY51" s="446"/>
      <c r="AZ51" s="446"/>
      <c r="BA51" s="446"/>
      <c r="BB51" s="446"/>
      <c r="BC51" s="446"/>
      <c r="BD51" s="446"/>
    </row>
    <row r="52" spans="1:56" s="433" customFormat="1" ht="15.75">
      <c r="A52" s="434">
        <v>113</v>
      </c>
      <c r="B52" s="434"/>
      <c r="C52" s="434">
        <v>1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>M52*Q52</f>
        <v>0</v>
      </c>
      <c r="O52" s="901">
        <f t="shared" ref="O52:O81" si="8">L52*M52</f>
        <v>0</v>
      </c>
      <c r="P52" s="460"/>
      <c r="Q52" s="438">
        <f>IFERROR(LOOKUP(1,0/((成型機資料庫!$F$74:$F$97=J52)*(成型機資料庫!$G$74:$G$97=K52)),成型機資料庫!$K$74:$K$97),0)</f>
        <v>0</v>
      </c>
      <c r="R52" s="899">
        <f t="shared" ref="R52:R81" si="9">M52*Q52*P52/1000</f>
        <v>0</v>
      </c>
      <c r="S52" s="898">
        <f t="shared" ref="S52:S81" si="10">IFERROR((G52-R52)/G52,0)</f>
        <v>0</v>
      </c>
      <c r="T52" s="482">
        <f>IFERROR(LOOKUP(1,0/((成型機資料庫!$F$74:$F$97=J52)*(成型機資料庫!$G$74:$G$97=K52)),成型機資料庫!$I$74:$I$97),0)</f>
        <v>0</v>
      </c>
      <c r="U52" s="483">
        <f>IFERROR(LOOKUP(1,0/((成型機資料庫!$F$74:$F$97=J52)*(成型機資料庫!$G$74:$G$97=K52)),成型機資料庫!$J$74:$J$97),0)</f>
        <v>0</v>
      </c>
      <c r="V52" s="900">
        <f>IFERROR(LOOKUP(1,0/((成型機資料庫!$F$74:$F$97=J52)*(成型機資料庫!$G$74:$G$97=K52)),成型機資料庫!$L$74:$L$97),0)</f>
        <v>0</v>
      </c>
      <c r="W52" s="898">
        <f t="shared" ref="W52:W81" si="11">IFERROR(M52/V52,0)</f>
        <v>0</v>
      </c>
      <c r="X52" s="923">
        <f>IFERROR(T52*U52*60*AA52/Q52,0)</f>
        <v>0</v>
      </c>
      <c r="Y52" s="898">
        <f>IFERROR(M52/X52,0)</f>
        <v>0</v>
      </c>
      <c r="Z52" s="923"/>
      <c r="AA52" s="478">
        <f t="shared" ref="AA52:AA81" si="12">AB52+AC52/60</f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2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ref="N53:N81" si="13">M53*Q53</f>
        <v>0</v>
      </c>
      <c r="O53" s="901">
        <f t="shared" si="8"/>
        <v>0</v>
      </c>
      <c r="P53" s="460"/>
      <c r="Q53" s="438">
        <f>IFERROR(LOOKUP(1,0/((成型機資料庫!$F$74:$F$97=J53)*(成型機資料庫!$G$74:$G$97=K53)),成型機資料庫!$K$74:$K$97),0)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IFERROR(LOOKUP(1,0/((成型機資料庫!$F$74:$F$97=J53)*(成型機資料庫!$G$74:$G$97=K53)),成型機資料庫!$I$74:$I$97),0)</f>
        <v>0</v>
      </c>
      <c r="U53" s="483">
        <f>IFERROR(LOOKUP(1,0/((成型機資料庫!$F$74:$F$97=J53)*(成型機資料庫!$G$74:$G$97=K53)),成型機資料庫!$J$74:$J$97),0)</f>
        <v>0</v>
      </c>
      <c r="V53" s="900">
        <f>IFERROR(LOOKUP(1,0/((成型機資料庫!$F$74:$F$97=J53)*(成型機資料庫!$G$74:$G$97=K53)),成型機資料庫!$L$74:$L$97),0)</f>
        <v>0</v>
      </c>
      <c r="W53" s="898">
        <f t="shared" si="11"/>
        <v>0</v>
      </c>
      <c r="X53" s="923">
        <f t="shared" ref="X53:X81" si="14">IFERROR(T53*U53*60*AA53/Q53,0)</f>
        <v>0</v>
      </c>
      <c r="Y53" s="898">
        <f t="shared" ref="Y53:Y81" si="15">IFERROR(M53/X53,0)</f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56" s="433" customFormat="1" ht="15.75">
      <c r="A54" s="434">
        <v>113</v>
      </c>
      <c r="B54" s="581"/>
      <c r="C54" s="581">
        <v>3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IFERROR(LOOKUP(1,0/((成型機資料庫!$F$74:$F$97=J54)*(成型機資料庫!$G$74:$G$97=K54)),成型機資料庫!$K$74:$K$97),0)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IFERROR(LOOKUP(1,0/((成型機資料庫!$F$74:$F$97=J54)*(成型機資料庫!$G$74:$G$97=K54)),成型機資料庫!$I$74:$I$97),0)</f>
        <v>0</v>
      </c>
      <c r="U54" s="483">
        <f>IFERROR(LOOKUP(1,0/((成型機資料庫!$F$74:$F$97=J54)*(成型機資料庫!$G$74:$G$97=K54)),成型機資料庫!$J$74:$J$97),0)</f>
        <v>0</v>
      </c>
      <c r="V54" s="900">
        <f>IFERROR(LOOKUP(1,0/((成型機資料庫!$F$74:$F$97=J54)*(成型機資料庫!$G$74:$G$97=K54)),成型機資料庫!$L$74:$L$97),0)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38"/>
      <c r="AF54" s="438"/>
    </row>
    <row r="55" spans="1:56" s="433" customFormat="1" ht="15.75">
      <c r="A55" s="434">
        <v>113</v>
      </c>
      <c r="B55" s="581"/>
      <c r="C55" s="581">
        <v>4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IFERROR(LOOKUP(1,0/((成型機資料庫!$F$74:$F$97=J55)*(成型機資料庫!$G$74:$G$97=K55)),成型機資料庫!$K$74:$K$97),0)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IFERROR(LOOKUP(1,0/((成型機資料庫!$F$74:$F$97=J55)*(成型機資料庫!$G$74:$G$97=K55)),成型機資料庫!$I$74:$I$97),0)</f>
        <v>0</v>
      </c>
      <c r="U55" s="483">
        <f>IFERROR(LOOKUP(1,0/((成型機資料庫!$F$74:$F$97=J55)*(成型機資料庫!$G$74:$G$97=K55)),成型機資料庫!$J$74:$J$97),0)</f>
        <v>0</v>
      </c>
      <c r="V55" s="900">
        <f>IFERROR(LOOKUP(1,0/((成型機資料庫!$F$74:$F$97=J55)*(成型機資料庫!$G$74:$G$97=K55)),成型機資料庫!$L$74:$L$97),0)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64"/>
      <c r="AF55" s="438"/>
    </row>
    <row r="56" spans="1:56" s="433" customFormat="1" ht="15.75">
      <c r="A56" s="434">
        <v>113</v>
      </c>
      <c r="B56" s="581"/>
      <c r="C56" s="581">
        <v>5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IFERROR(LOOKUP(1,0/((成型機資料庫!$F$74:$F$97=J56)*(成型機資料庫!$G$74:$G$97=K56)),成型機資料庫!$K$74:$K$97),0)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IFERROR(LOOKUP(1,0/((成型機資料庫!$F$74:$F$97=J56)*(成型機資料庫!$G$74:$G$97=K56)),成型機資料庫!$I$74:$I$97),0)</f>
        <v>0</v>
      </c>
      <c r="U56" s="483">
        <f>IFERROR(LOOKUP(1,0/((成型機資料庫!$F$74:$F$97=J56)*(成型機資料庫!$G$74:$G$97=K56)),成型機資料庫!$J$74:$J$97),0)</f>
        <v>0</v>
      </c>
      <c r="V56" s="900">
        <f>IFERROR(LOOKUP(1,0/((成型機資料庫!$F$74:$F$97=J56)*(成型機資料庫!$G$74:$G$97=K56)),成型機資料庫!$L$74:$L$97),0)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6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IFERROR(LOOKUP(1,0/((成型機資料庫!$F$74:$F$97=J57)*(成型機資料庫!$G$74:$G$97=K57)),成型機資料庫!$K$74:$K$97),0)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IFERROR(LOOKUP(1,0/((成型機資料庫!$F$74:$F$97=J57)*(成型機資料庫!$G$74:$G$97=K57)),成型機資料庫!$I$74:$I$97),0)</f>
        <v>0</v>
      </c>
      <c r="U57" s="483">
        <f>IFERROR(LOOKUP(1,0/((成型機資料庫!$F$74:$F$97=J57)*(成型機資料庫!$G$74:$G$97=K57)),成型機資料庫!$J$74:$J$97),0)</f>
        <v>0</v>
      </c>
      <c r="V57" s="900">
        <f>IFERROR(LOOKUP(1,0/((成型機資料庫!$F$74:$F$97=J57)*(成型機資料庫!$G$74:$G$97=K57)),成型機資料庫!$L$74:$L$97),0)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879"/>
      <c r="AE57" s="438"/>
      <c r="AF57" s="438"/>
    </row>
    <row r="58" spans="1:56" s="433" customFormat="1" ht="15.75">
      <c r="A58" s="434">
        <v>113</v>
      </c>
      <c r="B58" s="581"/>
      <c r="C58" s="581">
        <v>7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IFERROR(LOOKUP(1,0/((成型機資料庫!$F$74:$F$97=J58)*(成型機資料庫!$G$74:$G$97=K58)),成型機資料庫!$K$74:$K$97),0)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IFERROR(LOOKUP(1,0/((成型機資料庫!$F$74:$F$97=J58)*(成型機資料庫!$G$74:$G$97=K58)),成型機資料庫!$I$74:$I$97),0)</f>
        <v>0</v>
      </c>
      <c r="U58" s="483">
        <f>IFERROR(LOOKUP(1,0/((成型機資料庫!$F$74:$F$97=J58)*(成型機資料庫!$G$74:$G$97=K58)),成型機資料庫!$J$74:$J$97),0)</f>
        <v>0</v>
      </c>
      <c r="V58" s="900">
        <f>IFERROR(LOOKUP(1,0/((成型機資料庫!$F$74:$F$97=J58)*(成型機資料庫!$G$74:$G$97=K58)),成型機資料庫!$L$74:$L$97),0)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8</v>
      </c>
      <c r="D59" s="581"/>
      <c r="E59" s="581" t="s">
        <v>43</v>
      </c>
      <c r="F59" s="436" t="s">
        <v>44</v>
      </c>
      <c r="G59" s="927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IFERROR(LOOKUP(1,0/((成型機資料庫!$F$74:$F$97=J59)*(成型機資料庫!$G$74:$G$97=K59)),成型機資料庫!$K$74:$K$97),0)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IFERROR(LOOKUP(1,0/((成型機資料庫!$F$74:$F$97=J59)*(成型機資料庫!$G$74:$G$97=K59)),成型機資料庫!$I$74:$I$97),0)</f>
        <v>0</v>
      </c>
      <c r="U59" s="483">
        <f>IFERROR(LOOKUP(1,0/((成型機資料庫!$F$74:$F$97=J59)*(成型機資料庫!$G$74:$G$97=K59)),成型機資料庫!$J$74:$J$97),0)</f>
        <v>0</v>
      </c>
      <c r="V59" s="900">
        <f>IFERROR(LOOKUP(1,0/((成型機資料庫!$F$74:$F$97=J59)*(成型機資料庫!$G$74:$G$97=K59)),成型機資料庫!$L$74:$L$97),0)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9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IFERROR(LOOKUP(1,0/((成型機資料庫!$F$74:$F$97=J60)*(成型機資料庫!$G$74:$G$97=K60)),成型機資料庫!$K$74:$K$97),0)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IFERROR(LOOKUP(1,0/((成型機資料庫!$F$74:$F$97=J60)*(成型機資料庫!$G$74:$G$97=K60)),成型機資料庫!$I$74:$I$97),0)</f>
        <v>0</v>
      </c>
      <c r="U60" s="483">
        <f>IFERROR(LOOKUP(1,0/((成型機資料庫!$F$74:$F$97=J60)*(成型機資料庫!$G$74:$G$97=K60)),成型機資料庫!$J$74:$J$97),0)</f>
        <v>0</v>
      </c>
      <c r="V60" s="900">
        <f>IFERROR(LOOKUP(1,0/((成型機資料庫!$F$74:$F$97=J60)*(成型機資料庫!$G$74:$G$97=K60)),成型機資料庫!$L$74:$L$97),0)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10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IFERROR(LOOKUP(1,0/((成型機資料庫!$F$74:$F$97=J61)*(成型機資料庫!$G$74:$G$97=K61)),成型機資料庫!$K$74:$K$97),0)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IFERROR(LOOKUP(1,0/((成型機資料庫!$F$74:$F$97=J61)*(成型機資料庫!$G$74:$G$97=K61)),成型機資料庫!$I$74:$I$97),0)</f>
        <v>0</v>
      </c>
      <c r="U61" s="483">
        <f>IFERROR(LOOKUP(1,0/((成型機資料庫!$F$74:$F$97=J61)*(成型機資料庫!$G$74:$G$97=K61)),成型機資料庫!$J$74:$J$97),0)</f>
        <v>0</v>
      </c>
      <c r="V61" s="900">
        <f>IFERROR(LOOKUP(1,0/((成型機資料庫!$F$74:$F$97=J61)*(成型機資料庫!$G$74:$G$97=K61)),成型機資料庫!$L$74:$L$97),0)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38"/>
      <c r="AE61" s="438"/>
      <c r="AF61" s="438"/>
    </row>
    <row r="62" spans="1:56" s="433" customFormat="1" ht="15.75">
      <c r="A62" s="434">
        <v>113</v>
      </c>
      <c r="B62" s="581"/>
      <c r="C62" s="581">
        <v>11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IFERROR(LOOKUP(1,0/((成型機資料庫!$F$74:$F$97=J62)*(成型機資料庫!$G$74:$G$97=K62)),成型機資料庫!$K$74:$K$97),0)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IFERROR(LOOKUP(1,0/((成型機資料庫!$F$74:$F$97=J62)*(成型機資料庫!$G$74:$G$97=K62)),成型機資料庫!$I$74:$I$97),0)</f>
        <v>0</v>
      </c>
      <c r="U62" s="483">
        <f>IFERROR(LOOKUP(1,0/((成型機資料庫!$F$74:$F$97=J62)*(成型機資料庫!$G$74:$G$97=K62)),成型機資料庫!$J$74:$J$97),0)</f>
        <v>0</v>
      </c>
      <c r="V62" s="900">
        <f>IFERROR(LOOKUP(1,0/((成型機資料庫!$F$74:$F$97=J62)*(成型機資料庫!$G$74:$G$97=K62)),成型機資料庫!$L$74:$L$97),0)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12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IFERROR(LOOKUP(1,0/((成型機資料庫!$F$74:$F$97=J63)*(成型機資料庫!$G$74:$G$97=K63)),成型機資料庫!$K$74:$K$97),0)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IFERROR(LOOKUP(1,0/((成型機資料庫!$F$74:$F$97=J63)*(成型機資料庫!$G$74:$G$97=K63)),成型機資料庫!$I$74:$I$97),0)</f>
        <v>0</v>
      </c>
      <c r="U63" s="483">
        <f>IFERROR(LOOKUP(1,0/((成型機資料庫!$F$74:$F$97=J63)*(成型機資料庫!$G$74:$G$97=K63)),成型機資料庫!$J$74:$J$97),0)</f>
        <v>0</v>
      </c>
      <c r="V63" s="900">
        <f>IFERROR(LOOKUP(1,0/((成型機資料庫!$F$74:$F$97=J63)*(成型機資料庫!$G$74:$G$97=K63)),成型機資料庫!$L$74:$L$97),0)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13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IFERROR(LOOKUP(1,0/((成型機資料庫!$F$74:$F$97=J64)*(成型機資料庫!$G$74:$G$97=K64)),成型機資料庫!$K$74:$K$97),0)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IFERROR(LOOKUP(1,0/((成型機資料庫!$F$74:$F$97=J64)*(成型機資料庫!$G$74:$G$97=K64)),成型機資料庫!$I$74:$I$97),0)</f>
        <v>0</v>
      </c>
      <c r="U64" s="483">
        <f>IFERROR(LOOKUP(1,0/((成型機資料庫!$F$74:$F$97=J64)*(成型機資料庫!$G$74:$G$97=K64)),成型機資料庫!$J$74:$J$97),0)</f>
        <v>0</v>
      </c>
      <c r="V64" s="900">
        <f>IFERROR(LOOKUP(1,0/((成型機資料庫!$F$74:$F$97=J64)*(成型機資料庫!$G$74:$G$97=K64)),成型機資料庫!$L$74:$L$97),0)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14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IFERROR(LOOKUP(1,0/((成型機資料庫!$F$74:$F$97=J65)*(成型機資料庫!$G$74:$G$97=K65)),成型機資料庫!$K$74:$K$97),0)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IFERROR(LOOKUP(1,0/((成型機資料庫!$F$74:$F$97=J65)*(成型機資料庫!$G$74:$G$97=K65)),成型機資料庫!$I$74:$I$97),0)</f>
        <v>0</v>
      </c>
      <c r="U65" s="483">
        <f>IFERROR(LOOKUP(1,0/((成型機資料庫!$F$74:$F$97=J65)*(成型機資料庫!$G$74:$G$97=K65)),成型機資料庫!$J$74:$J$97),0)</f>
        <v>0</v>
      </c>
      <c r="V65" s="900">
        <f>IFERROR(LOOKUP(1,0/((成型機資料庫!$F$74:$F$97=J65)*(成型機資料庫!$G$74:$G$97=K65)),成型機資料庫!$L$74:$L$97),0)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581"/>
      <c r="C66" s="581">
        <v>15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IFERROR(LOOKUP(1,0/((成型機資料庫!$F$74:$F$97=J66)*(成型機資料庫!$G$74:$G$97=K66)),成型機資料庫!$K$74:$K$97),0)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IFERROR(LOOKUP(1,0/((成型機資料庫!$F$74:$F$97=J66)*(成型機資料庫!$G$74:$G$97=K66)),成型機資料庫!$I$74:$I$97),0)</f>
        <v>0</v>
      </c>
      <c r="U66" s="483">
        <f>IFERROR(LOOKUP(1,0/((成型機資料庫!$F$74:$F$97=J66)*(成型機資料庫!$G$74:$G$97=K66)),成型機資料庫!$J$74:$J$97),0)</f>
        <v>0</v>
      </c>
      <c r="V66" s="900">
        <f>IFERROR(LOOKUP(1,0/((成型機資料庫!$F$74:$F$97=J66)*(成型機資料庫!$G$74:$G$97=K66)),成型機資料庫!$L$74:$L$97),0)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38"/>
      <c r="AE66" s="438"/>
      <c r="AF66" s="438"/>
    </row>
    <row r="67" spans="1:32" s="433" customFormat="1" ht="15.75">
      <c r="A67" s="434">
        <v>113</v>
      </c>
      <c r="B67" s="581"/>
      <c r="C67" s="581">
        <v>16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IFERROR(LOOKUP(1,0/((成型機資料庫!$F$74:$F$97=J67)*(成型機資料庫!$G$74:$G$97=K67)),成型機資料庫!$K$74:$K$97),0)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IFERROR(LOOKUP(1,0/((成型機資料庫!$F$74:$F$97=J67)*(成型機資料庫!$G$74:$G$97=K67)),成型機資料庫!$I$74:$I$97),0)</f>
        <v>0</v>
      </c>
      <c r="U67" s="483">
        <f>IFERROR(LOOKUP(1,0/((成型機資料庫!$F$74:$F$97=J67)*(成型機資料庫!$G$74:$G$97=K67)),成型機資料庫!$J$74:$J$97),0)</f>
        <v>0</v>
      </c>
      <c r="V67" s="900">
        <f>IFERROR(LOOKUP(1,0/((成型機資料庫!$F$74:$F$97=J67)*(成型機資料庫!$G$74:$G$97=K67)),成型機資料庫!$L$74:$L$97),0)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64"/>
      <c r="AF67" s="438"/>
    </row>
    <row r="68" spans="1:32" s="433" customFormat="1" ht="15.75">
      <c r="A68" s="434">
        <v>113</v>
      </c>
      <c r="B68" s="581"/>
      <c r="C68" s="581">
        <v>17</v>
      </c>
      <c r="D68" s="581"/>
      <c r="E68" s="581" t="s">
        <v>43</v>
      </c>
      <c r="F68" s="436" t="s">
        <v>44</v>
      </c>
      <c r="G68" s="927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IFERROR(LOOKUP(1,0/((成型機資料庫!$F$74:$F$97=J68)*(成型機資料庫!$G$74:$G$97=K68)),成型機資料庫!$K$74:$K$97),0)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IFERROR(LOOKUP(1,0/((成型機資料庫!$F$74:$F$97=J68)*(成型機資料庫!$G$74:$G$97=K68)),成型機資料庫!$I$74:$I$97),0)</f>
        <v>0</v>
      </c>
      <c r="U68" s="483">
        <f>IFERROR(LOOKUP(1,0/((成型機資料庫!$F$74:$F$97=J68)*(成型機資料庫!$G$74:$G$97=K68)),成型機資料庫!$J$74:$J$97),0)</f>
        <v>0</v>
      </c>
      <c r="V68" s="900">
        <f>IFERROR(LOOKUP(1,0/((成型機資料庫!$F$74:$F$97=J68)*(成型機資料庫!$G$74:$G$97=K68)),成型機資料庫!$L$74:$L$97),0)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18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IFERROR(LOOKUP(1,0/((成型機資料庫!$F$74:$F$97=J69)*(成型機資料庫!$G$74:$G$97=K69)),成型機資料庫!$K$74:$K$97),0)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IFERROR(LOOKUP(1,0/((成型機資料庫!$F$74:$F$97=J69)*(成型機資料庫!$G$74:$G$97=K69)),成型機資料庫!$I$74:$I$97),0)</f>
        <v>0</v>
      </c>
      <c r="U69" s="483">
        <f>IFERROR(LOOKUP(1,0/((成型機資料庫!$F$74:$F$97=J69)*(成型機資料庫!$G$74:$G$97=K69)),成型機資料庫!$J$74:$J$97),0)</f>
        <v>0</v>
      </c>
      <c r="V69" s="900">
        <f>IFERROR(LOOKUP(1,0/((成型機資料庫!$F$74:$F$97=J69)*(成型機資料庫!$G$74:$G$97=K69)),成型機資料庫!$L$74:$L$97),0)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19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IFERROR(LOOKUP(1,0/((成型機資料庫!$F$74:$F$97=J70)*(成型機資料庫!$G$74:$G$97=K70)),成型機資料庫!$K$74:$K$97),0)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IFERROR(LOOKUP(1,0/((成型機資料庫!$F$74:$F$97=J70)*(成型機資料庫!$G$74:$G$97=K70)),成型機資料庫!$I$74:$I$97),0)</f>
        <v>0</v>
      </c>
      <c r="U70" s="483">
        <f>IFERROR(LOOKUP(1,0/((成型機資料庫!$F$74:$F$97=J70)*(成型機資料庫!$G$74:$G$97=K70)),成型機資料庫!$J$74:$J$97),0)</f>
        <v>0</v>
      </c>
      <c r="V70" s="900">
        <f>IFERROR(LOOKUP(1,0/((成型機資料庫!$F$74:$F$97=J70)*(成型機資料庫!$G$74:$G$97=K70)),成型機資料庫!$L$74:$L$97),0)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20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IFERROR(LOOKUP(1,0/((成型機資料庫!$F$74:$F$97=J71)*(成型機資料庫!$G$74:$G$97=K71)),成型機資料庫!$K$74:$K$97),0)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IFERROR(LOOKUP(1,0/((成型機資料庫!$F$74:$F$97=J71)*(成型機資料庫!$G$74:$G$97=K71)),成型機資料庫!$I$74:$I$97),0)</f>
        <v>0</v>
      </c>
      <c r="U71" s="483">
        <f>IFERROR(LOOKUP(1,0/((成型機資料庫!$F$74:$F$97=J71)*(成型機資料庫!$G$74:$G$97=K71)),成型機資料庫!$J$74:$J$97),0)</f>
        <v>0</v>
      </c>
      <c r="V71" s="900">
        <f>IFERROR(LOOKUP(1,0/((成型機資料庫!$F$74:$F$97=J71)*(成型機資料庫!$G$74:$G$97=K71)),成型機資料庫!$L$74:$L$97),0)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21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IFERROR(LOOKUP(1,0/((成型機資料庫!$F$74:$F$97=J72)*(成型機資料庫!$G$74:$G$97=K72)),成型機資料庫!$K$74:$K$97),0)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IFERROR(LOOKUP(1,0/((成型機資料庫!$F$74:$F$97=J72)*(成型機資料庫!$G$74:$G$97=K72)),成型機資料庫!$I$74:$I$97),0)</f>
        <v>0</v>
      </c>
      <c r="U72" s="483">
        <f>IFERROR(LOOKUP(1,0/((成型機資料庫!$F$74:$F$97=J72)*(成型機資料庫!$G$74:$G$97=K72)),成型機資料庫!$J$74:$J$97),0)</f>
        <v>0</v>
      </c>
      <c r="V72" s="900">
        <f>IFERROR(LOOKUP(1,0/((成型機資料庫!$F$74:$F$97=J72)*(成型機資料庫!$G$74:$G$97=K72)),成型機資料庫!$L$74:$L$97),0)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22</v>
      </c>
      <c r="D73" s="581"/>
      <c r="E73" s="581" t="s">
        <v>43</v>
      </c>
      <c r="F73" s="436" t="s">
        <v>44</v>
      </c>
      <c r="G73" s="927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IFERROR(LOOKUP(1,0/((成型機資料庫!$F$74:$F$97=J73)*(成型機資料庫!$G$74:$G$97=K73)),成型機資料庫!$K$74:$K$97),0)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IFERROR(LOOKUP(1,0/((成型機資料庫!$F$74:$F$97=J73)*(成型機資料庫!$G$74:$G$97=K73)),成型機資料庫!$I$74:$I$97),0)</f>
        <v>0</v>
      </c>
      <c r="U73" s="483">
        <f>IFERROR(LOOKUP(1,0/((成型機資料庫!$F$74:$F$97=J73)*(成型機資料庫!$G$74:$G$97=K73)),成型機資料庫!$J$74:$J$97),0)</f>
        <v>0</v>
      </c>
      <c r="V73" s="900">
        <f>IFERROR(LOOKUP(1,0/((成型機資料庫!$F$74:$F$97=J73)*(成型機資料庫!$G$74:$G$97=K73)),成型機資料庫!$L$74:$L$97),0)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23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IFERROR(LOOKUP(1,0/((成型機資料庫!$F$74:$F$97=J74)*(成型機資料庫!$G$74:$G$97=K74)),成型機資料庫!$K$74:$K$97),0)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IFERROR(LOOKUP(1,0/((成型機資料庫!$F$74:$F$97=J74)*(成型機資料庫!$G$74:$G$97=K74)),成型機資料庫!$I$74:$I$97),0)</f>
        <v>0</v>
      </c>
      <c r="U74" s="483">
        <f>IFERROR(LOOKUP(1,0/((成型機資料庫!$F$74:$F$97=J74)*(成型機資料庫!$G$74:$G$97=K74)),成型機資料庫!$J$74:$J$97),0)</f>
        <v>0</v>
      </c>
      <c r="V74" s="900">
        <f>IFERROR(LOOKUP(1,0/((成型機資料庫!$F$74:$F$97=J74)*(成型機資料庫!$G$74:$G$97=K74)),成型機資料庫!$L$74:$L$97),0)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64"/>
      <c r="AF74" s="438"/>
    </row>
    <row r="75" spans="1:32" s="433" customFormat="1" ht="15.75">
      <c r="A75" s="434">
        <v>113</v>
      </c>
      <c r="B75" s="434"/>
      <c r="C75" s="434">
        <v>24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IFERROR(LOOKUP(1,0/((成型機資料庫!$F$74:$F$97=J75)*(成型機資料庫!$G$74:$G$97=K75)),成型機資料庫!$K$74:$K$97),0)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IFERROR(LOOKUP(1,0/((成型機資料庫!$F$74:$F$97=J75)*(成型機資料庫!$G$74:$G$97=K75)),成型機資料庫!$I$74:$I$97),0)</f>
        <v>0</v>
      </c>
      <c r="U75" s="483">
        <f>IFERROR(LOOKUP(1,0/((成型機資料庫!$F$74:$F$97=J75)*(成型機資料庫!$G$74:$G$97=K75)),成型機資料庫!$J$74:$J$97),0)</f>
        <v>0</v>
      </c>
      <c r="V75" s="900">
        <f>IFERROR(LOOKUP(1,0/((成型機資料庫!$F$74:$F$97=J75)*(成型機資料庫!$G$74:$G$97=K75)),成型機資料庫!$L$74:$L$97),0)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25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IFERROR(LOOKUP(1,0/((成型機資料庫!$F$74:$F$97=J76)*(成型機資料庫!$G$74:$G$97=K76)),成型機資料庫!$K$74:$K$97),0)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IFERROR(LOOKUP(1,0/((成型機資料庫!$F$74:$F$97=J76)*(成型機資料庫!$G$74:$G$97=K76)),成型機資料庫!$I$74:$I$97),0)</f>
        <v>0</v>
      </c>
      <c r="U76" s="483">
        <f>IFERROR(LOOKUP(1,0/((成型機資料庫!$F$74:$F$97=J76)*(成型機資料庫!$G$74:$G$97=K76)),成型機資料庫!$J$74:$J$97),0)</f>
        <v>0</v>
      </c>
      <c r="V76" s="900">
        <f>IFERROR(LOOKUP(1,0/((成型機資料庫!$F$74:$F$97=J76)*(成型機資料庫!$G$74:$G$97=K76)),成型機資料庫!$L$74:$L$97),0)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26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IFERROR(LOOKUP(1,0/((成型機資料庫!$F$74:$F$97=J77)*(成型機資料庫!$G$74:$G$97=K77)),成型機資料庫!$K$74:$K$97),0)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IFERROR(LOOKUP(1,0/((成型機資料庫!$F$74:$F$97=J77)*(成型機資料庫!$G$74:$G$97=K77)),成型機資料庫!$I$74:$I$97),0)</f>
        <v>0</v>
      </c>
      <c r="U77" s="483">
        <f>IFERROR(LOOKUP(1,0/((成型機資料庫!$F$74:$F$97=J77)*(成型機資料庫!$G$74:$G$97=K77)),成型機資料庫!$J$74:$J$97),0)</f>
        <v>0</v>
      </c>
      <c r="V77" s="900">
        <f>IFERROR(LOOKUP(1,0/((成型機資料庫!$F$74:$F$97=J77)*(成型機資料庫!$G$74:$G$97=K77)),成型機資料庫!$L$74:$L$97),0)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38"/>
      <c r="AE77" s="464"/>
      <c r="AF77" s="438"/>
    </row>
    <row r="78" spans="1:32" s="433" customFormat="1" ht="15.75">
      <c r="A78" s="434">
        <v>113</v>
      </c>
      <c r="B78" s="434"/>
      <c r="C78" s="434">
        <v>27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IFERROR(LOOKUP(1,0/((成型機資料庫!$F$74:$F$97=J78)*(成型機資料庫!$G$74:$G$97=K78)),成型機資料庫!$K$74:$K$97),0)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IFERROR(LOOKUP(1,0/((成型機資料庫!$F$74:$F$97=J78)*(成型機資料庫!$G$74:$G$97=K78)),成型機資料庫!$I$74:$I$97),0)</f>
        <v>0</v>
      </c>
      <c r="U78" s="483">
        <f>IFERROR(LOOKUP(1,0/((成型機資料庫!$F$74:$F$97=J78)*(成型機資料庫!$G$74:$G$97=K78)),成型機資料庫!$J$74:$J$97),0)</f>
        <v>0</v>
      </c>
      <c r="V78" s="900">
        <f>IFERROR(LOOKUP(1,0/((成型機資料庫!$F$74:$F$97=J78)*(成型機資料庫!$G$74:$G$97=K78)),成型機資料庫!$L$74:$L$97),0)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28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IFERROR(LOOKUP(1,0/((成型機資料庫!$F$74:$F$97=J79)*(成型機資料庫!$G$74:$G$97=K79)),成型機資料庫!$K$74:$K$97),0)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IFERROR(LOOKUP(1,0/((成型機資料庫!$F$74:$F$97=J79)*(成型機資料庫!$G$74:$G$97=K79)),成型機資料庫!$I$74:$I$97),0)</f>
        <v>0</v>
      </c>
      <c r="U79" s="483">
        <f>IFERROR(LOOKUP(1,0/((成型機資料庫!$F$74:$F$97=J79)*(成型機資料庫!$G$74:$G$97=K79)),成型機資料庫!$J$74:$J$97),0)</f>
        <v>0</v>
      </c>
      <c r="V79" s="900">
        <f>IFERROR(LOOKUP(1,0/((成型機資料庫!$F$74:$F$97=J79)*(成型機資料庫!$G$74:$G$97=K79)),成型機資料庫!$L$74:$L$97),0)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38"/>
      <c r="AF79" s="438"/>
    </row>
    <row r="80" spans="1:32" s="433" customFormat="1" ht="15.75">
      <c r="A80" s="434">
        <v>113</v>
      </c>
      <c r="B80" s="581"/>
      <c r="C80" s="581">
        <v>29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IFERROR(LOOKUP(1,0/((成型機資料庫!$F$74:$F$97=J80)*(成型機資料庫!$G$74:$G$97=K80)),成型機資料庫!$K$74:$K$97),0)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IFERROR(LOOKUP(1,0/((成型機資料庫!$F$74:$F$97=J80)*(成型機資料庫!$G$74:$G$97=K80)),成型機資料庫!$I$74:$I$97),0)</f>
        <v>0</v>
      </c>
      <c r="U80" s="483">
        <f>IFERROR(LOOKUP(1,0/((成型機資料庫!$F$74:$F$97=J80)*(成型機資料庫!$G$74:$G$97=K80)),成型機資料庫!$J$74:$J$97),0)</f>
        <v>0</v>
      </c>
      <c r="V80" s="900">
        <f>IFERROR(LOOKUP(1,0/((成型機資料庫!$F$74:$F$97=J80)*(成型機資料庫!$G$74:$G$97=K80)),成型機資料庫!$L$74:$L$97),0)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64"/>
      <c r="AF80" s="438"/>
    </row>
    <row r="81" spans="1:56" s="433" customFormat="1" ht="15.75">
      <c r="A81" s="434">
        <v>113</v>
      </c>
      <c r="B81" s="581"/>
      <c r="C81" s="581">
        <v>30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IFERROR(LOOKUP(1,0/((成型機資料庫!$F$74:$F$97=J81)*(成型機資料庫!$G$74:$G$97=K81)),成型機資料庫!$K$74:$K$97),0)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IFERROR(LOOKUP(1,0/((成型機資料庫!$F$74:$F$97=J81)*(成型機資料庫!$G$74:$G$97=K81)),成型機資料庫!$I$74:$I$97),0)</f>
        <v>0</v>
      </c>
      <c r="U81" s="483">
        <f>IFERROR(LOOKUP(1,0/((成型機資料庫!$F$74:$F$97=J81)*(成型機資料庫!$G$74:$G$97=K81)),成型機資料庫!$J$74:$J$97),0)</f>
        <v>0</v>
      </c>
      <c r="V81" s="900">
        <f>IFERROR(LOOKUP(1,0/((成型機資料庫!$F$74:$F$97=J81)*(成型機資料庫!$G$74:$G$97=K81)),成型機資料庫!$L$74:$L$97),0)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56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56" s="433" customFormat="1" ht="15.75">
      <c r="A83" s="446"/>
      <c r="B83" s="456"/>
      <c r="C83" s="456"/>
      <c r="D83" s="456"/>
      <c r="E83" s="456"/>
      <c r="F83" s="448"/>
      <c r="G83" s="951"/>
      <c r="H83" s="452"/>
      <c r="I83" s="430"/>
      <c r="J83" s="469"/>
      <c r="K83" s="469"/>
      <c r="L83" s="452"/>
      <c r="M83" s="452"/>
      <c r="N83" s="945"/>
      <c r="O83" s="946"/>
      <c r="P83" s="868"/>
      <c r="Q83" s="467"/>
      <c r="R83" s="948"/>
      <c r="S83" s="936"/>
      <c r="T83" s="936"/>
      <c r="U83" s="936"/>
      <c r="V83" s="945"/>
      <c r="W83" s="936"/>
      <c r="X83" s="947"/>
      <c r="Y83" s="936"/>
      <c r="Z83" s="947"/>
      <c r="AA83" s="488"/>
      <c r="AB83" s="439"/>
      <c r="AC83" s="471"/>
      <c r="AD83" s="452"/>
      <c r="AE83" s="439"/>
      <c r="AF83" s="439"/>
    </row>
    <row r="84" spans="1:56" s="433" customFormat="1" thickBot="1">
      <c r="A84" s="446"/>
      <c r="B84" s="446"/>
      <c r="C84" s="446"/>
      <c r="D84" s="446"/>
      <c r="E84" s="446"/>
      <c r="F84" s="448"/>
      <c r="G84" s="448"/>
      <c r="H84" s="430"/>
      <c r="I84" s="430"/>
      <c r="J84" s="430"/>
      <c r="K84" s="430"/>
      <c r="L84" s="439"/>
      <c r="M84" s="452"/>
      <c r="N84" s="452"/>
      <c r="O84" s="457"/>
      <c r="P84" s="466"/>
      <c r="Q84" s="467"/>
      <c r="R84" s="486"/>
      <c r="S84" s="457"/>
      <c r="T84" s="457"/>
      <c r="U84" s="457"/>
      <c r="V84" s="458"/>
      <c r="W84" s="487">
        <f>SUM(W52:W81)</f>
        <v>0</v>
      </c>
      <c r="X84" s="487"/>
      <c r="Y84" s="487"/>
      <c r="Z84" s="487"/>
      <c r="AA84" s="488"/>
      <c r="AB84" s="489"/>
      <c r="AC84" s="489"/>
      <c r="AD84" s="469" t="s">
        <v>46</v>
      </c>
      <c r="AE84" s="439"/>
      <c r="AF84" s="439"/>
    </row>
    <row r="85" spans="1:56" s="469" customFormat="1" ht="31.5">
      <c r="A85" s="479"/>
      <c r="B85" s="479"/>
      <c r="C85" s="479"/>
      <c r="D85" s="479"/>
      <c r="E85" s="479"/>
      <c r="F85" s="452"/>
      <c r="G85" s="524" t="s">
        <v>503</v>
      </c>
      <c r="H85" s="517"/>
      <c r="I85" s="518"/>
      <c r="L85" s="1842" t="s">
        <v>1349</v>
      </c>
      <c r="M85" s="525" t="s">
        <v>1294</v>
      </c>
      <c r="N85" s="525" t="s">
        <v>1295</v>
      </c>
      <c r="O85" s="526" t="s">
        <v>458</v>
      </c>
      <c r="P85" s="520"/>
      <c r="Q85" s="521"/>
      <c r="R85" s="524" t="s">
        <v>504</v>
      </c>
      <c r="S85" s="524" t="s">
        <v>455</v>
      </c>
      <c r="T85" s="521"/>
      <c r="U85" s="521"/>
      <c r="V85" s="524" t="s">
        <v>1293</v>
      </c>
      <c r="W85" s="524" t="s">
        <v>459</v>
      </c>
      <c r="X85" s="521"/>
      <c r="Y85" s="524" t="s">
        <v>1345</v>
      </c>
      <c r="Z85" s="524" t="s">
        <v>1350</v>
      </c>
      <c r="AA85" s="524" t="s">
        <v>1351</v>
      </c>
      <c r="AB85" s="524" t="s">
        <v>1353</v>
      </c>
      <c r="AC85" s="524" t="s">
        <v>1352</v>
      </c>
      <c r="AD85" s="469" t="s">
        <v>253</v>
      </c>
      <c r="AE85" s="452"/>
      <c r="AF85" s="452"/>
    </row>
    <row r="86" spans="1:56" thickBot="1">
      <c r="G86" s="522">
        <f>SUM(G52:G81)</f>
        <v>0</v>
      </c>
      <c r="I86" s="431"/>
      <c r="J86" s="518"/>
      <c r="K86" s="518"/>
      <c r="L86" s="1843"/>
      <c r="M86" s="522">
        <f>SUM(M52:M81)</f>
        <v>0</v>
      </c>
      <c r="N86" s="522">
        <f>SUM(N52:N81)</f>
        <v>0</v>
      </c>
      <c r="O86" s="902">
        <f>SUM(O52:O81)</f>
        <v>0</v>
      </c>
      <c r="P86" s="470"/>
      <c r="R86" s="924">
        <f>SUM(R52:R81)</f>
        <v>0</v>
      </c>
      <c r="S86" s="897" t="e">
        <f>(G86-R86)/G86</f>
        <v>#DIV/0!</v>
      </c>
      <c r="T86" s="446"/>
      <c r="U86" s="446"/>
      <c r="V86" s="686" t="e">
        <f>N86/W86</f>
        <v>#DIV/0!</v>
      </c>
      <c r="W86" s="516" t="e">
        <f>W84/Y86</f>
        <v>#DIV/0!</v>
      </c>
      <c r="X86" s="446"/>
      <c r="Y86" s="516"/>
      <c r="Z86" s="958">
        <f>SUM(Z52:Z81)</f>
        <v>0</v>
      </c>
      <c r="AA86" s="516">
        <f>SUM(AA52:AA81)</f>
        <v>0</v>
      </c>
      <c r="AB86" s="516">
        <f>Z86-AA86</f>
        <v>0</v>
      </c>
      <c r="AC86" s="896" t="e">
        <f>AA86/Z86</f>
        <v>#DIV/0!</v>
      </c>
    </row>
    <row r="87" spans="1:56" s="455" customFormat="1">
      <c r="A87" s="446"/>
      <c r="B87" s="446"/>
      <c r="C87" s="446"/>
      <c r="D87" s="446"/>
      <c r="E87" s="446"/>
      <c r="F87" s="433"/>
      <c r="G87" s="454"/>
      <c r="H87" s="449"/>
      <c r="I87" s="450"/>
      <c r="J87" s="450"/>
      <c r="K87" s="450"/>
      <c r="L87" s="446"/>
      <c r="M87" s="446"/>
      <c r="N87" s="446"/>
      <c r="O87" s="472"/>
      <c r="Q87" s="446"/>
      <c r="R87" s="441"/>
      <c r="S87" s="440"/>
      <c r="T87" s="440"/>
      <c r="U87" s="440"/>
      <c r="V87" s="456"/>
      <c r="W87"/>
      <c r="X87"/>
      <c r="Y87"/>
      <c r="Z87"/>
      <c r="AA87" s="445"/>
      <c r="AB87" s="432"/>
      <c r="AC87" s="432"/>
      <c r="AD87" s="451"/>
      <c r="AE87" s="433"/>
      <c r="AF87" s="433"/>
      <c r="AG87" s="446"/>
      <c r="AH87" s="446"/>
      <c r="AI87" s="446"/>
      <c r="AJ87" s="446"/>
      <c r="AK87" s="446"/>
      <c r="AL87" s="446"/>
      <c r="AM87" s="446"/>
      <c r="AN87" s="446"/>
      <c r="AO87" s="446"/>
      <c r="AP87" s="446"/>
      <c r="AQ87" s="446"/>
      <c r="AR87" s="446"/>
      <c r="AS87" s="446"/>
      <c r="AT87" s="446"/>
      <c r="AU87" s="446"/>
      <c r="AV87" s="446"/>
      <c r="AW87" s="446"/>
      <c r="AX87" s="446"/>
      <c r="AY87" s="446"/>
      <c r="AZ87" s="446"/>
      <c r="BA87" s="446"/>
      <c r="BB87" s="446"/>
      <c r="BC87" s="446"/>
      <c r="BD87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50:AF51"/>
    <mergeCell ref="L85:L86"/>
    <mergeCell ref="X50:X51"/>
    <mergeCell ref="Y50:Y51"/>
    <mergeCell ref="Z50:Z51"/>
    <mergeCell ref="AA50:AA51"/>
    <mergeCell ref="AB50:AC50"/>
    <mergeCell ref="AD50:AD51"/>
    <mergeCell ref="R50:R51"/>
    <mergeCell ref="S50:S51"/>
    <mergeCell ref="T50:T51"/>
    <mergeCell ref="U50:U51"/>
    <mergeCell ref="V50:V51"/>
    <mergeCell ref="W50:W51"/>
    <mergeCell ref="L50:L51"/>
    <mergeCell ref="P50:P51"/>
    <mergeCell ref="AB2:AC2"/>
    <mergeCell ref="AD2:AD3"/>
    <mergeCell ref="AE2:AE3"/>
    <mergeCell ref="M50:M51"/>
    <mergeCell ref="N50:N51"/>
    <mergeCell ref="O50:O51"/>
    <mergeCell ref="Q50:Q51"/>
    <mergeCell ref="AE50:AE51"/>
    <mergeCell ref="AF2:AF3"/>
    <mergeCell ref="L46:L47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50:A51"/>
    <mergeCell ref="B50:B51"/>
    <mergeCell ref="C50:C51"/>
    <mergeCell ref="D50:D51"/>
    <mergeCell ref="E50:E51"/>
    <mergeCell ref="K50:K51"/>
    <mergeCell ref="F50:F51"/>
    <mergeCell ref="G50:G51"/>
    <mergeCell ref="H50:H51"/>
    <mergeCell ref="I50:I51"/>
    <mergeCell ref="J50:J51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9">
    <cfRule type="cellIs" dxfId="737" priority="3" stopIfTrue="1" operator="equal">
      <formula>"未開機"</formula>
    </cfRule>
  </conditionalFormatting>
  <conditionalFormatting sqref="R52:U83">
    <cfRule type="expression" dxfId="736" priority="1" stopIfTrue="1">
      <formula>R52=0</formula>
    </cfRule>
  </conditionalFormatting>
  <conditionalFormatting sqref="W13:W44">
    <cfRule type="cellIs" dxfId="735" priority="34" stopIfTrue="1" operator="between">
      <formula>0.851</formula>
      <formula>1</formula>
    </cfRule>
    <cfRule type="cellIs" dxfId="734" priority="33" stopIfTrue="1" operator="lessThan">
      <formula>0.7</formula>
    </cfRule>
    <cfRule type="expression" dxfId="733" priority="32" stopIfTrue="1">
      <formula>W13=0</formula>
    </cfRule>
    <cfRule type="expression" dxfId="732" priority="36" stopIfTrue="1">
      <formula>W13=0</formula>
    </cfRule>
    <cfRule type="cellIs" dxfId="731" priority="35" stopIfTrue="1" operator="between">
      <formula>0.7</formula>
      <formula>0.85</formula>
    </cfRule>
  </conditionalFormatting>
  <conditionalFormatting sqref="W52:W83">
    <cfRule type="expression" dxfId="730" priority="15" stopIfTrue="1">
      <formula>W52=0</formula>
    </cfRule>
    <cfRule type="cellIs" dxfId="729" priority="16" stopIfTrue="1" operator="lessThan">
      <formula>0.7</formula>
    </cfRule>
    <cfRule type="cellIs" dxfId="728" priority="17" stopIfTrue="1" operator="between">
      <formula>0.851</formula>
      <formula>1</formula>
    </cfRule>
    <cfRule type="cellIs" dxfId="727" priority="18" stopIfTrue="1" operator="between">
      <formula>0.7</formula>
      <formula>0.85</formula>
    </cfRule>
    <cfRule type="expression" dxfId="726" priority="19" stopIfTrue="1">
      <formula>W52=0</formula>
    </cfRule>
  </conditionalFormatting>
  <conditionalFormatting sqref="W4:Y11 S4:U4 S5:S11 T5:U42 R13:S42 Z13:Z44 R43:U44">
    <cfRule type="expression" dxfId="725" priority="40" stopIfTrue="1">
      <formula>R4=0</formula>
    </cfRule>
  </conditionalFormatting>
  <conditionalFormatting sqref="W4:Y11">
    <cfRule type="cellIs" dxfId="724" priority="37" stopIfTrue="1" operator="lessThan">
      <formula>0.7</formula>
    </cfRule>
    <cfRule type="cellIs" dxfId="723" priority="38" stopIfTrue="1" operator="between">
      <formula>0.851</formula>
      <formula>1</formula>
    </cfRule>
    <cfRule type="cellIs" dxfId="722" priority="39" stopIfTrue="1" operator="between">
      <formula>0.7</formula>
      <formula>0.85</formula>
    </cfRule>
  </conditionalFormatting>
  <conditionalFormatting sqref="X14:X44">
    <cfRule type="cellIs" dxfId="721" priority="22" stopIfTrue="1" operator="lessThan">
      <formula>0.7</formula>
    </cfRule>
    <cfRule type="cellIs" dxfId="720" priority="23" stopIfTrue="1" operator="between">
      <formula>0.851</formula>
      <formula>1</formula>
    </cfRule>
    <cfRule type="cellIs" dxfId="719" priority="24" stopIfTrue="1" operator="between">
      <formula>0.7</formula>
      <formula>0.85</formula>
    </cfRule>
    <cfRule type="expression" dxfId="718" priority="25" stopIfTrue="1">
      <formula>X14=0</formula>
    </cfRule>
    <cfRule type="expression" dxfId="717" priority="21" stopIfTrue="1">
      <formula>X14=0</formula>
    </cfRule>
  </conditionalFormatting>
  <conditionalFormatting sqref="X53:X83">
    <cfRule type="expression" dxfId="716" priority="4" stopIfTrue="1">
      <formula>X53=0</formula>
    </cfRule>
    <cfRule type="cellIs" dxfId="715" priority="5" stopIfTrue="1" operator="lessThan">
      <formula>0.7</formula>
    </cfRule>
    <cfRule type="cellIs" dxfId="714" priority="6" stopIfTrue="1" operator="between">
      <formula>0.851</formula>
      <formula>1</formula>
    </cfRule>
    <cfRule type="cellIs" dxfId="713" priority="7" stopIfTrue="1" operator="between">
      <formula>0.7</formula>
      <formula>0.85</formula>
    </cfRule>
    <cfRule type="expression" dxfId="712" priority="8" stopIfTrue="1">
      <formula>X53=0</formula>
    </cfRule>
  </conditionalFormatting>
  <conditionalFormatting sqref="X13:Y13 Y14:Y44">
    <cfRule type="expression" dxfId="711" priority="27" stopIfTrue="1">
      <formula>X13=0</formula>
    </cfRule>
    <cfRule type="cellIs" dxfId="710" priority="28" stopIfTrue="1" operator="lessThan">
      <formula>0.7</formula>
    </cfRule>
    <cfRule type="cellIs" dxfId="709" priority="29" stopIfTrue="1" operator="between">
      <formula>0.851</formula>
      <formula>1</formula>
    </cfRule>
    <cfRule type="cellIs" dxfId="708" priority="30" stopIfTrue="1" operator="between">
      <formula>0.7</formula>
      <formula>0.85</formula>
    </cfRule>
    <cfRule type="expression" dxfId="707" priority="31" stopIfTrue="1">
      <formula>X13=0</formula>
    </cfRule>
  </conditionalFormatting>
  <conditionalFormatting sqref="X52:Y52 Y53:Y83">
    <cfRule type="expression" dxfId="706" priority="10" stopIfTrue="1">
      <formula>X52=0</formula>
    </cfRule>
    <cfRule type="expression" dxfId="705" priority="14" stopIfTrue="1">
      <formula>X52=0</formula>
    </cfRule>
    <cfRule type="cellIs" dxfId="704" priority="13" stopIfTrue="1" operator="between">
      <formula>0.7</formula>
      <formula>0.85</formula>
    </cfRule>
    <cfRule type="cellIs" dxfId="703" priority="12" stopIfTrue="1" operator="between">
      <formula>0.851</formula>
      <formula>1</formula>
    </cfRule>
    <cfRule type="cellIs" dxfId="702" priority="11" stopIfTrue="1" operator="lessThan">
      <formula>0.7</formula>
    </cfRule>
  </conditionalFormatting>
  <conditionalFormatting sqref="Y13:Y44">
    <cfRule type="cellIs" dxfId="701" priority="26" stopIfTrue="1" operator="greaterThan">
      <formula>1</formula>
    </cfRule>
  </conditionalFormatting>
  <conditionalFormatting sqref="Y52:Y83">
    <cfRule type="cellIs" dxfId="700" priority="9" stopIfTrue="1" operator="greaterThan">
      <formula>1</formula>
    </cfRule>
  </conditionalFormatting>
  <conditionalFormatting sqref="Z52:Z83">
    <cfRule type="expression" dxfId="699" priority="20" stopIfTrue="1">
      <formula>Z52=0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76389A7-BDBC-4A90-94BB-282B1694D8BD}">
          <x14:formula1>
            <xm:f>成型機資料庫!$A$9:$A$11</xm:f>
          </x14:formula1>
          <xm:sqref>K4:K42 K52:K81</xm:sqref>
        </x14:dataValidation>
        <x14:dataValidation type="list" allowBlank="1" showInputMessage="1" showErrorMessage="1" xr:uid="{E7F6D894-3200-427D-BDCE-7A0F5D472358}">
          <x14:formula1>
            <xm:f>規格清單!$E$22:$E$29</xm:f>
          </x14:formula1>
          <xm:sqref>J52:J81 J4:J42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F2C40-2A30-4ABC-BDC9-D9A39035D2EF}">
  <dimension ref="A1:BD86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447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1362</v>
      </c>
      <c r="I4" s="429" t="s">
        <v>453</v>
      </c>
      <c r="J4" s="429" t="s">
        <v>1499</v>
      </c>
      <c r="K4" s="429" t="s">
        <v>1301</v>
      </c>
      <c r="L4" s="464">
        <v>600</v>
      </c>
      <c r="M4" s="464"/>
      <c r="N4" s="464"/>
      <c r="O4" s="443">
        <f>L4*M4</f>
        <v>0</v>
      </c>
      <c r="P4" s="461">
        <v>30</v>
      </c>
      <c r="Q4" s="438">
        <f>IFERROR(LOOKUP(1,0/((成型機資料庫!$F$98:$F$118=J4)*(成型機資料庫!$G$98:$G$118=K4)),成型機資料庫!$K$98:$K$118),0)</f>
        <v>400</v>
      </c>
      <c r="R4" s="477">
        <f>M4*Q4*P4/1000</f>
        <v>0</v>
      </c>
      <c r="S4" s="898">
        <f>IFERROR((G4-R4)/G4,0)</f>
        <v>0</v>
      </c>
      <c r="T4" s="482">
        <f>IFERROR(LOOKUP(1,0/((成型機資料庫!$F$98:$F$118=J4)*(成型機資料庫!$G$98:$G$118=K4)),成型機資料庫!$I$98:$I$118),0)</f>
        <v>12</v>
      </c>
      <c r="U4" s="483">
        <f>IFERROR(LOOKUP(1,0/((成型機資料庫!$F$98:$F$118=J4)*(成型機資料庫!$G$98:$G$118=K4)),成型機資料庫!$J$98:$J$118),0)</f>
        <v>8.6999999999999993</v>
      </c>
      <c r="V4" s="900">
        <f>IFERROR(LOOKUP(1,0/((成型機資料庫!$F$98:$F$118=J4)*(成型機資料庫!$G$98:$G$118=K4)),成型機資料庫!$L$98:$L$118),0)</f>
        <v>172.25999999999996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1363</v>
      </c>
      <c r="I5" s="429" t="s">
        <v>468</v>
      </c>
      <c r="J5" s="429" t="s">
        <v>468</v>
      </c>
      <c r="K5" s="429" t="s">
        <v>1301</v>
      </c>
      <c r="L5" s="464">
        <v>540</v>
      </c>
      <c r="M5" s="464"/>
      <c r="N5" s="464"/>
      <c r="O5" s="443"/>
      <c r="P5" s="461">
        <v>28</v>
      </c>
      <c r="Q5" s="438">
        <f>IFERROR(LOOKUP(1,0/((成型機資料庫!$F$98:$F$118=J5)*(成型機資料庫!$G$98:$G$118=K5)),成型機資料庫!$K$98:$K$118),0)</f>
        <v>400</v>
      </c>
      <c r="R5" s="477"/>
      <c r="S5" s="898"/>
      <c r="T5" s="482">
        <f>IFERROR(LOOKUP(1,0/((成型機資料庫!$F$98:$F$118=J5)*(成型機資料庫!$G$98:$G$118=K5)),成型機資料庫!$I$98:$I$118),0)</f>
        <v>12</v>
      </c>
      <c r="U5" s="483">
        <f>IFERROR(LOOKUP(1,0/((成型機資料庫!$F$98:$F$118=J5)*(成型機資料庫!$G$98:$G$118=K5)),成型機資料庫!$J$98:$J$118),0)</f>
        <v>10.3</v>
      </c>
      <c r="V5" s="900">
        <f>IFERROR(LOOKUP(1,0/((成型機資料庫!$F$98:$F$118=J5)*(成型機資料庫!$G$98:$G$118=K5)),成型機資料庫!$L$98:$L$118),0)</f>
        <v>203.94000000000003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721</v>
      </c>
      <c r="I6" s="530" t="s">
        <v>389</v>
      </c>
      <c r="J6" s="530" t="s">
        <v>1467</v>
      </c>
      <c r="K6" s="429" t="s">
        <v>1301</v>
      </c>
      <c r="L6" s="464">
        <v>150</v>
      </c>
      <c r="M6" s="464"/>
      <c r="N6" s="464"/>
      <c r="O6" s="443"/>
      <c r="P6" s="461">
        <v>2.4</v>
      </c>
      <c r="Q6" s="438">
        <f>IFERROR(LOOKUP(1,0/((成型機資料庫!$F$98:$F$118=J6)*(成型機資料庫!$G$98:$G$118=K6)),成型機資料庫!$K$98:$K$118),0)</f>
        <v>1000</v>
      </c>
      <c r="R6" s="477"/>
      <c r="S6" s="898"/>
      <c r="T6" s="482">
        <f>IFERROR(LOOKUP(1,0/((成型機資料庫!$F$98:$F$118=J6)*(成型機資料庫!$G$98:$G$118=K6)),成型機資料庫!$I$98:$I$118),0)</f>
        <v>56</v>
      </c>
      <c r="U6" s="483">
        <f>IFERROR(LOOKUP(1,0/((成型機資料庫!$F$98:$F$118=J6)*(成型機資料庫!$G$98:$G$118=K6)),成型機資料庫!$J$98:$J$118),0)</f>
        <v>8.6</v>
      </c>
      <c r="V6" s="900">
        <f>IFERROR(LOOKUP(1,0/((成型機資料庫!$F$98:$F$118=J6)*(成型機資料庫!$G$98:$G$118=K6)),成型機資料庫!$L$98:$L$118),0)</f>
        <v>317.85599999999994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64" t="s">
        <v>689</v>
      </c>
      <c r="I7" s="530" t="s">
        <v>1367</v>
      </c>
      <c r="J7" s="530" t="s">
        <v>1468</v>
      </c>
      <c r="K7" s="429" t="s">
        <v>1301</v>
      </c>
      <c r="L7" s="464">
        <v>115</v>
      </c>
      <c r="M7" s="464"/>
      <c r="N7" s="464"/>
      <c r="O7" s="443"/>
      <c r="P7" s="461">
        <v>3.6</v>
      </c>
      <c r="Q7" s="438">
        <f>IFERROR(LOOKUP(1,0/((成型機資料庫!$F$98:$F$118=J7)*(成型機資料庫!$G$98:$G$118=K7)),成型機資料庫!$K$98:$K$118),0)</f>
        <v>500</v>
      </c>
      <c r="R7" s="477"/>
      <c r="S7" s="898"/>
      <c r="T7" s="482">
        <f>IFERROR(LOOKUP(1,0/((成型機資料庫!$F$98:$F$118=J7)*(成型機資料庫!$G$98:$G$118=K7)),成型機資料庫!$I$98:$I$118),0)</f>
        <v>36</v>
      </c>
      <c r="U7" s="483">
        <f>IFERROR(LOOKUP(1,0/((成型機資料庫!$F$98:$F$118=J7)*(成型機資料庫!$G$98:$G$118=K7)),成型機資料庫!$J$98:$J$118),0)</f>
        <v>9</v>
      </c>
      <c r="V7" s="900">
        <f>IFERROR(LOOKUP(1,0/((成型機資料庫!$F$98:$F$118=J7)*(成型機資料庫!$G$98:$G$118=K7)),成型機資料庫!$L$98:$L$118),0)</f>
        <v>427.68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58</v>
      </c>
      <c r="G8" s="464"/>
      <c r="H8" s="464" t="s">
        <v>875</v>
      </c>
      <c r="I8" s="429" t="s">
        <v>1355</v>
      </c>
      <c r="J8" s="429" t="s">
        <v>1376</v>
      </c>
      <c r="K8" s="429" t="s">
        <v>1301</v>
      </c>
      <c r="L8" s="438">
        <v>150</v>
      </c>
      <c r="M8" s="464"/>
      <c r="N8" s="464"/>
      <c r="O8" s="443"/>
      <c r="P8" s="461">
        <v>2.8</v>
      </c>
      <c r="Q8" s="438">
        <f>IFERROR(LOOKUP(1,0/((成型機資料庫!$F$98:$F$118=J8)*(成型機資料庫!$G$98:$G$118=K8)),成型機資料庫!$K$98:$K$118),0)</f>
        <v>1000</v>
      </c>
      <c r="R8" s="477"/>
      <c r="S8" s="898"/>
      <c r="T8" s="482">
        <f>IFERROR(LOOKUP(1,0/((成型機資料庫!$F$98:$F$118=J8)*(成型機資料庫!$G$98:$G$118=K8)),成型機資料庫!$I$98:$I$118),0)</f>
        <v>56</v>
      </c>
      <c r="U8" s="483">
        <f>IFERROR(LOOKUP(1,0/((成型機資料庫!$F$98:$F$118=J8)*(成型機資料庫!$G$98:$G$118=K8)),成型機資料庫!$J$98:$J$118),0)</f>
        <v>10.7</v>
      </c>
      <c r="V8" s="900">
        <f>IFERROR(LOOKUP(1,0/((成型機資料庫!$F$98:$F$118=J8)*(成型機資料庫!$G$98:$G$118=K8)),成型機資料庫!$L$98:$L$118),0)</f>
        <v>395.47199999999992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5" t="s">
        <v>58</v>
      </c>
      <c r="G9" s="464"/>
      <c r="H9" s="464" t="s">
        <v>721</v>
      </c>
      <c r="I9" s="429" t="s">
        <v>1356</v>
      </c>
      <c r="J9" s="429" t="s">
        <v>1469</v>
      </c>
      <c r="K9" s="429" t="s">
        <v>1301</v>
      </c>
      <c r="L9" s="464">
        <v>210</v>
      </c>
      <c r="M9" s="464"/>
      <c r="N9" s="464"/>
      <c r="O9" s="443"/>
      <c r="P9" s="461">
        <v>3.8</v>
      </c>
      <c r="Q9" s="438">
        <f>IFERROR(LOOKUP(1,0/((成型機資料庫!$F$98:$F$118=J9)*(成型機資料庫!$G$98:$G$118=K9)),成型機資料庫!$K$98:$K$118),0)</f>
        <v>1000</v>
      </c>
      <c r="R9" s="477"/>
      <c r="S9" s="898"/>
      <c r="T9" s="482">
        <f>IFERROR(LOOKUP(1,0/((成型機資料庫!$F$98:$F$118=J9)*(成型機資料庫!$G$98:$G$118=K9)),成型機資料庫!$I$98:$I$118),0)</f>
        <v>56</v>
      </c>
      <c r="U9" s="483">
        <f>IFERROR(LOOKUP(1,0/((成型機資料庫!$F$98:$F$118=J9)*(成型機資料庫!$G$98:$G$118=K9)),成型機資料庫!$J$98:$J$118),0)</f>
        <v>10.7</v>
      </c>
      <c r="V9" s="900">
        <f>IFERROR(LOOKUP(1,0/((成型機資料庫!$F$98:$F$118=J9)*(成型機資料庫!$G$98:$G$118=K9)),成型機資料庫!$L$98:$L$118),0)</f>
        <v>395.47199999999992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5" t="s">
        <v>59</v>
      </c>
      <c r="G10" s="464"/>
      <c r="H10" s="464" t="s">
        <v>1368</v>
      </c>
      <c r="I10" s="429" t="s">
        <v>422</v>
      </c>
      <c r="J10" s="429" t="s">
        <v>1461</v>
      </c>
      <c r="K10" s="429" t="s">
        <v>1301</v>
      </c>
      <c r="L10" s="438">
        <v>280</v>
      </c>
      <c r="M10" s="464"/>
      <c r="N10" s="464"/>
      <c r="O10" s="443">
        <f t="shared" ref="O10:O41" si="0">L10*M10</f>
        <v>0</v>
      </c>
      <c r="P10" s="461">
        <v>3.2</v>
      </c>
      <c r="Q10" s="438">
        <f>IFERROR(LOOKUP(1,0/((成型機資料庫!$F$98:$F$118=J10)*(成型機資料庫!$G$98:$G$118=K10)),成型機資料庫!$K$98:$K$118),0)</f>
        <v>1000</v>
      </c>
      <c r="R10" s="477"/>
      <c r="S10" s="898"/>
      <c r="T10" s="482">
        <f>IFERROR(LOOKUP(1,0/((成型機資料庫!$F$98:$F$118=J10)*(成型機資料庫!$G$98:$G$118=K10)),成型機資料庫!$I$98:$I$118),0)</f>
        <v>56</v>
      </c>
      <c r="U10" s="483">
        <f>IFERROR(LOOKUP(1,0/((成型機資料庫!$F$98:$F$118=J10)*(成型機資料庫!$G$98:$G$118=K10)),成型機資料庫!$J$98:$J$118),0)</f>
        <v>8.6</v>
      </c>
      <c r="V10" s="900">
        <f>IFERROR(LOOKUP(1,0/((成型機資料庫!$F$98:$F$118=J10)*(成型機資料庫!$G$98:$G$118=K10)),成型機資料庫!$L$98:$L$118),0)</f>
        <v>317.85599999999994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thickBot="1">
      <c r="A11" s="496"/>
      <c r="B11" s="496"/>
      <c r="C11" s="496"/>
      <c r="D11" s="496"/>
      <c r="E11" s="496"/>
      <c r="F11" s="497"/>
      <c r="G11" s="500"/>
      <c r="H11" s="500"/>
      <c r="I11" s="498"/>
      <c r="J11" s="498"/>
      <c r="K11" s="498"/>
      <c r="L11" s="500"/>
      <c r="M11" s="500"/>
      <c r="N11" s="500"/>
      <c r="O11" s="501">
        <f t="shared" si="0"/>
        <v>0</v>
      </c>
      <c r="P11" s="528"/>
      <c r="Q11" s="499">
        <f>IFERROR(LOOKUP(1,0/((成型機資料庫!$F$98:$F$118=J11)*(成型機資料庫!$G$98:$G$118=K11)),成型機資料庫!$K$98:$K$118),0)</f>
        <v>0</v>
      </c>
      <c r="R11" s="502"/>
      <c r="S11" s="503"/>
      <c r="T11" s="509">
        <f>IFERROR(LOOKUP(1,0/((成型機資料庫!$F$98:$F$118=J11)*(成型機資料庫!$G$98:$G$118=K11)),成型機資料庫!$I$98:$I$118),0)</f>
        <v>0</v>
      </c>
      <c r="U11" s="505">
        <f>IFERROR(LOOKUP(1,0/((成型機資料庫!$F$98:$F$118=J11)*(成型機資料庫!$G$98:$G$118=K11)),成型機資料庫!$J$98:$J$118),0)</f>
        <v>0</v>
      </c>
      <c r="V11" s="991">
        <f>IFERROR(LOOKUP(1,0/((成型機資料庫!$F$98:$F$118=J11)*(成型機資料庫!$G$98:$G$118=K11)),成型機資料庫!$L$98:$L$118),0)</f>
        <v>0</v>
      </c>
      <c r="W11" s="507"/>
      <c r="X11" s="507"/>
      <c r="Y11" s="507"/>
      <c r="Z11" s="507"/>
      <c r="AA11" s="508">
        <f t="shared" ref="AA11:AA41" si="1">AB11+AC11/60</f>
        <v>0</v>
      </c>
      <c r="AB11" s="499"/>
      <c r="AC11" s="509"/>
      <c r="AD11" s="529"/>
      <c r="AE11" s="499"/>
      <c r="AF11" s="499"/>
    </row>
    <row r="12" spans="1:56" s="433" customFormat="1" ht="15.75">
      <c r="A12" s="935">
        <v>113</v>
      </c>
      <c r="B12" s="935"/>
      <c r="C12" s="935">
        <v>1</v>
      </c>
      <c r="D12" s="889"/>
      <c r="E12" s="889" t="s">
        <v>0</v>
      </c>
      <c r="F12" s="962" t="s">
        <v>44</v>
      </c>
      <c r="G12" s="999"/>
      <c r="H12" s="532"/>
      <c r="I12" s="964"/>
      <c r="J12" s="964"/>
      <c r="K12" s="964"/>
      <c r="L12" s="532"/>
      <c r="M12" s="532"/>
      <c r="N12" s="927">
        <f>M12*Q12</f>
        <v>0</v>
      </c>
      <c r="O12" s="995">
        <f t="shared" si="0"/>
        <v>0</v>
      </c>
      <c r="P12" s="1000"/>
      <c r="Q12" s="480">
        <f>IFERROR(LOOKUP(1,0/((成型機資料庫!$F$98:$F$118=J12)*(成型機資料庫!$G$98:$G$118=K12)),成型機資料庫!$K$98:$K$118),0)</f>
        <v>0</v>
      </c>
      <c r="R12" s="997">
        <f t="shared" ref="R12:R41" si="2">M12*Q12*P12/1000</f>
        <v>0</v>
      </c>
      <c r="S12" s="996">
        <f t="shared" ref="S12:S41" si="3">IFERROR((G12-R12)/G12,0)</f>
        <v>0</v>
      </c>
      <c r="T12" s="968">
        <f>IFERROR(LOOKUP(1,0/((成型機資料庫!$F$98:$F$118=J12)*(成型機資料庫!$G$98:$G$118=K12)),成型機資料庫!$I$98:$I$118),0)</f>
        <v>0</v>
      </c>
      <c r="U12" s="967">
        <f>IFERROR(LOOKUP(1,0/((成型機資料庫!$F$98:$F$118=J12)*(成型機資料庫!$G$98:$G$118=K12)),成型機資料庫!$J$98:$J$118),0)</f>
        <v>0</v>
      </c>
      <c r="V12" s="927">
        <f>IFERROR(LOOKUP(1,0/((成型機資料庫!$F$98:$F$118=J12)*(成型機資料庫!$G$98:$G$118=K12)),成型機資料庫!$L$98:$L$118),0)</f>
        <v>0</v>
      </c>
      <c r="W12" s="996">
        <f t="shared" ref="W12:W41" si="4">IFERROR(M12/V12,0)</f>
        <v>0</v>
      </c>
      <c r="X12" s="987">
        <f>IFERROR(T12*U12*60*AA12/Q12,0)</f>
        <v>0</v>
      </c>
      <c r="Y12" s="996">
        <f>IFERROR(M12/X12,0)</f>
        <v>0</v>
      </c>
      <c r="Z12" s="987"/>
      <c r="AA12" s="495">
        <f t="shared" si="1"/>
        <v>0</v>
      </c>
      <c r="AB12" s="480"/>
      <c r="AC12" s="968"/>
      <c r="AD12" s="532"/>
      <c r="AE12" s="480"/>
      <c r="AF12" s="480"/>
    </row>
    <row r="13" spans="1:56" s="433" customFormat="1" ht="15.75">
      <c r="A13" s="434">
        <v>113</v>
      </c>
      <c r="B13" s="581"/>
      <c r="C13" s="581">
        <v>2</v>
      </c>
      <c r="D13" s="581"/>
      <c r="E13" s="581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ref="N13:N41" si="5">M13*Q13</f>
        <v>0</v>
      </c>
      <c r="O13" s="901">
        <f t="shared" si="0"/>
        <v>0</v>
      </c>
      <c r="P13" s="460"/>
      <c r="Q13" s="438">
        <f>IFERROR(LOOKUP(1,0/((成型機資料庫!$F$98:$F$118=J13)*(成型機資料庫!$G$98:$G$118=K13)),成型機資料庫!$K$98:$K$118),0)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IFERROR(LOOKUP(1,0/((成型機資料庫!$F$98:$F$118=J13)*(成型機資料庫!$G$98:$G$118=K13)),成型機資料庫!$I$98:$I$118),0)</f>
        <v>0</v>
      </c>
      <c r="U13" s="483">
        <f>IFERROR(LOOKUP(1,0/((成型機資料庫!$F$98:$F$118=J13)*(成型機資料庫!$G$98:$G$118=K13)),成型機資料庫!$J$98:$J$118),0)</f>
        <v>0</v>
      </c>
      <c r="V13" s="900">
        <f>IFERROR(LOOKUP(1,0/((成型機資料庫!$F$98:$F$118=J13)*(成型機資料庫!$G$98:$G$118=K13)),成型機資料庫!$L$98:$L$118),0)</f>
        <v>0</v>
      </c>
      <c r="W13" s="898">
        <f t="shared" si="4"/>
        <v>0</v>
      </c>
      <c r="X13" s="923">
        <f t="shared" ref="X13:X41" si="6">IFERROR(T13*U13*60*AA13/Q13,0)</f>
        <v>0</v>
      </c>
      <c r="Y13" s="898">
        <f t="shared" ref="Y13:Y41" si="7">IFERROR(M13/X13,0)</f>
        <v>0</v>
      </c>
      <c r="Z13" s="923"/>
      <c r="AA13" s="478">
        <f t="shared" si="1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3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IFERROR(LOOKUP(1,0/((成型機資料庫!$F$98:$F$118=J14)*(成型機資料庫!$G$98:$G$118=K14)),成型機資料庫!$K$98:$K$118),0)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IFERROR(LOOKUP(1,0/((成型機資料庫!$F$98:$F$118=J14)*(成型機資料庫!$G$98:$G$118=K14)),成型機資料庫!$I$98:$I$118),0)</f>
        <v>0</v>
      </c>
      <c r="U14" s="483">
        <f>IFERROR(LOOKUP(1,0/((成型機資料庫!$F$98:$F$118=J14)*(成型機資料庫!$G$98:$G$118=K14)),成型機資料庫!$J$98:$J$118),0)</f>
        <v>0</v>
      </c>
      <c r="V14" s="900">
        <f>IFERROR(LOOKUP(1,0/((成型機資料庫!$F$98:$F$118=J14)*(成型機資料庫!$G$98:$G$118=K14)),成型機資料庫!$L$98:$L$118),0)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438"/>
      <c r="AE14" s="438"/>
      <c r="AF14" s="438"/>
    </row>
    <row r="15" spans="1:56" s="433" customFormat="1" ht="15.75">
      <c r="A15" s="434">
        <v>113</v>
      </c>
      <c r="B15" s="581"/>
      <c r="C15" s="581">
        <v>4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IFERROR(LOOKUP(1,0/((成型機資料庫!$F$98:$F$118=J15)*(成型機資料庫!$G$98:$G$118=K15)),成型機資料庫!$K$98:$K$118),0)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IFERROR(LOOKUP(1,0/((成型機資料庫!$F$98:$F$118=J15)*(成型機資料庫!$G$98:$G$118=K15)),成型機資料庫!$I$98:$I$118),0)</f>
        <v>0</v>
      </c>
      <c r="U15" s="483">
        <f>IFERROR(LOOKUP(1,0/((成型機資料庫!$F$98:$F$118=J15)*(成型機資料庫!$G$98:$G$118=K15)),成型機資料庫!$J$98:$J$118),0)</f>
        <v>0</v>
      </c>
      <c r="V15" s="900">
        <f>IFERROR(LOOKUP(1,0/((成型機資料庫!$F$98:$F$118=J15)*(成型機資料庫!$G$98:$G$118=K15)),成型機資料庫!$L$98:$L$118),0)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64"/>
      <c r="AF15" s="438"/>
    </row>
    <row r="16" spans="1:56" s="433" customFormat="1" ht="15.75">
      <c r="A16" s="434">
        <v>113</v>
      </c>
      <c r="B16" s="581"/>
      <c r="C16" s="581">
        <v>5</v>
      </c>
      <c r="D16" s="581"/>
      <c r="E16" s="889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IFERROR(LOOKUP(1,0/((成型機資料庫!$F$98:$F$118=J16)*(成型機資料庫!$G$98:$G$118=K16)),成型機資料庫!$K$98:$K$118),0)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IFERROR(LOOKUP(1,0/((成型機資料庫!$F$98:$F$118=J16)*(成型機資料庫!$G$98:$G$118=K16)),成型機資料庫!$I$98:$I$118),0)</f>
        <v>0</v>
      </c>
      <c r="U16" s="483">
        <f>IFERROR(LOOKUP(1,0/((成型機資料庫!$F$98:$F$118=J16)*(成型機資料庫!$G$98:$G$118=K16)),成型機資料庫!$J$98:$J$118),0)</f>
        <v>0</v>
      </c>
      <c r="V16" s="900">
        <f>IFERROR(LOOKUP(1,0/((成型機資料庫!$F$98:$F$118=J16)*(成型機資料庫!$G$98:$G$118=K16)),成型機資料庫!$L$98:$L$118),0)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38"/>
      <c r="AF16" s="438"/>
    </row>
    <row r="17" spans="1:32" s="433" customFormat="1" ht="15.75">
      <c r="A17" s="434">
        <v>113</v>
      </c>
      <c r="B17" s="581"/>
      <c r="C17" s="581">
        <v>6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IFERROR(LOOKUP(1,0/((成型機資料庫!$F$98:$F$118=J17)*(成型機資料庫!$G$98:$G$118=K17)),成型機資料庫!$K$98:$K$118),0)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IFERROR(LOOKUP(1,0/((成型機資料庫!$F$98:$F$118=J17)*(成型機資料庫!$G$98:$G$118=K17)),成型機資料庫!$I$98:$I$118),0)</f>
        <v>0</v>
      </c>
      <c r="U17" s="483">
        <f>IFERROR(LOOKUP(1,0/((成型機資料庫!$F$98:$F$118=J17)*(成型機資料庫!$G$98:$G$118=K17)),成型機資料庫!$J$98:$J$118),0)</f>
        <v>0</v>
      </c>
      <c r="V17" s="900">
        <f>IFERROR(LOOKUP(1,0/((成型機資料庫!$F$98:$F$118=J17)*(成型機資料庫!$G$98:$G$118=K17)),成型機資料庫!$L$98:$L$118),0)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879"/>
      <c r="AE17" s="438"/>
      <c r="AF17" s="438"/>
    </row>
    <row r="18" spans="1:32" s="433" customFormat="1" ht="15.75">
      <c r="A18" s="434">
        <v>113</v>
      </c>
      <c r="B18" s="581"/>
      <c r="C18" s="581">
        <v>7</v>
      </c>
      <c r="D18" s="581"/>
      <c r="E18" s="889" t="s">
        <v>0</v>
      </c>
      <c r="F18" s="962" t="s">
        <v>44</v>
      </c>
      <c r="G18" s="927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IFERROR(LOOKUP(1,0/((成型機資料庫!$F$98:$F$118=J18)*(成型機資料庫!$G$98:$G$118=K18)),成型機資料庫!$K$98:$K$118),0)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IFERROR(LOOKUP(1,0/((成型機資料庫!$F$98:$F$118=J18)*(成型機資料庫!$G$98:$G$118=K18)),成型機資料庫!$I$98:$I$118),0)</f>
        <v>0</v>
      </c>
      <c r="U18" s="483">
        <f>IFERROR(LOOKUP(1,0/((成型機資料庫!$F$98:$F$118=J18)*(成型機資料庫!$G$98:$G$118=K18)),成型機資料庫!$J$98:$J$118),0)</f>
        <v>0</v>
      </c>
      <c r="V18" s="900">
        <f>IFERROR(LOOKUP(1,0/((成型機資料庫!$F$98:$F$118=J18)*(成型機資料庫!$G$98:$G$118=K18)),成型機資料庫!$L$98:$L$118),0)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8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IFERROR(LOOKUP(1,0/((成型機資料庫!$F$98:$F$118=J19)*(成型機資料庫!$G$98:$G$118=K19)),成型機資料庫!$K$98:$K$118),0)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IFERROR(LOOKUP(1,0/((成型機資料庫!$F$98:$F$118=J19)*(成型機資料庫!$G$98:$G$118=K19)),成型機資料庫!$I$98:$I$118),0)</f>
        <v>0</v>
      </c>
      <c r="U19" s="483">
        <f>IFERROR(LOOKUP(1,0/((成型機資料庫!$F$98:$F$118=J19)*(成型機資料庫!$G$98:$G$118=K19)),成型機資料庫!$J$98:$J$118),0)</f>
        <v>0</v>
      </c>
      <c r="V19" s="900">
        <f>IFERROR(LOOKUP(1,0/((成型機資料庫!$F$98:$F$118=J19)*(成型機資料庫!$G$98:$G$118=K19)),成型機資料庫!$L$98:$L$118),0)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9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IFERROR(LOOKUP(1,0/((成型機資料庫!$F$98:$F$118=J20)*(成型機資料庫!$G$98:$G$118=K20)),成型機資料庫!$K$98:$K$118),0)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IFERROR(LOOKUP(1,0/((成型機資料庫!$F$98:$F$118=J20)*(成型機資料庫!$G$98:$G$118=K20)),成型機資料庫!$I$98:$I$118),0)</f>
        <v>0</v>
      </c>
      <c r="U20" s="483">
        <f>IFERROR(LOOKUP(1,0/((成型機資料庫!$F$98:$F$118=J20)*(成型機資料庫!$G$98:$G$118=K20)),成型機資料庫!$J$98:$J$118),0)</f>
        <v>0</v>
      </c>
      <c r="V20" s="900">
        <f>IFERROR(LOOKUP(1,0/((成型機資料庫!$F$98:$F$118=J20)*(成型機資料庫!$G$98:$G$118=K20)),成型機資料庫!$L$98:$L$118),0)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10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IFERROR(LOOKUP(1,0/((成型機資料庫!$F$98:$F$118=J21)*(成型機資料庫!$G$98:$G$118=K21)),成型機資料庫!$K$98:$K$118),0)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IFERROR(LOOKUP(1,0/((成型機資料庫!$F$98:$F$118=J21)*(成型機資料庫!$G$98:$G$118=K21)),成型機資料庫!$I$98:$I$118),0)</f>
        <v>0</v>
      </c>
      <c r="U21" s="483">
        <f>IFERROR(LOOKUP(1,0/((成型機資料庫!$F$98:$F$118=J21)*(成型機資料庫!$G$98:$G$118=K21)),成型機資料庫!$J$98:$J$118),0)</f>
        <v>0</v>
      </c>
      <c r="V21" s="900">
        <f>IFERROR(LOOKUP(1,0/((成型機資料庫!$F$98:$F$118=J21)*(成型機資料庫!$G$98:$G$118=K21)),成型機資料庫!$L$98:$L$118),0)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11</v>
      </c>
      <c r="D22" s="581"/>
      <c r="E22" s="581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IFERROR(LOOKUP(1,0/((成型機資料庫!$F$98:$F$118=J22)*(成型機資料庫!$G$98:$G$118=K22)),成型機資料庫!$K$98:$K$118),0)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IFERROR(LOOKUP(1,0/((成型機資料庫!$F$98:$F$118=J22)*(成型機資料庫!$G$98:$G$118=K22)),成型機資料庫!$I$98:$I$118),0)</f>
        <v>0</v>
      </c>
      <c r="U22" s="483">
        <f>IFERROR(LOOKUP(1,0/((成型機資料庫!$F$98:$F$118=J22)*(成型機資料庫!$G$98:$G$118=K22)),成型機資料庫!$J$98:$J$118),0)</f>
        <v>0</v>
      </c>
      <c r="V22" s="900">
        <f>IFERROR(LOOKUP(1,0/((成型機資料庫!$F$98:$F$118=J22)*(成型機資料庫!$G$98:$G$118=K22)),成型機資料庫!$L$98:$L$118),0)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12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IFERROR(LOOKUP(1,0/((成型機資料庫!$F$98:$F$118=J23)*(成型機資料庫!$G$98:$G$118=K23)),成型機資料庫!$K$98:$K$118),0)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IFERROR(LOOKUP(1,0/((成型機資料庫!$F$98:$F$118=J23)*(成型機資料庫!$G$98:$G$118=K23)),成型機資料庫!$I$98:$I$118),0)</f>
        <v>0</v>
      </c>
      <c r="U23" s="483">
        <f>IFERROR(LOOKUP(1,0/((成型機資料庫!$F$98:$F$118=J23)*(成型機資料庫!$G$98:$G$118=K23)),成型機資料庫!$J$98:$J$118),0)</f>
        <v>0</v>
      </c>
      <c r="V23" s="900">
        <f>IFERROR(LOOKUP(1,0/((成型機資料庫!$F$98:$F$118=J23)*(成型機資料庫!$G$98:$G$118=K23)),成型機資料庫!$L$98:$L$118),0)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13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IFERROR(LOOKUP(1,0/((成型機資料庫!$F$98:$F$118=J24)*(成型機資料庫!$G$98:$G$118=K24)),成型機資料庫!$K$98:$K$118),0)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IFERROR(LOOKUP(1,0/((成型機資料庫!$F$98:$F$118=J24)*(成型機資料庫!$G$98:$G$118=K24)),成型機資料庫!$I$98:$I$118),0)</f>
        <v>0</v>
      </c>
      <c r="U24" s="483">
        <f>IFERROR(LOOKUP(1,0/((成型機資料庫!$F$98:$F$118=J24)*(成型機資料庫!$G$98:$G$118=K24)),成型機資料庫!$J$98:$J$118),0)</f>
        <v>0</v>
      </c>
      <c r="V24" s="900">
        <f>IFERROR(LOOKUP(1,0/((成型機資料庫!$F$98:$F$118=J24)*(成型機資料庫!$G$98:$G$118=K24)),成型機資料庫!$L$98:$L$118),0)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581"/>
      <c r="C25" s="581">
        <v>14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IFERROR(LOOKUP(1,0/((成型機資料庫!$F$98:$F$118=J25)*(成型機資料庫!$G$98:$G$118=K25)),成型機資料庫!$K$98:$K$118),0)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IFERROR(LOOKUP(1,0/((成型機資料庫!$F$98:$F$118=J25)*(成型機資料庫!$G$98:$G$118=K25)),成型機資料庫!$I$98:$I$118),0)</f>
        <v>0</v>
      </c>
      <c r="U25" s="483">
        <f>IFERROR(LOOKUP(1,0/((成型機資料庫!$F$98:$F$118=J25)*(成型機資料庫!$G$98:$G$118=K25)),成型機資料庫!$J$98:$J$118),0)</f>
        <v>0</v>
      </c>
      <c r="V25" s="900">
        <f>IFERROR(LOOKUP(1,0/((成型機資料庫!$F$98:$F$118=J25)*(成型機資料庫!$G$98:$G$118=K25)),成型機資料庫!$L$98:$L$118),0)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15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IFERROR(LOOKUP(1,0/((成型機資料庫!$F$98:$F$118=J26)*(成型機資料庫!$G$98:$G$118=K26)),成型機資料庫!$K$98:$K$118),0)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IFERROR(LOOKUP(1,0/((成型機資料庫!$F$98:$F$118=J26)*(成型機資料庫!$G$98:$G$118=K26)),成型機資料庫!$I$98:$I$118),0)</f>
        <v>0</v>
      </c>
      <c r="U26" s="483">
        <f>IFERROR(LOOKUP(1,0/((成型機資料庫!$F$98:$F$118=J26)*(成型機資料庫!$G$98:$G$118=K26)),成型機資料庫!$J$98:$J$118),0)</f>
        <v>0</v>
      </c>
      <c r="V26" s="900">
        <f>IFERROR(LOOKUP(1,0/((成型機資料庫!$F$98:$F$118=J26)*(成型機資料庫!$G$98:$G$118=K26)),成型機資料庫!$L$98:$L$118),0)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16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IFERROR(LOOKUP(1,0/((成型機資料庫!$F$98:$F$118=J27)*(成型機資料庫!$G$98:$G$118=K27)),成型機資料庫!$K$98:$K$118),0)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IFERROR(LOOKUP(1,0/((成型機資料庫!$F$98:$F$118=J27)*(成型機資料庫!$G$98:$G$118=K27)),成型機資料庫!$I$98:$I$118),0)</f>
        <v>0</v>
      </c>
      <c r="U27" s="483">
        <f>IFERROR(LOOKUP(1,0/((成型機資料庫!$F$98:$F$118=J27)*(成型機資料庫!$G$98:$G$118=K27)),成型機資料庫!$J$98:$J$118),0)</f>
        <v>0</v>
      </c>
      <c r="V27" s="900">
        <f>IFERROR(LOOKUP(1,0/((成型機資料庫!$F$98:$F$118=J27)*(成型機資料庫!$G$98:$G$118=K27)),成型機資料庫!$L$98:$L$118),0)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64"/>
      <c r="AF27" s="438"/>
    </row>
    <row r="28" spans="1:32" s="433" customFormat="1" ht="15.75">
      <c r="A28" s="434">
        <v>113</v>
      </c>
      <c r="B28" s="581"/>
      <c r="C28" s="581">
        <v>17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IFERROR(LOOKUP(1,0/((成型機資料庫!$F$98:$F$118=J28)*(成型機資料庫!$G$98:$G$118=K28)),成型機資料庫!$K$98:$K$118),0)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IFERROR(LOOKUP(1,0/((成型機資料庫!$F$98:$F$118=J28)*(成型機資料庫!$G$98:$G$118=K28)),成型機資料庫!$I$98:$I$118),0)</f>
        <v>0</v>
      </c>
      <c r="U28" s="483">
        <f>IFERROR(LOOKUP(1,0/((成型機資料庫!$F$98:$F$118=J28)*(成型機資料庫!$G$98:$G$118=K28)),成型機資料庫!$J$98:$J$118),0)</f>
        <v>0</v>
      </c>
      <c r="V28" s="900">
        <f>IFERROR(LOOKUP(1,0/((成型機資料庫!$F$98:$F$118=J28)*(成型機資料庫!$G$98:$G$118=K28)),成型機資料庫!$L$98:$L$118),0)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18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IFERROR(LOOKUP(1,0/((成型機資料庫!$F$98:$F$118=J29)*(成型機資料庫!$G$98:$G$118=K29)),成型機資料庫!$K$98:$K$118),0)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IFERROR(LOOKUP(1,0/((成型機資料庫!$F$98:$F$118=J29)*(成型機資料庫!$G$98:$G$118=K29)),成型機資料庫!$I$98:$I$118),0)</f>
        <v>0</v>
      </c>
      <c r="U29" s="483">
        <f>IFERROR(LOOKUP(1,0/((成型機資料庫!$F$98:$F$118=J29)*(成型機資料庫!$G$98:$G$118=K29)),成型機資料庫!$J$98:$J$118),0)</f>
        <v>0</v>
      </c>
      <c r="V29" s="900">
        <f>IFERROR(LOOKUP(1,0/((成型機資料庫!$F$98:$F$118=J29)*(成型機資料庫!$G$98:$G$118=K29)),成型機資料庫!$L$98:$L$118),0)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19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IFERROR(LOOKUP(1,0/((成型機資料庫!$F$98:$F$118=J30)*(成型機資料庫!$G$98:$G$118=K30)),成型機資料庫!$K$98:$K$118),0)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IFERROR(LOOKUP(1,0/((成型機資料庫!$F$98:$F$118=J30)*(成型機資料庫!$G$98:$G$118=K30)),成型機資料庫!$I$98:$I$118),0)</f>
        <v>0</v>
      </c>
      <c r="U30" s="483">
        <f>IFERROR(LOOKUP(1,0/((成型機資料庫!$F$98:$F$118=J30)*(成型機資料庫!$G$98:$G$118=K30)),成型機資料庫!$J$98:$J$118),0)</f>
        <v>0</v>
      </c>
      <c r="V30" s="900">
        <f>IFERROR(LOOKUP(1,0/((成型機資料庫!$F$98:$F$118=J30)*(成型機資料庫!$G$98:$G$118=K30)),成型機資料庫!$L$98:$L$118),0)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20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IFERROR(LOOKUP(1,0/((成型機資料庫!$F$98:$F$118=J31)*(成型機資料庫!$G$98:$G$118=K31)),成型機資料庫!$K$98:$K$118),0)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IFERROR(LOOKUP(1,0/((成型機資料庫!$F$98:$F$118=J31)*(成型機資料庫!$G$98:$G$118=K31)),成型機資料庫!$I$98:$I$118),0)</f>
        <v>0</v>
      </c>
      <c r="U31" s="483">
        <f>IFERROR(LOOKUP(1,0/((成型機資料庫!$F$98:$F$118=J31)*(成型機資料庫!$G$98:$G$118=K31)),成型機資料庫!$J$98:$J$118),0)</f>
        <v>0</v>
      </c>
      <c r="V31" s="900">
        <f>IFERROR(LOOKUP(1,0/((成型機資料庫!$F$98:$F$118=J31)*(成型機資料庫!$G$98:$G$118=K31)),成型機資料庫!$L$98:$L$118),0)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21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IFERROR(LOOKUP(1,0/((成型機資料庫!$F$98:$F$118=J32)*(成型機資料庫!$G$98:$G$118=K32)),成型機資料庫!$K$98:$K$118),0)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IFERROR(LOOKUP(1,0/((成型機資料庫!$F$98:$F$118=J32)*(成型機資料庫!$G$98:$G$118=K32)),成型機資料庫!$I$98:$I$118),0)</f>
        <v>0</v>
      </c>
      <c r="U32" s="483">
        <f>IFERROR(LOOKUP(1,0/((成型機資料庫!$F$98:$F$118=J32)*(成型機資料庫!$G$98:$G$118=K32)),成型機資料庫!$J$98:$J$118),0)</f>
        <v>0</v>
      </c>
      <c r="V32" s="900">
        <f>IFERROR(LOOKUP(1,0/((成型機資料庫!$F$98:$F$118=J32)*(成型機資料庫!$G$98:$G$118=K32)),成型機資料庫!$L$98:$L$118),0)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22</v>
      </c>
      <c r="D33" s="581"/>
      <c r="E33" s="889" t="s">
        <v>0</v>
      </c>
      <c r="F33" s="962" t="s">
        <v>44</v>
      </c>
      <c r="G33" s="927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IFERROR(LOOKUP(1,0/((成型機資料庫!$F$98:$F$118=J33)*(成型機資料庫!$G$98:$G$118=K33)),成型機資料庫!$K$98:$K$118),0)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IFERROR(LOOKUP(1,0/((成型機資料庫!$F$98:$F$118=J33)*(成型機資料庫!$G$98:$G$118=K33)),成型機資料庫!$I$98:$I$118),0)</f>
        <v>0</v>
      </c>
      <c r="U33" s="483">
        <f>IFERROR(LOOKUP(1,0/((成型機資料庫!$F$98:$F$118=J33)*(成型機資料庫!$G$98:$G$118=K33)),成型機資料庫!$J$98:$J$118),0)</f>
        <v>0</v>
      </c>
      <c r="V33" s="900">
        <f>IFERROR(LOOKUP(1,0/((成型機資料庫!$F$98:$F$118=J33)*(成型機資料庫!$G$98:$G$118=K33)),成型機資料庫!$L$98:$L$118),0)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23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IFERROR(LOOKUP(1,0/((成型機資料庫!$F$98:$F$118=J34)*(成型機資料庫!$G$98:$G$118=K34)),成型機資料庫!$K$98:$K$118),0)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IFERROR(LOOKUP(1,0/((成型機資料庫!$F$98:$F$118=J34)*(成型機資料庫!$G$98:$G$118=K34)),成型機資料庫!$I$98:$I$118),0)</f>
        <v>0</v>
      </c>
      <c r="U34" s="483">
        <f>IFERROR(LOOKUP(1,0/((成型機資料庫!$F$98:$F$118=J34)*(成型機資料庫!$G$98:$G$118=K34)),成型機資料庫!$J$98:$J$118),0)</f>
        <v>0</v>
      </c>
      <c r="V34" s="900">
        <f>IFERROR(LOOKUP(1,0/((成型機資料庫!$F$98:$F$118=J34)*(成型機資料庫!$G$98:$G$118=K34)),成型機資料庫!$L$98:$L$118),0)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64"/>
      <c r="AF34" s="438"/>
    </row>
    <row r="35" spans="1:32" s="433" customFormat="1" ht="15.75">
      <c r="A35" s="434">
        <v>113</v>
      </c>
      <c r="B35" s="434"/>
      <c r="C35" s="434">
        <v>24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IFERROR(LOOKUP(1,0/((成型機資料庫!$F$98:$F$118=J35)*(成型機資料庫!$G$98:$G$118=K35)),成型機資料庫!$K$98:$K$118),0)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IFERROR(LOOKUP(1,0/((成型機資料庫!$F$98:$F$118=J35)*(成型機資料庫!$G$98:$G$118=K35)),成型機資料庫!$I$98:$I$118),0)</f>
        <v>0</v>
      </c>
      <c r="U35" s="483">
        <f>IFERROR(LOOKUP(1,0/((成型機資料庫!$F$98:$F$118=J35)*(成型機資料庫!$G$98:$G$118=K35)),成型機資料庫!$J$98:$J$118),0)</f>
        <v>0</v>
      </c>
      <c r="V35" s="900">
        <f>IFERROR(LOOKUP(1,0/((成型機資料庫!$F$98:$F$118=J35)*(成型機資料庫!$G$98:$G$118=K35)),成型機資料庫!$L$98:$L$118),0)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25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IFERROR(LOOKUP(1,0/((成型機資料庫!$F$98:$F$118=J36)*(成型機資料庫!$G$98:$G$118=K36)),成型機資料庫!$K$98:$K$118),0)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IFERROR(LOOKUP(1,0/((成型機資料庫!$F$98:$F$118=J36)*(成型機資料庫!$G$98:$G$118=K36)),成型機資料庫!$I$98:$I$118),0)</f>
        <v>0</v>
      </c>
      <c r="U36" s="483">
        <f>IFERROR(LOOKUP(1,0/((成型機資料庫!$F$98:$F$118=J36)*(成型機資料庫!$G$98:$G$118=K36)),成型機資料庫!$J$98:$J$118),0)</f>
        <v>0</v>
      </c>
      <c r="V36" s="900">
        <f>IFERROR(LOOKUP(1,0/((成型機資料庫!$F$98:$F$118=J36)*(成型機資料庫!$G$98:$G$118=K36)),成型機資料庫!$L$98:$L$118),0)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64"/>
      <c r="AF36" s="438"/>
    </row>
    <row r="37" spans="1:32" s="433" customFormat="1" ht="15.75">
      <c r="A37" s="434">
        <v>113</v>
      </c>
      <c r="B37" s="434"/>
      <c r="C37" s="434">
        <v>26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IFERROR(LOOKUP(1,0/((成型機資料庫!$F$98:$F$118=J37)*(成型機資料庫!$G$98:$G$118=K37)),成型機資料庫!$K$98:$K$118),0)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IFERROR(LOOKUP(1,0/((成型機資料庫!$F$98:$F$118=J37)*(成型機資料庫!$G$98:$G$118=K37)),成型機資料庫!$I$98:$I$118),0)</f>
        <v>0</v>
      </c>
      <c r="U37" s="483">
        <f>IFERROR(LOOKUP(1,0/((成型機資料庫!$F$98:$F$118=J37)*(成型機資料庫!$G$98:$G$118=K37)),成型機資料庫!$J$98:$J$118),0)</f>
        <v>0</v>
      </c>
      <c r="V37" s="900">
        <f>IFERROR(LOOKUP(1,0/((成型機資料庫!$F$98:$F$118=J37)*(成型機資料庫!$G$98:$G$118=K37)),成型機資料庫!$L$98:$L$118),0)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38"/>
      <c r="AE37" s="464"/>
      <c r="AF37" s="438"/>
    </row>
    <row r="38" spans="1:32" s="433" customFormat="1" ht="15.75">
      <c r="A38" s="434">
        <v>113</v>
      </c>
      <c r="B38" s="434"/>
      <c r="C38" s="434">
        <v>27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IFERROR(LOOKUP(1,0/((成型機資料庫!$F$98:$F$118=J38)*(成型機資料庫!$G$98:$G$118=K38)),成型機資料庫!$K$98:$K$118),0)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IFERROR(LOOKUP(1,0/((成型機資料庫!$F$98:$F$118=J38)*(成型機資料庫!$G$98:$G$118=K38)),成型機資料庫!$I$98:$I$118),0)</f>
        <v>0</v>
      </c>
      <c r="U38" s="483">
        <f>IFERROR(LOOKUP(1,0/((成型機資料庫!$F$98:$F$118=J38)*(成型機資料庫!$G$98:$G$118=K38)),成型機資料庫!$J$98:$J$118),0)</f>
        <v>0</v>
      </c>
      <c r="V38" s="900">
        <f>IFERROR(LOOKUP(1,0/((成型機資料庫!$F$98:$F$118=J38)*(成型機資料庫!$G$98:$G$118=K38)),成型機資料庫!$L$98:$L$118),0)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581"/>
      <c r="C39" s="581">
        <v>28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IFERROR(LOOKUP(1,0/((成型機資料庫!$F$98:$F$118=J39)*(成型機資料庫!$G$98:$G$118=K39)),成型機資料庫!$K$98:$K$118),0)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IFERROR(LOOKUP(1,0/((成型機資料庫!$F$98:$F$118=J39)*(成型機資料庫!$G$98:$G$118=K39)),成型機資料庫!$I$98:$I$118),0)</f>
        <v>0</v>
      </c>
      <c r="U39" s="483">
        <f>IFERROR(LOOKUP(1,0/((成型機資料庫!$F$98:$F$118=J39)*(成型機資料庫!$G$98:$G$118=K39)),成型機資料庫!$J$98:$J$118),0)</f>
        <v>0</v>
      </c>
      <c r="V39" s="900">
        <f>IFERROR(LOOKUP(1,0/((成型機資料庫!$F$98:$F$118=J39)*(成型機資料庫!$G$98:$G$118=K39)),成型機資料庫!$L$98:$L$118),0)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29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IFERROR(LOOKUP(1,0/((成型機資料庫!$F$98:$F$118=J40)*(成型機資料庫!$G$98:$G$118=K40)),成型機資料庫!$K$98:$K$118),0)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IFERROR(LOOKUP(1,0/((成型機資料庫!$F$98:$F$118=J40)*(成型機資料庫!$G$98:$G$118=K40)),成型機資料庫!$I$98:$I$118),0)</f>
        <v>0</v>
      </c>
      <c r="U40" s="483">
        <f>IFERROR(LOOKUP(1,0/((成型機資料庫!$F$98:$F$118=J40)*(成型機資料庫!$G$98:$G$118=K40)),成型機資料庫!$J$98:$J$118),0)</f>
        <v>0</v>
      </c>
      <c r="V40" s="900">
        <f>IFERROR(LOOKUP(1,0/((成型機資料庫!$F$98:$F$118=J40)*(成型機資料庫!$G$98:$G$118=K40)),成型機資料庫!$L$98:$L$118),0)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64"/>
      <c r="AF40" s="438"/>
    </row>
    <row r="41" spans="1:32" s="433" customFormat="1" ht="15.75">
      <c r="A41" s="434">
        <v>113</v>
      </c>
      <c r="B41" s="581"/>
      <c r="C41" s="581">
        <v>30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IFERROR(LOOKUP(1,0/((成型機資料庫!$F$98:$F$118=J41)*(成型機資料庫!$G$98:$G$118=K41)),成型機資料庫!$K$98:$K$118),0)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IFERROR(LOOKUP(1,0/((成型機資料庫!$F$98:$F$118=J41)*(成型機資料庫!$G$98:$G$118=K41)),成型機資料庫!$I$98:$I$118),0)</f>
        <v>0</v>
      </c>
      <c r="U41" s="483">
        <f>IFERROR(LOOKUP(1,0/((成型機資料庫!$F$98:$F$118=J41)*(成型機資料庫!$G$98:$G$118=K41)),成型機資料庫!$J$98:$J$118),0)</f>
        <v>0</v>
      </c>
      <c r="V41" s="900">
        <f>IFERROR(LOOKUP(1,0/((成型機資料庫!$F$98:$F$118=J41)*(成型機資料庫!$G$98:$G$118=K41)),成型機資料庫!$L$98:$L$118),0)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38"/>
      <c r="AF41" s="438"/>
    </row>
    <row r="42" spans="1:32" s="433" customFormat="1" ht="15.75">
      <c r="A42" s="446"/>
      <c r="B42" s="456"/>
      <c r="C42" s="456"/>
      <c r="D42" s="456"/>
      <c r="E42" s="456"/>
      <c r="F42" s="448"/>
      <c r="G42" s="951"/>
      <c r="H42" s="452"/>
      <c r="I42" s="430"/>
      <c r="J42" s="430"/>
      <c r="K42" s="430"/>
      <c r="L42" s="452"/>
      <c r="M42" s="452"/>
      <c r="N42" s="945"/>
      <c r="O42" s="946"/>
      <c r="P42" s="868"/>
      <c r="Q42" s="467"/>
      <c r="R42" s="948"/>
      <c r="S42" s="936"/>
      <c r="T42" s="936"/>
      <c r="U42" s="936"/>
      <c r="V42" s="945"/>
      <c r="W42" s="936"/>
      <c r="X42" s="947"/>
      <c r="Y42" s="936"/>
      <c r="Z42" s="947"/>
      <c r="AA42" s="488"/>
      <c r="AB42" s="439"/>
      <c r="AC42" s="471"/>
      <c r="AD42" s="452"/>
      <c r="AE42" s="439"/>
      <c r="AF42" s="439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thickBot="1">
      <c r="A44" s="446"/>
      <c r="B44" s="446"/>
      <c r="C44" s="446"/>
      <c r="D44" s="446"/>
      <c r="E44" s="446"/>
      <c r="F44" s="448"/>
      <c r="G44" s="448"/>
      <c r="H44" s="430"/>
      <c r="I44" s="430"/>
      <c r="J44" s="430"/>
      <c r="K44" s="430"/>
      <c r="L44" s="439"/>
      <c r="M44" s="452"/>
      <c r="N44" s="452"/>
      <c r="O44" s="457"/>
      <c r="P44" s="466"/>
      <c r="Q44" s="467"/>
      <c r="R44" s="486"/>
      <c r="S44" s="457"/>
      <c r="T44" s="457"/>
      <c r="U44" s="457"/>
      <c r="V44" s="458"/>
      <c r="W44" s="487">
        <f>SUM(W12:W41)</f>
        <v>0</v>
      </c>
      <c r="X44" s="487"/>
      <c r="Y44" s="487"/>
      <c r="Z44" s="487"/>
      <c r="AA44" s="488"/>
      <c r="AB44" s="489"/>
      <c r="AC44" s="489"/>
      <c r="AD44" s="469" t="s">
        <v>46</v>
      </c>
      <c r="AE44" s="439"/>
      <c r="AF44" s="439"/>
    </row>
    <row r="45" spans="1:32" s="469" customFormat="1" ht="31.5">
      <c r="A45" s="479"/>
      <c r="B45" s="479"/>
      <c r="C45" s="479"/>
      <c r="D45" s="479"/>
      <c r="E45" s="479"/>
      <c r="F45" s="452"/>
      <c r="G45" s="524" t="s">
        <v>503</v>
      </c>
      <c r="H45" s="517"/>
      <c r="I45" s="518"/>
      <c r="L45" s="1842" t="s">
        <v>1348</v>
      </c>
      <c r="M45" s="525" t="s">
        <v>1294</v>
      </c>
      <c r="N45" s="525" t="s">
        <v>1295</v>
      </c>
      <c r="O45" s="526" t="s">
        <v>458</v>
      </c>
      <c r="P45" s="520"/>
      <c r="Q45" s="521"/>
      <c r="R45" s="524" t="s">
        <v>504</v>
      </c>
      <c r="S45" s="524" t="s">
        <v>455</v>
      </c>
      <c r="T45" s="521"/>
      <c r="U45" s="521"/>
      <c r="V45" s="524" t="s">
        <v>1293</v>
      </c>
      <c r="W45" s="524" t="s">
        <v>459</v>
      </c>
      <c r="X45" s="521"/>
      <c r="Y45" s="524" t="s">
        <v>1345</v>
      </c>
      <c r="Z45" s="524" t="s">
        <v>1350</v>
      </c>
      <c r="AA45" s="524" t="s">
        <v>1351</v>
      </c>
      <c r="AB45" s="524" t="s">
        <v>1353</v>
      </c>
      <c r="AC45" s="524" t="s">
        <v>1352</v>
      </c>
      <c r="AD45" s="469" t="s">
        <v>253</v>
      </c>
      <c r="AE45" s="452"/>
      <c r="AF45" s="452"/>
    </row>
    <row r="46" spans="1:32" thickBot="1">
      <c r="G46" s="522">
        <f>SUM(G12:G41)</f>
        <v>0</v>
      </c>
      <c r="I46" s="431"/>
      <c r="J46" s="518"/>
      <c r="K46" s="518"/>
      <c r="L46" s="1843"/>
      <c r="M46" s="522">
        <f>SUM(M12:M41)</f>
        <v>0</v>
      </c>
      <c r="N46" s="522">
        <f>SUM(N12:N41)</f>
        <v>0</v>
      </c>
      <c r="O46" s="902">
        <f>SUM(O12:O41)</f>
        <v>0</v>
      </c>
      <c r="P46" s="470"/>
      <c r="R46" s="924">
        <f>SUM(R12:R41)</f>
        <v>0</v>
      </c>
      <c r="S46" s="897" t="e">
        <f>(G46-R46)/G46</f>
        <v>#DIV/0!</v>
      </c>
      <c r="T46" s="446"/>
      <c r="U46" s="446"/>
      <c r="V46" s="686" t="e">
        <f>N46/W46</f>
        <v>#DIV/0!</v>
      </c>
      <c r="W46" s="516" t="e">
        <f>W44/Y46</f>
        <v>#DIV/0!</v>
      </c>
      <c r="X46" s="446"/>
      <c r="Y46" s="516"/>
      <c r="Z46" s="958">
        <f>SUM(Z12:Z41)</f>
        <v>0</v>
      </c>
      <c r="AA46" s="516">
        <f>SUM(AA12:AA41)</f>
        <v>0</v>
      </c>
      <c r="AB46" s="516">
        <f>Z46-AA46</f>
        <v>0</v>
      </c>
      <c r="AC46" s="896" t="e">
        <f>AA46/Z46</f>
        <v>#DIV/0!</v>
      </c>
    </row>
    <row r="47" spans="1:32">
      <c r="G47" s="453"/>
      <c r="M47" s="453"/>
      <c r="N47" s="453"/>
      <c r="O47"/>
      <c r="P47" s="470"/>
      <c r="R47"/>
      <c r="S47"/>
      <c r="T47"/>
      <c r="U47"/>
    </row>
    <row r="48" spans="1:32" ht="17.25" thickBot="1"/>
    <row r="49" spans="1:56" ht="15.75">
      <c r="A49" s="1824" t="s">
        <v>668</v>
      </c>
      <c r="B49" s="1824" t="s">
        <v>330</v>
      </c>
      <c r="C49" s="1826" t="s">
        <v>311</v>
      </c>
      <c r="D49" s="1828" t="s">
        <v>331</v>
      </c>
      <c r="E49" s="1828" t="s">
        <v>332</v>
      </c>
      <c r="F49" s="1830" t="s">
        <v>194</v>
      </c>
      <c r="G49" s="1830" t="s">
        <v>386</v>
      </c>
      <c r="H49" s="1832" t="s">
        <v>360</v>
      </c>
      <c r="I49" s="1832" t="s">
        <v>361</v>
      </c>
      <c r="J49" s="1832" t="s">
        <v>510</v>
      </c>
      <c r="K49" s="1832" t="s">
        <v>1320</v>
      </c>
      <c r="L49" s="1828" t="s">
        <v>362</v>
      </c>
      <c r="M49" s="1828" t="s">
        <v>514</v>
      </c>
      <c r="N49" s="1856" t="s">
        <v>511</v>
      </c>
      <c r="O49" s="1858" t="s">
        <v>457</v>
      </c>
      <c r="P49" s="1836" t="s">
        <v>379</v>
      </c>
      <c r="Q49" s="1828" t="s">
        <v>627</v>
      </c>
      <c r="R49" s="1852" t="s">
        <v>381</v>
      </c>
      <c r="S49" s="1854" t="s">
        <v>435</v>
      </c>
      <c r="T49" s="1834" t="s">
        <v>365</v>
      </c>
      <c r="U49" s="1836" t="s">
        <v>366</v>
      </c>
      <c r="V49" s="1844" t="s">
        <v>1286</v>
      </c>
      <c r="W49" s="1846" t="s">
        <v>201</v>
      </c>
      <c r="X49" s="1846" t="s">
        <v>1318</v>
      </c>
      <c r="Y49" s="1846" t="s">
        <v>1319</v>
      </c>
      <c r="Z49" s="1849" t="s">
        <v>1285</v>
      </c>
      <c r="AA49" s="1849" t="s">
        <v>339</v>
      </c>
      <c r="AB49" s="1860" t="s">
        <v>340</v>
      </c>
      <c r="AC49" s="1861"/>
      <c r="AD49" s="1862" t="s">
        <v>371</v>
      </c>
      <c r="AE49" s="1862" t="s">
        <v>383</v>
      </c>
      <c r="AF49" s="1840" t="s">
        <v>29</v>
      </c>
    </row>
    <row r="50" spans="1:56" s="447" customFormat="1" thickBot="1">
      <c r="A50" s="1825"/>
      <c r="B50" s="1825"/>
      <c r="C50" s="1827"/>
      <c r="D50" s="1829"/>
      <c r="E50" s="1829"/>
      <c r="F50" s="1831"/>
      <c r="G50" s="1831"/>
      <c r="H50" s="1833"/>
      <c r="I50" s="1833"/>
      <c r="J50" s="1833"/>
      <c r="K50" s="1838"/>
      <c r="L50" s="1829"/>
      <c r="M50" s="1839"/>
      <c r="N50" s="1857"/>
      <c r="O50" s="1859"/>
      <c r="P50" s="1837"/>
      <c r="Q50" s="1829"/>
      <c r="R50" s="1853"/>
      <c r="S50" s="1855"/>
      <c r="T50" s="1835"/>
      <c r="U50" s="1837"/>
      <c r="V50" s="1845"/>
      <c r="W50" s="1847"/>
      <c r="X50" s="1848"/>
      <c r="Y50" s="1848"/>
      <c r="Z50" s="1850"/>
      <c r="AA50" s="1851"/>
      <c r="AB50" s="491" t="s">
        <v>350</v>
      </c>
      <c r="AC50" s="491" t="s">
        <v>351</v>
      </c>
      <c r="AD50" s="1863"/>
      <c r="AE50" s="1863"/>
      <c r="AF50" s="1841"/>
      <c r="AG50" s="446"/>
      <c r="AH50" s="446"/>
      <c r="AU50" s="446"/>
      <c r="AV50" s="446"/>
      <c r="AW50" s="446"/>
      <c r="AX50" s="446"/>
      <c r="AY50" s="446"/>
      <c r="AZ50" s="446"/>
      <c r="BA50" s="446"/>
      <c r="BB50" s="446"/>
      <c r="BC50" s="446"/>
      <c r="BD50" s="446"/>
    </row>
    <row r="51" spans="1:56" s="433" customFormat="1" ht="15.75">
      <c r="A51" s="434">
        <v>113</v>
      </c>
      <c r="B51" s="434"/>
      <c r="C51" s="434">
        <v>1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>M51*Q51</f>
        <v>0</v>
      </c>
      <c r="O51" s="901">
        <f t="shared" ref="O51:O80" si="8">L51*M51</f>
        <v>0</v>
      </c>
      <c r="P51" s="460"/>
      <c r="Q51" s="438">
        <f>IFERROR(LOOKUP(1,0/((成型機資料庫!$F$98:$F$118=J51)*(成型機資料庫!$G$98:$G$118=K51)),成型機資料庫!$K$98:$K$118),0)</f>
        <v>0</v>
      </c>
      <c r="R51" s="899">
        <f t="shared" ref="R51:R80" si="9">M51*Q51*P51/1000</f>
        <v>0</v>
      </c>
      <c r="S51" s="898">
        <f t="shared" ref="S51:S80" si="10">IFERROR((G51-R51)/G51,0)</f>
        <v>0</v>
      </c>
      <c r="T51" s="482">
        <f>IFERROR(LOOKUP(1,0/((成型機資料庫!$F$98:$F$118=J51)*(成型機資料庫!$G$98:$G$118=K51)),成型機資料庫!$I$98:$I$118),0)</f>
        <v>0</v>
      </c>
      <c r="U51" s="483">
        <f>IFERROR(LOOKUP(1,0/((成型機資料庫!$F$98:$F$118=J51)*(成型機資料庫!$G$98:$G$118=K51)),成型機資料庫!$J$98:$J$118),0)</f>
        <v>0</v>
      </c>
      <c r="V51" s="900">
        <f>IFERROR(LOOKUP(1,0/((成型機資料庫!$F$98:$F$118=J51)*(成型機資料庫!$G$98:$G$118=K51)),成型機資料庫!$L$98:$L$118),0)</f>
        <v>0</v>
      </c>
      <c r="W51" s="898">
        <f t="shared" ref="W51:W80" si="11">IFERROR(M51/V51,0)</f>
        <v>0</v>
      </c>
      <c r="X51" s="923">
        <f>IFERROR(T51*U51*60*AA51/Q51,0)</f>
        <v>0</v>
      </c>
      <c r="Y51" s="898">
        <f>IFERROR(M51/X51,0)</f>
        <v>0</v>
      </c>
      <c r="Z51" s="923"/>
      <c r="AA51" s="478">
        <f t="shared" ref="AA51:AA80" si="12">AB51+AC51/60</f>
        <v>0</v>
      </c>
      <c r="AB51" s="438"/>
      <c r="AC51" s="482"/>
      <c r="AD51" s="464"/>
      <c r="AE51" s="438"/>
      <c r="AF51" s="438"/>
    </row>
    <row r="52" spans="1:56" s="433" customFormat="1" ht="15.75">
      <c r="A52" s="434">
        <v>113</v>
      </c>
      <c r="B52" s="581"/>
      <c r="C52" s="581">
        <v>2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ref="N52:N80" si="13">M52*Q52</f>
        <v>0</v>
      </c>
      <c r="O52" s="901">
        <f t="shared" si="8"/>
        <v>0</v>
      </c>
      <c r="P52" s="460"/>
      <c r="Q52" s="438">
        <f>IFERROR(LOOKUP(1,0/((成型機資料庫!$F$98:$F$118=J52)*(成型機資料庫!$G$98:$G$118=K52)),成型機資料庫!$K$98:$K$118),0)</f>
        <v>0</v>
      </c>
      <c r="R52" s="899">
        <f t="shared" si="9"/>
        <v>0</v>
      </c>
      <c r="S52" s="898">
        <f t="shared" si="10"/>
        <v>0</v>
      </c>
      <c r="T52" s="482">
        <f>IFERROR(LOOKUP(1,0/((成型機資料庫!$F$98:$F$118=J52)*(成型機資料庫!$G$98:$G$118=K52)),成型機資料庫!$I$98:$I$118),0)</f>
        <v>0</v>
      </c>
      <c r="U52" s="483">
        <f>IFERROR(LOOKUP(1,0/((成型機資料庫!$F$98:$F$118=J52)*(成型機資料庫!$G$98:$G$118=K52)),成型機資料庫!$J$98:$J$118),0)</f>
        <v>0</v>
      </c>
      <c r="V52" s="900">
        <f>IFERROR(LOOKUP(1,0/((成型機資料庫!$F$98:$F$118=J52)*(成型機資料庫!$G$98:$G$118=K52)),成型機資料庫!$L$98:$L$118),0)</f>
        <v>0</v>
      </c>
      <c r="W52" s="898">
        <f t="shared" si="11"/>
        <v>0</v>
      </c>
      <c r="X52" s="923">
        <f t="shared" ref="X52:X80" si="14">IFERROR(T52*U52*60*AA52/Q52,0)</f>
        <v>0</v>
      </c>
      <c r="Y52" s="898">
        <f t="shared" ref="Y52:Y80" si="15">IFERROR(M52/X52,0)</f>
        <v>0</v>
      </c>
      <c r="Z52" s="923"/>
      <c r="AA52" s="478">
        <f t="shared" si="12"/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3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IFERROR(LOOKUP(1,0/((成型機資料庫!$F$98:$F$118=J53)*(成型機資料庫!$G$98:$G$118=K53)),成型機資料庫!$K$98:$K$118),0)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IFERROR(LOOKUP(1,0/((成型機資料庫!$F$98:$F$118=J53)*(成型機資料庫!$G$98:$G$118=K53)),成型機資料庫!$I$98:$I$118),0)</f>
        <v>0</v>
      </c>
      <c r="U53" s="483">
        <f>IFERROR(LOOKUP(1,0/((成型機資料庫!$F$98:$F$118=J53)*(成型機資料庫!$G$98:$G$118=K53)),成型機資料庫!$J$98:$J$118),0)</f>
        <v>0</v>
      </c>
      <c r="V53" s="900">
        <f>IFERROR(LOOKUP(1,0/((成型機資料庫!$F$98:$F$118=J53)*(成型機資料庫!$G$98:$G$118=K53)),成型機資料庫!$L$98:$L$118),0)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438"/>
      <c r="AE53" s="438"/>
      <c r="AF53" s="438"/>
    </row>
    <row r="54" spans="1:56" s="433" customFormat="1" ht="15.75">
      <c r="A54" s="434">
        <v>113</v>
      </c>
      <c r="B54" s="581"/>
      <c r="C54" s="581">
        <v>4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IFERROR(LOOKUP(1,0/((成型機資料庫!$F$98:$F$118=J54)*(成型機資料庫!$G$98:$G$118=K54)),成型機資料庫!$K$98:$K$118),0)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IFERROR(LOOKUP(1,0/((成型機資料庫!$F$98:$F$118=J54)*(成型機資料庫!$G$98:$G$118=K54)),成型機資料庫!$I$98:$I$118),0)</f>
        <v>0</v>
      </c>
      <c r="U54" s="483">
        <f>IFERROR(LOOKUP(1,0/((成型機資料庫!$F$98:$F$118=J54)*(成型機資料庫!$G$98:$G$118=K54)),成型機資料庫!$J$98:$J$118),0)</f>
        <v>0</v>
      </c>
      <c r="V54" s="900">
        <f>IFERROR(LOOKUP(1,0/((成型機資料庫!$F$98:$F$118=J54)*(成型機資料庫!$G$98:$G$118=K54)),成型機資料庫!$L$98:$L$118),0)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64"/>
      <c r="AF54" s="438"/>
    </row>
    <row r="55" spans="1:56" s="433" customFormat="1" ht="15.75">
      <c r="A55" s="434">
        <v>113</v>
      </c>
      <c r="B55" s="581"/>
      <c r="C55" s="581">
        <v>5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IFERROR(LOOKUP(1,0/((成型機資料庫!$F$98:$F$118=J55)*(成型機資料庫!$G$98:$G$118=K55)),成型機資料庫!$K$98:$K$118),0)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IFERROR(LOOKUP(1,0/((成型機資料庫!$F$98:$F$118=J55)*(成型機資料庫!$G$98:$G$118=K55)),成型機資料庫!$I$98:$I$118),0)</f>
        <v>0</v>
      </c>
      <c r="U55" s="483">
        <f>IFERROR(LOOKUP(1,0/((成型機資料庫!$F$98:$F$118=J55)*(成型機資料庫!$G$98:$G$118=K55)),成型機資料庫!$J$98:$J$118),0)</f>
        <v>0</v>
      </c>
      <c r="V55" s="900">
        <f>IFERROR(LOOKUP(1,0/((成型機資料庫!$F$98:$F$118=J55)*(成型機資料庫!$G$98:$G$118=K55)),成型機資料庫!$L$98:$L$118),0)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38"/>
      <c r="AF55" s="438"/>
    </row>
    <row r="56" spans="1:56" s="433" customFormat="1" ht="15.75">
      <c r="A56" s="434">
        <v>113</v>
      </c>
      <c r="B56" s="581"/>
      <c r="C56" s="581">
        <v>6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IFERROR(LOOKUP(1,0/((成型機資料庫!$F$98:$F$118=J56)*(成型機資料庫!$G$98:$G$118=K56)),成型機資料庫!$K$98:$K$118),0)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IFERROR(LOOKUP(1,0/((成型機資料庫!$F$98:$F$118=J56)*(成型機資料庫!$G$98:$G$118=K56)),成型機資料庫!$I$98:$I$118),0)</f>
        <v>0</v>
      </c>
      <c r="U56" s="483">
        <f>IFERROR(LOOKUP(1,0/((成型機資料庫!$F$98:$F$118=J56)*(成型機資料庫!$G$98:$G$118=K56)),成型機資料庫!$J$98:$J$118),0)</f>
        <v>0</v>
      </c>
      <c r="V56" s="900">
        <f>IFERROR(LOOKUP(1,0/((成型機資料庫!$F$98:$F$118=J56)*(成型機資料庫!$G$98:$G$118=K56)),成型機資料庫!$L$98:$L$118),0)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879"/>
      <c r="AE56" s="438"/>
      <c r="AF56" s="438"/>
    </row>
    <row r="57" spans="1:56" s="433" customFormat="1" ht="15.75">
      <c r="A57" s="434">
        <v>113</v>
      </c>
      <c r="B57" s="581"/>
      <c r="C57" s="581">
        <v>7</v>
      </c>
      <c r="D57" s="581"/>
      <c r="E57" s="581" t="s">
        <v>43</v>
      </c>
      <c r="F57" s="436" t="s">
        <v>44</v>
      </c>
      <c r="G57" s="927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IFERROR(LOOKUP(1,0/((成型機資料庫!$F$98:$F$118=J57)*(成型機資料庫!$G$98:$G$118=K57)),成型機資料庫!$K$98:$K$118),0)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IFERROR(LOOKUP(1,0/((成型機資料庫!$F$98:$F$118=J57)*(成型機資料庫!$G$98:$G$118=K57)),成型機資料庫!$I$98:$I$118),0)</f>
        <v>0</v>
      </c>
      <c r="U57" s="483">
        <f>IFERROR(LOOKUP(1,0/((成型機資料庫!$F$98:$F$118=J57)*(成型機資料庫!$G$98:$G$118=K57)),成型機資料庫!$J$98:$J$118),0)</f>
        <v>0</v>
      </c>
      <c r="V57" s="900">
        <f>IFERROR(LOOKUP(1,0/((成型機資料庫!$F$98:$F$118=J57)*(成型機資料庫!$G$98:$G$118=K57)),成型機資料庫!$L$98:$L$118),0)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64"/>
      <c r="AE57" s="438"/>
      <c r="AF57" s="438"/>
    </row>
    <row r="58" spans="1:56" s="433" customFormat="1" ht="15.75">
      <c r="A58" s="434">
        <v>113</v>
      </c>
      <c r="B58" s="581"/>
      <c r="C58" s="581">
        <v>8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IFERROR(LOOKUP(1,0/((成型機資料庫!$F$98:$F$118=J58)*(成型機資料庫!$G$98:$G$118=K58)),成型機資料庫!$K$98:$K$118),0)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IFERROR(LOOKUP(1,0/((成型機資料庫!$F$98:$F$118=J58)*(成型機資料庫!$G$98:$G$118=K58)),成型機資料庫!$I$98:$I$118),0)</f>
        <v>0</v>
      </c>
      <c r="U58" s="483">
        <f>IFERROR(LOOKUP(1,0/((成型機資料庫!$F$98:$F$118=J58)*(成型機資料庫!$G$98:$G$118=K58)),成型機資料庫!$J$98:$J$118),0)</f>
        <v>0</v>
      </c>
      <c r="V58" s="900">
        <f>IFERROR(LOOKUP(1,0/((成型機資料庫!$F$98:$F$118=J58)*(成型機資料庫!$G$98:$G$118=K58)),成型機資料庫!$L$98:$L$118),0)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9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IFERROR(LOOKUP(1,0/((成型機資料庫!$F$98:$F$118=J59)*(成型機資料庫!$G$98:$G$118=K59)),成型機資料庫!$K$98:$K$118),0)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IFERROR(LOOKUP(1,0/((成型機資料庫!$F$98:$F$118=J59)*(成型機資料庫!$G$98:$G$118=K59)),成型機資料庫!$I$98:$I$118),0)</f>
        <v>0</v>
      </c>
      <c r="U59" s="483">
        <f>IFERROR(LOOKUP(1,0/((成型機資料庫!$F$98:$F$118=J59)*(成型機資料庫!$G$98:$G$118=K59)),成型機資料庫!$J$98:$J$118),0)</f>
        <v>0</v>
      </c>
      <c r="V59" s="900">
        <f>IFERROR(LOOKUP(1,0/((成型機資料庫!$F$98:$F$118=J59)*(成型機資料庫!$G$98:$G$118=K59)),成型機資料庫!$L$98:$L$118),0)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10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IFERROR(LOOKUP(1,0/((成型機資料庫!$F$98:$F$118=J60)*(成型機資料庫!$G$98:$G$118=K60)),成型機資料庫!$K$98:$K$118),0)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IFERROR(LOOKUP(1,0/((成型機資料庫!$F$98:$F$118=J60)*(成型機資料庫!$G$98:$G$118=K60)),成型機資料庫!$I$98:$I$118),0)</f>
        <v>0</v>
      </c>
      <c r="U60" s="483">
        <f>IFERROR(LOOKUP(1,0/((成型機資料庫!$F$98:$F$118=J60)*(成型機資料庫!$G$98:$G$118=K60)),成型機資料庫!$J$98:$J$118),0)</f>
        <v>0</v>
      </c>
      <c r="V60" s="900">
        <f>IFERROR(LOOKUP(1,0/((成型機資料庫!$F$98:$F$118=J60)*(成型機資料庫!$G$98:$G$118=K60)),成型機資料庫!$L$98:$L$118),0)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38"/>
      <c r="AE60" s="438"/>
      <c r="AF60" s="438"/>
    </row>
    <row r="61" spans="1:56" s="433" customFormat="1" ht="15.75">
      <c r="A61" s="434">
        <v>113</v>
      </c>
      <c r="B61" s="581"/>
      <c r="C61" s="581">
        <v>11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IFERROR(LOOKUP(1,0/((成型機資料庫!$F$98:$F$118=J61)*(成型機資料庫!$G$98:$G$118=K61)),成型機資料庫!$K$98:$K$118),0)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IFERROR(LOOKUP(1,0/((成型機資料庫!$F$98:$F$118=J61)*(成型機資料庫!$G$98:$G$118=K61)),成型機資料庫!$I$98:$I$118),0)</f>
        <v>0</v>
      </c>
      <c r="U61" s="483">
        <f>IFERROR(LOOKUP(1,0/((成型機資料庫!$F$98:$F$118=J61)*(成型機資料庫!$G$98:$G$118=K61)),成型機資料庫!$J$98:$J$118),0)</f>
        <v>0</v>
      </c>
      <c r="V61" s="900">
        <f>IFERROR(LOOKUP(1,0/((成型機資料庫!$F$98:$F$118=J61)*(成型機資料庫!$G$98:$G$118=K61)),成型機資料庫!$L$98:$L$118),0)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12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IFERROR(LOOKUP(1,0/((成型機資料庫!$F$98:$F$118=J62)*(成型機資料庫!$G$98:$G$118=K62)),成型機資料庫!$K$98:$K$118),0)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IFERROR(LOOKUP(1,0/((成型機資料庫!$F$98:$F$118=J62)*(成型機資料庫!$G$98:$G$118=K62)),成型機資料庫!$I$98:$I$118),0)</f>
        <v>0</v>
      </c>
      <c r="U62" s="483">
        <f>IFERROR(LOOKUP(1,0/((成型機資料庫!$F$98:$F$118=J62)*(成型機資料庫!$G$98:$G$118=K62)),成型機資料庫!$J$98:$J$118),0)</f>
        <v>0</v>
      </c>
      <c r="V62" s="900">
        <f>IFERROR(LOOKUP(1,0/((成型機資料庫!$F$98:$F$118=J62)*(成型機資料庫!$G$98:$G$118=K62)),成型機資料庫!$L$98:$L$118),0)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38"/>
      <c r="AE62" s="438"/>
      <c r="AF62" s="438"/>
    </row>
    <row r="63" spans="1:56" s="433" customFormat="1" ht="15.75">
      <c r="A63" s="434">
        <v>113</v>
      </c>
      <c r="B63" s="581"/>
      <c r="C63" s="581">
        <v>13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IFERROR(LOOKUP(1,0/((成型機資料庫!$F$98:$F$118=J63)*(成型機資料庫!$G$98:$G$118=K63)),成型機資料庫!$K$98:$K$118),0)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IFERROR(LOOKUP(1,0/((成型機資料庫!$F$98:$F$118=J63)*(成型機資料庫!$G$98:$G$118=K63)),成型機資料庫!$I$98:$I$118),0)</f>
        <v>0</v>
      </c>
      <c r="U63" s="483">
        <f>IFERROR(LOOKUP(1,0/((成型機資料庫!$F$98:$F$118=J63)*(成型機資料庫!$G$98:$G$118=K63)),成型機資料庫!$J$98:$J$118),0)</f>
        <v>0</v>
      </c>
      <c r="V63" s="900">
        <f>IFERROR(LOOKUP(1,0/((成型機資料庫!$F$98:$F$118=J63)*(成型機資料庫!$G$98:$G$118=K63)),成型機資料庫!$L$98:$L$118),0)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56" s="433" customFormat="1" ht="15.75">
      <c r="A64" s="434">
        <v>113</v>
      </c>
      <c r="B64" s="581"/>
      <c r="C64" s="581">
        <v>14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IFERROR(LOOKUP(1,0/((成型機資料庫!$F$98:$F$118=J64)*(成型機資料庫!$G$98:$G$118=K64)),成型機資料庫!$K$98:$K$118),0)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IFERROR(LOOKUP(1,0/((成型機資料庫!$F$98:$F$118=J64)*(成型機資料庫!$G$98:$G$118=K64)),成型機資料庫!$I$98:$I$118),0)</f>
        <v>0</v>
      </c>
      <c r="U64" s="483">
        <f>IFERROR(LOOKUP(1,0/((成型機資料庫!$F$98:$F$118=J64)*(成型機資料庫!$G$98:$G$118=K64)),成型機資料庫!$J$98:$J$118),0)</f>
        <v>0</v>
      </c>
      <c r="V64" s="900">
        <f>IFERROR(LOOKUP(1,0/((成型機資料庫!$F$98:$F$118=J64)*(成型機資料庫!$G$98:$G$118=K64)),成型機資料庫!$L$98:$L$118),0)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15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IFERROR(LOOKUP(1,0/((成型機資料庫!$F$98:$F$118=J65)*(成型機資料庫!$G$98:$G$118=K65)),成型機資料庫!$K$98:$K$118),0)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IFERROR(LOOKUP(1,0/((成型機資料庫!$F$98:$F$118=J65)*(成型機資料庫!$G$98:$G$118=K65)),成型機資料庫!$I$98:$I$118),0)</f>
        <v>0</v>
      </c>
      <c r="U65" s="483">
        <f>IFERROR(LOOKUP(1,0/((成型機資料庫!$F$98:$F$118=J65)*(成型機資料庫!$G$98:$G$118=K65)),成型機資料庫!$J$98:$J$118),0)</f>
        <v>0</v>
      </c>
      <c r="V65" s="900">
        <f>IFERROR(LOOKUP(1,0/((成型機資料庫!$F$98:$F$118=J65)*(成型機資料庫!$G$98:$G$118=K65)),成型機資料庫!$L$98:$L$118),0)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16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IFERROR(LOOKUP(1,0/((成型機資料庫!$F$98:$F$118=J66)*(成型機資料庫!$G$98:$G$118=K66)),成型機資料庫!$K$98:$K$118),0)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IFERROR(LOOKUP(1,0/((成型機資料庫!$F$98:$F$118=J66)*(成型機資料庫!$G$98:$G$118=K66)),成型機資料庫!$I$98:$I$118),0)</f>
        <v>0</v>
      </c>
      <c r="U66" s="483">
        <f>IFERROR(LOOKUP(1,0/((成型機資料庫!$F$98:$F$118=J66)*(成型機資料庫!$G$98:$G$118=K66)),成型機資料庫!$J$98:$J$118),0)</f>
        <v>0</v>
      </c>
      <c r="V66" s="900">
        <f>IFERROR(LOOKUP(1,0/((成型機資料庫!$F$98:$F$118=J66)*(成型機資料庫!$G$98:$G$118=K66)),成型機資料庫!$L$98:$L$118),0)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64"/>
      <c r="AF66" s="438"/>
    </row>
    <row r="67" spans="1:32" s="433" customFormat="1" ht="15.75">
      <c r="A67" s="434">
        <v>113</v>
      </c>
      <c r="B67" s="581"/>
      <c r="C67" s="581">
        <v>17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IFERROR(LOOKUP(1,0/((成型機資料庫!$F$98:$F$118=J67)*(成型機資料庫!$G$98:$G$118=K67)),成型機資料庫!$K$98:$K$118),0)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IFERROR(LOOKUP(1,0/((成型機資料庫!$F$98:$F$118=J67)*(成型機資料庫!$G$98:$G$118=K67)),成型機資料庫!$I$98:$I$118),0)</f>
        <v>0</v>
      </c>
      <c r="U67" s="483">
        <f>IFERROR(LOOKUP(1,0/((成型機資料庫!$F$98:$F$118=J67)*(成型機資料庫!$G$98:$G$118=K67)),成型機資料庫!$J$98:$J$118),0)</f>
        <v>0</v>
      </c>
      <c r="V67" s="900">
        <f>IFERROR(LOOKUP(1,0/((成型機資料庫!$F$98:$F$118=J67)*(成型機資料庫!$G$98:$G$118=K67)),成型機資料庫!$L$98:$L$118),0)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18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IFERROR(LOOKUP(1,0/((成型機資料庫!$F$98:$F$118=J68)*(成型機資料庫!$G$98:$G$118=K68)),成型機資料庫!$K$98:$K$118),0)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IFERROR(LOOKUP(1,0/((成型機資料庫!$F$98:$F$118=J68)*(成型機資料庫!$G$98:$G$118=K68)),成型機資料庫!$I$98:$I$118),0)</f>
        <v>0</v>
      </c>
      <c r="U68" s="483">
        <f>IFERROR(LOOKUP(1,0/((成型機資料庫!$F$98:$F$118=J68)*(成型機資料庫!$G$98:$G$118=K68)),成型機資料庫!$J$98:$J$118),0)</f>
        <v>0</v>
      </c>
      <c r="V68" s="900">
        <f>IFERROR(LOOKUP(1,0/((成型機資料庫!$F$98:$F$118=J68)*(成型機資料庫!$G$98:$G$118=K68)),成型機資料庫!$L$98:$L$118),0)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19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IFERROR(LOOKUP(1,0/((成型機資料庫!$F$98:$F$118=J69)*(成型機資料庫!$G$98:$G$118=K69)),成型機資料庫!$K$98:$K$118),0)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IFERROR(LOOKUP(1,0/((成型機資料庫!$F$98:$F$118=J69)*(成型機資料庫!$G$98:$G$118=K69)),成型機資料庫!$I$98:$I$118),0)</f>
        <v>0</v>
      </c>
      <c r="U69" s="483">
        <f>IFERROR(LOOKUP(1,0/((成型機資料庫!$F$98:$F$118=J69)*(成型機資料庫!$G$98:$G$118=K69)),成型機資料庫!$J$98:$J$118),0)</f>
        <v>0</v>
      </c>
      <c r="V69" s="900">
        <f>IFERROR(LOOKUP(1,0/((成型機資料庫!$F$98:$F$118=J69)*(成型機資料庫!$G$98:$G$118=K69)),成型機資料庫!$L$98:$L$118),0)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20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IFERROR(LOOKUP(1,0/((成型機資料庫!$F$98:$F$118=J70)*(成型機資料庫!$G$98:$G$118=K70)),成型機資料庫!$K$98:$K$118),0)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IFERROR(LOOKUP(1,0/((成型機資料庫!$F$98:$F$118=J70)*(成型機資料庫!$G$98:$G$118=K70)),成型機資料庫!$I$98:$I$118),0)</f>
        <v>0</v>
      </c>
      <c r="U70" s="483">
        <f>IFERROR(LOOKUP(1,0/((成型機資料庫!$F$98:$F$118=J70)*(成型機資料庫!$G$98:$G$118=K70)),成型機資料庫!$J$98:$J$118),0)</f>
        <v>0</v>
      </c>
      <c r="V70" s="900">
        <f>IFERROR(LOOKUP(1,0/((成型機資料庫!$F$98:$F$118=J70)*(成型機資料庫!$G$98:$G$118=K70)),成型機資料庫!$L$98:$L$118),0)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21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IFERROR(LOOKUP(1,0/((成型機資料庫!$F$98:$F$118=J71)*(成型機資料庫!$G$98:$G$118=K71)),成型機資料庫!$K$98:$K$118),0)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IFERROR(LOOKUP(1,0/((成型機資料庫!$F$98:$F$118=J71)*(成型機資料庫!$G$98:$G$118=K71)),成型機資料庫!$I$98:$I$118),0)</f>
        <v>0</v>
      </c>
      <c r="U71" s="483">
        <f>IFERROR(LOOKUP(1,0/((成型機資料庫!$F$98:$F$118=J71)*(成型機資料庫!$G$98:$G$118=K71)),成型機資料庫!$J$98:$J$118),0)</f>
        <v>0</v>
      </c>
      <c r="V71" s="900">
        <f>IFERROR(LOOKUP(1,0/((成型機資料庫!$F$98:$F$118=J71)*(成型機資料庫!$G$98:$G$118=K71)),成型機資料庫!$L$98:$L$118),0)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22</v>
      </c>
      <c r="D72" s="581"/>
      <c r="E72" s="581" t="s">
        <v>43</v>
      </c>
      <c r="F72" s="436" t="s">
        <v>44</v>
      </c>
      <c r="G72" s="927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IFERROR(LOOKUP(1,0/((成型機資料庫!$F$98:$F$118=J72)*(成型機資料庫!$G$98:$G$118=K72)),成型機資料庫!$K$98:$K$118),0)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IFERROR(LOOKUP(1,0/((成型機資料庫!$F$98:$F$118=J72)*(成型機資料庫!$G$98:$G$118=K72)),成型機資料庫!$I$98:$I$118),0)</f>
        <v>0</v>
      </c>
      <c r="U72" s="483">
        <f>IFERROR(LOOKUP(1,0/((成型機資料庫!$F$98:$F$118=J72)*(成型機資料庫!$G$98:$G$118=K72)),成型機資料庫!$J$98:$J$118),0)</f>
        <v>0</v>
      </c>
      <c r="V72" s="900">
        <f>IFERROR(LOOKUP(1,0/((成型機資料庫!$F$98:$F$118=J72)*(成型機資料庫!$G$98:$G$118=K72)),成型機資料庫!$L$98:$L$118),0)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23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IFERROR(LOOKUP(1,0/((成型機資料庫!$F$98:$F$118=J73)*(成型機資料庫!$G$98:$G$118=K73)),成型機資料庫!$K$98:$K$118),0)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IFERROR(LOOKUP(1,0/((成型機資料庫!$F$98:$F$118=J73)*(成型機資料庫!$G$98:$G$118=K73)),成型機資料庫!$I$98:$I$118),0)</f>
        <v>0</v>
      </c>
      <c r="U73" s="483">
        <f>IFERROR(LOOKUP(1,0/((成型機資料庫!$F$98:$F$118=J73)*(成型機資料庫!$G$98:$G$118=K73)),成型機資料庫!$J$98:$J$118),0)</f>
        <v>0</v>
      </c>
      <c r="V73" s="900">
        <f>IFERROR(LOOKUP(1,0/((成型機資料庫!$F$98:$F$118=J73)*(成型機資料庫!$G$98:$G$118=K73)),成型機資料庫!$L$98:$L$118),0)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64"/>
      <c r="AF73" s="438"/>
    </row>
    <row r="74" spans="1:32" s="433" customFormat="1" ht="15.75">
      <c r="A74" s="434">
        <v>113</v>
      </c>
      <c r="B74" s="434"/>
      <c r="C74" s="434">
        <v>24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IFERROR(LOOKUP(1,0/((成型機資料庫!$F$98:$F$118=J74)*(成型機資料庫!$G$98:$G$118=K74)),成型機資料庫!$K$98:$K$118),0)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IFERROR(LOOKUP(1,0/((成型機資料庫!$F$98:$F$118=J74)*(成型機資料庫!$G$98:$G$118=K74)),成型機資料庫!$I$98:$I$118),0)</f>
        <v>0</v>
      </c>
      <c r="U74" s="483">
        <f>IFERROR(LOOKUP(1,0/((成型機資料庫!$F$98:$F$118=J74)*(成型機資料庫!$G$98:$G$118=K74)),成型機資料庫!$J$98:$J$118),0)</f>
        <v>0</v>
      </c>
      <c r="V74" s="900">
        <f>IFERROR(LOOKUP(1,0/((成型機資料庫!$F$98:$F$118=J74)*(成型機資料庫!$G$98:$G$118=K74)),成型機資料庫!$L$98:$L$118),0)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25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IFERROR(LOOKUP(1,0/((成型機資料庫!$F$98:$F$118=J75)*(成型機資料庫!$G$98:$G$118=K75)),成型機資料庫!$K$98:$K$118),0)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IFERROR(LOOKUP(1,0/((成型機資料庫!$F$98:$F$118=J75)*(成型機資料庫!$G$98:$G$118=K75)),成型機資料庫!$I$98:$I$118),0)</f>
        <v>0</v>
      </c>
      <c r="U75" s="483">
        <f>IFERROR(LOOKUP(1,0/((成型機資料庫!$F$98:$F$118=J75)*(成型機資料庫!$G$98:$G$118=K75)),成型機資料庫!$J$98:$J$118),0)</f>
        <v>0</v>
      </c>
      <c r="V75" s="900">
        <f>IFERROR(LOOKUP(1,0/((成型機資料庫!$F$98:$F$118=J75)*(成型機資料庫!$G$98:$G$118=K75)),成型機資料庫!$L$98:$L$118),0)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64"/>
      <c r="AF75" s="438"/>
    </row>
    <row r="76" spans="1:32" s="433" customFormat="1" ht="15.75">
      <c r="A76" s="434">
        <v>113</v>
      </c>
      <c r="B76" s="434"/>
      <c r="C76" s="434">
        <v>26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IFERROR(LOOKUP(1,0/((成型機資料庫!$F$98:$F$118=J76)*(成型機資料庫!$G$98:$G$118=K76)),成型機資料庫!$K$98:$K$118),0)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IFERROR(LOOKUP(1,0/((成型機資料庫!$F$98:$F$118=J76)*(成型機資料庫!$G$98:$G$118=K76)),成型機資料庫!$I$98:$I$118),0)</f>
        <v>0</v>
      </c>
      <c r="U76" s="483">
        <f>IFERROR(LOOKUP(1,0/((成型機資料庫!$F$98:$F$118=J76)*(成型機資料庫!$G$98:$G$118=K76)),成型機資料庫!$J$98:$J$118),0)</f>
        <v>0</v>
      </c>
      <c r="V76" s="900">
        <f>IFERROR(LOOKUP(1,0/((成型機資料庫!$F$98:$F$118=J76)*(成型機資料庫!$G$98:$G$118=K76)),成型機資料庫!$L$98:$L$118),0)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38"/>
      <c r="AE76" s="464"/>
      <c r="AF76" s="438"/>
    </row>
    <row r="77" spans="1:32" s="433" customFormat="1" ht="15.75">
      <c r="A77" s="434">
        <v>113</v>
      </c>
      <c r="B77" s="434"/>
      <c r="C77" s="434">
        <v>27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IFERROR(LOOKUP(1,0/((成型機資料庫!$F$98:$F$118=J77)*(成型機資料庫!$G$98:$G$118=K77)),成型機資料庫!$K$98:$K$118),0)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IFERROR(LOOKUP(1,0/((成型機資料庫!$F$98:$F$118=J77)*(成型機資料庫!$G$98:$G$118=K77)),成型機資料庫!$I$98:$I$118),0)</f>
        <v>0</v>
      </c>
      <c r="U77" s="483">
        <f>IFERROR(LOOKUP(1,0/((成型機資料庫!$F$98:$F$118=J77)*(成型機資料庫!$G$98:$G$118=K77)),成型機資料庫!$J$98:$J$118),0)</f>
        <v>0</v>
      </c>
      <c r="V77" s="900">
        <f>IFERROR(LOOKUP(1,0/((成型機資料庫!$F$98:$F$118=J77)*(成型機資料庫!$G$98:$G$118=K77)),成型機資料庫!$L$98:$L$118),0)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581"/>
      <c r="C78" s="581">
        <v>28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IFERROR(LOOKUP(1,0/((成型機資料庫!$F$98:$F$118=J78)*(成型機資料庫!$G$98:$G$118=K78)),成型機資料庫!$K$98:$K$118),0)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IFERROR(LOOKUP(1,0/((成型機資料庫!$F$98:$F$118=J78)*(成型機資料庫!$G$98:$G$118=K78)),成型機資料庫!$I$98:$I$118),0)</f>
        <v>0</v>
      </c>
      <c r="U78" s="483">
        <f>IFERROR(LOOKUP(1,0/((成型機資料庫!$F$98:$F$118=J78)*(成型機資料庫!$G$98:$G$118=K78)),成型機資料庫!$J$98:$J$118),0)</f>
        <v>0</v>
      </c>
      <c r="V78" s="900">
        <f>IFERROR(LOOKUP(1,0/((成型機資料庫!$F$98:$F$118=J78)*(成型機資料庫!$G$98:$G$118=K78)),成型機資料庫!$L$98:$L$118),0)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29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IFERROR(LOOKUP(1,0/((成型機資料庫!$F$98:$F$118=J79)*(成型機資料庫!$G$98:$G$118=K79)),成型機資料庫!$K$98:$K$118),0)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IFERROR(LOOKUP(1,0/((成型機資料庫!$F$98:$F$118=J79)*(成型機資料庫!$G$98:$G$118=K79)),成型機資料庫!$I$98:$I$118),0)</f>
        <v>0</v>
      </c>
      <c r="U79" s="483">
        <f>IFERROR(LOOKUP(1,0/((成型機資料庫!$F$98:$F$118=J79)*(成型機資料庫!$G$98:$G$118=K79)),成型機資料庫!$J$98:$J$118),0)</f>
        <v>0</v>
      </c>
      <c r="V79" s="900">
        <f>IFERROR(LOOKUP(1,0/((成型機資料庫!$F$98:$F$118=J79)*(成型機資料庫!$G$98:$G$118=K79)),成型機資料庫!$L$98:$L$118),0)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64"/>
      <c r="AF79" s="438"/>
    </row>
    <row r="80" spans="1:32" s="433" customFormat="1" ht="15.75">
      <c r="A80" s="434">
        <v>113</v>
      </c>
      <c r="B80" s="581"/>
      <c r="C80" s="581">
        <v>30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IFERROR(LOOKUP(1,0/((成型機資料庫!$F$98:$F$118=J80)*(成型機資料庫!$G$98:$G$118=K80)),成型機資料庫!$K$98:$K$118),0)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IFERROR(LOOKUP(1,0/((成型機資料庫!$F$98:$F$118=J80)*(成型機資料庫!$G$98:$G$118=K80)),成型機資料庫!$I$98:$I$118),0)</f>
        <v>0</v>
      </c>
      <c r="U80" s="483">
        <f>IFERROR(LOOKUP(1,0/((成型機資料庫!$F$98:$F$118=J80)*(成型機資料庫!$G$98:$G$118=K80)),成型機資料庫!$J$98:$J$118),0)</f>
        <v>0</v>
      </c>
      <c r="V80" s="900">
        <f>IFERROR(LOOKUP(1,0/((成型機資料庫!$F$98:$F$118=J80)*(成型機資料庫!$G$98:$G$118=K80)),成型機資料庫!$L$98:$L$118),0)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38"/>
      <c r="AF80" s="438"/>
    </row>
    <row r="81" spans="1:56" s="433" customFormat="1" ht="15.75">
      <c r="A81" s="446"/>
      <c r="B81" s="456"/>
      <c r="C81" s="456"/>
      <c r="D81" s="456"/>
      <c r="E81" s="456"/>
      <c r="F81" s="448"/>
      <c r="G81" s="951"/>
      <c r="H81" s="452"/>
      <c r="I81" s="430"/>
      <c r="J81" s="469"/>
      <c r="K81" s="469"/>
      <c r="L81" s="452"/>
      <c r="M81" s="452"/>
      <c r="N81" s="945"/>
      <c r="O81" s="946"/>
      <c r="P81" s="868"/>
      <c r="Q81" s="467"/>
      <c r="R81" s="948"/>
      <c r="S81" s="936"/>
      <c r="T81" s="936"/>
      <c r="U81" s="936"/>
      <c r="V81" s="945"/>
      <c r="W81" s="936"/>
      <c r="X81" s="947"/>
      <c r="Y81" s="936"/>
      <c r="Z81" s="947"/>
      <c r="AA81" s="488"/>
      <c r="AB81" s="439"/>
      <c r="AC81" s="471"/>
      <c r="AD81" s="452"/>
      <c r="AE81" s="439"/>
      <c r="AF81" s="439"/>
    </row>
    <row r="82" spans="1:56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56" s="433" customFormat="1" thickBot="1">
      <c r="A83" s="446"/>
      <c r="B83" s="446"/>
      <c r="C83" s="446"/>
      <c r="D83" s="446"/>
      <c r="E83" s="446"/>
      <c r="F83" s="448"/>
      <c r="G83" s="448"/>
      <c r="H83" s="430"/>
      <c r="I83" s="430"/>
      <c r="J83" s="430"/>
      <c r="K83" s="430"/>
      <c r="L83" s="439"/>
      <c r="M83" s="452"/>
      <c r="N83" s="452"/>
      <c r="O83" s="457"/>
      <c r="P83" s="466"/>
      <c r="Q83" s="467"/>
      <c r="R83" s="486"/>
      <c r="S83" s="457"/>
      <c r="T83" s="457"/>
      <c r="U83" s="457"/>
      <c r="V83" s="458"/>
      <c r="W83" s="487">
        <f>SUM(W51:W80)</f>
        <v>0</v>
      </c>
      <c r="X83" s="487"/>
      <c r="Y83" s="487"/>
      <c r="Z83" s="487"/>
      <c r="AA83" s="488"/>
      <c r="AB83" s="489"/>
      <c r="AC83" s="489"/>
      <c r="AD83" s="469" t="s">
        <v>46</v>
      </c>
      <c r="AE83" s="439"/>
      <c r="AF83" s="439"/>
    </row>
    <row r="84" spans="1:56" s="469" customFormat="1" ht="31.5">
      <c r="A84" s="479"/>
      <c r="B84" s="479"/>
      <c r="C84" s="479"/>
      <c r="D84" s="479"/>
      <c r="E84" s="479"/>
      <c r="F84" s="452"/>
      <c r="G84" s="524" t="s">
        <v>503</v>
      </c>
      <c r="H84" s="517"/>
      <c r="I84" s="518"/>
      <c r="L84" s="1842" t="s">
        <v>1349</v>
      </c>
      <c r="M84" s="525" t="s">
        <v>1294</v>
      </c>
      <c r="N84" s="525" t="s">
        <v>1295</v>
      </c>
      <c r="O84" s="526" t="s">
        <v>458</v>
      </c>
      <c r="P84" s="520"/>
      <c r="Q84" s="521"/>
      <c r="R84" s="524" t="s">
        <v>504</v>
      </c>
      <c r="S84" s="524" t="s">
        <v>455</v>
      </c>
      <c r="T84" s="521"/>
      <c r="U84" s="521"/>
      <c r="V84" s="524" t="s">
        <v>1293</v>
      </c>
      <c r="W84" s="524" t="s">
        <v>459</v>
      </c>
      <c r="X84" s="521"/>
      <c r="Y84" s="524" t="s">
        <v>1345</v>
      </c>
      <c r="Z84" s="524" t="s">
        <v>1350</v>
      </c>
      <c r="AA84" s="524" t="s">
        <v>1351</v>
      </c>
      <c r="AB84" s="524" t="s">
        <v>1353</v>
      </c>
      <c r="AC84" s="524" t="s">
        <v>1352</v>
      </c>
      <c r="AD84" s="469" t="s">
        <v>253</v>
      </c>
      <c r="AE84" s="452"/>
      <c r="AF84" s="452"/>
    </row>
    <row r="85" spans="1:56" thickBot="1">
      <c r="G85" s="522">
        <f>SUM(G51:G80)</f>
        <v>0</v>
      </c>
      <c r="I85" s="431"/>
      <c r="J85" s="518"/>
      <c r="K85" s="518"/>
      <c r="L85" s="1843"/>
      <c r="M85" s="522">
        <f>SUM(M51:M80)</f>
        <v>0</v>
      </c>
      <c r="N85" s="522">
        <f>SUM(N51:N80)</f>
        <v>0</v>
      </c>
      <c r="O85" s="902">
        <f>SUM(O51:O80)</f>
        <v>0</v>
      </c>
      <c r="P85" s="470"/>
      <c r="R85" s="924">
        <f>SUM(R51:R80)</f>
        <v>0</v>
      </c>
      <c r="S85" s="897" t="e">
        <f>(G85-R85)/G85</f>
        <v>#DIV/0!</v>
      </c>
      <c r="T85" s="446"/>
      <c r="U85" s="446"/>
      <c r="V85" s="686" t="e">
        <f>N85/W85</f>
        <v>#DIV/0!</v>
      </c>
      <c r="W85" s="516" t="e">
        <f>W83/Y85</f>
        <v>#DIV/0!</v>
      </c>
      <c r="X85" s="446"/>
      <c r="Y85" s="516"/>
      <c r="Z85" s="958">
        <f>SUM(Z51:Z80)</f>
        <v>0</v>
      </c>
      <c r="AA85" s="516">
        <f>SUM(AA51:AA80)</f>
        <v>0</v>
      </c>
      <c r="AB85" s="516">
        <f>Z85-AA85</f>
        <v>0</v>
      </c>
      <c r="AC85" s="896" t="e">
        <f>AA85/Z85</f>
        <v>#DIV/0!</v>
      </c>
    </row>
    <row r="86" spans="1:56" s="455" customFormat="1">
      <c r="A86" s="446"/>
      <c r="B86" s="446"/>
      <c r="C86" s="446"/>
      <c r="D86" s="446"/>
      <c r="E86" s="446"/>
      <c r="F86" s="433"/>
      <c r="G86" s="454"/>
      <c r="H86" s="449"/>
      <c r="I86" s="450"/>
      <c r="J86" s="450"/>
      <c r="K86" s="450"/>
      <c r="L86" s="446"/>
      <c r="M86" s="446"/>
      <c r="N86" s="446"/>
      <c r="O86" s="472"/>
      <c r="Q86" s="446"/>
      <c r="R86" s="441"/>
      <c r="S86" s="440"/>
      <c r="T86" s="440"/>
      <c r="U86" s="440"/>
      <c r="V86" s="456"/>
      <c r="W86"/>
      <c r="X86"/>
      <c r="Y86"/>
      <c r="Z86"/>
      <c r="AA86" s="445"/>
      <c r="AB86" s="432"/>
      <c r="AC86" s="432"/>
      <c r="AD86" s="451"/>
      <c r="AE86" s="433"/>
      <c r="AF86" s="433"/>
      <c r="AG86" s="446"/>
      <c r="AH86" s="446"/>
      <c r="AI86" s="446"/>
      <c r="AJ86" s="446"/>
      <c r="AK86" s="446"/>
      <c r="AL86" s="446"/>
      <c r="AM86" s="446"/>
      <c r="AN86" s="446"/>
      <c r="AO86" s="446"/>
      <c r="AP86" s="446"/>
      <c r="AQ86" s="446"/>
      <c r="AR86" s="446"/>
      <c r="AS86" s="446"/>
      <c r="AT86" s="446"/>
      <c r="AU86" s="446"/>
      <c r="AV86" s="446"/>
      <c r="AW86" s="446"/>
      <c r="AX86" s="446"/>
      <c r="AY86" s="446"/>
      <c r="AZ86" s="446"/>
      <c r="BA86" s="446"/>
      <c r="BB86" s="446"/>
      <c r="BC86" s="446"/>
      <c r="BD86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49:AF50"/>
    <mergeCell ref="L84:L85"/>
    <mergeCell ref="X49:X50"/>
    <mergeCell ref="Y49:Y50"/>
    <mergeCell ref="Z49:Z50"/>
    <mergeCell ref="AA49:AA50"/>
    <mergeCell ref="AB49:AC49"/>
    <mergeCell ref="AD49:AD50"/>
    <mergeCell ref="R49:R50"/>
    <mergeCell ref="S49:S50"/>
    <mergeCell ref="T49:T50"/>
    <mergeCell ref="U49:U50"/>
    <mergeCell ref="V49:V50"/>
    <mergeCell ref="W49:W50"/>
    <mergeCell ref="L49:L50"/>
    <mergeCell ref="P49:P50"/>
    <mergeCell ref="AB2:AC2"/>
    <mergeCell ref="AD2:AD3"/>
    <mergeCell ref="AE2:AE3"/>
    <mergeCell ref="M49:M50"/>
    <mergeCell ref="N49:N50"/>
    <mergeCell ref="O49:O50"/>
    <mergeCell ref="Q49:Q50"/>
    <mergeCell ref="AE49:AE50"/>
    <mergeCell ref="AF2:AF3"/>
    <mergeCell ref="L45:L46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9:A50"/>
    <mergeCell ref="B49:B50"/>
    <mergeCell ref="C49:C50"/>
    <mergeCell ref="D49:D50"/>
    <mergeCell ref="E49:E50"/>
    <mergeCell ref="K49:K50"/>
    <mergeCell ref="F49:F50"/>
    <mergeCell ref="G49:G50"/>
    <mergeCell ref="H49:H50"/>
    <mergeCell ref="I49:I50"/>
    <mergeCell ref="J49:J50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8">
    <cfRule type="cellIs" dxfId="698" priority="3" stopIfTrue="1" operator="equal">
      <formula>"未開機"</formula>
    </cfRule>
  </conditionalFormatting>
  <conditionalFormatting sqref="R51:U82">
    <cfRule type="expression" dxfId="697" priority="1" stopIfTrue="1">
      <formula>R51=0</formula>
    </cfRule>
  </conditionalFormatting>
  <conditionalFormatting sqref="W12:W43">
    <cfRule type="cellIs" dxfId="696" priority="34" stopIfTrue="1" operator="between">
      <formula>0.851</formula>
      <formula>1</formula>
    </cfRule>
    <cfRule type="cellIs" dxfId="695" priority="33" stopIfTrue="1" operator="lessThan">
      <formula>0.7</formula>
    </cfRule>
    <cfRule type="expression" dxfId="694" priority="32" stopIfTrue="1">
      <formula>W12=0</formula>
    </cfRule>
    <cfRule type="expression" dxfId="693" priority="36" stopIfTrue="1">
      <formula>W12=0</formula>
    </cfRule>
    <cfRule type="cellIs" dxfId="692" priority="35" stopIfTrue="1" operator="between">
      <formula>0.7</formula>
      <formula>0.85</formula>
    </cfRule>
  </conditionalFormatting>
  <conditionalFormatting sqref="W51:W82">
    <cfRule type="expression" dxfId="691" priority="15" stopIfTrue="1">
      <formula>W51=0</formula>
    </cfRule>
    <cfRule type="cellIs" dxfId="690" priority="16" stopIfTrue="1" operator="lessThan">
      <formula>0.7</formula>
    </cfRule>
    <cfRule type="cellIs" dxfId="689" priority="17" stopIfTrue="1" operator="between">
      <formula>0.851</formula>
      <formula>1</formula>
    </cfRule>
    <cfRule type="cellIs" dxfId="688" priority="18" stopIfTrue="1" operator="between">
      <formula>0.7</formula>
      <formula>0.85</formula>
    </cfRule>
    <cfRule type="expression" dxfId="687" priority="19" stopIfTrue="1">
      <formula>W51=0</formula>
    </cfRule>
  </conditionalFormatting>
  <conditionalFormatting sqref="W4:Y10 S4:U4 S5:S10 T5:U41 R12:S41 Z12:Z43 R42:U43">
    <cfRule type="expression" dxfId="686" priority="40" stopIfTrue="1">
      <formula>R4=0</formula>
    </cfRule>
  </conditionalFormatting>
  <conditionalFormatting sqref="W4:Y10">
    <cfRule type="cellIs" dxfId="685" priority="37" stopIfTrue="1" operator="lessThan">
      <formula>0.7</formula>
    </cfRule>
    <cfRule type="cellIs" dxfId="684" priority="38" stopIfTrue="1" operator="between">
      <formula>0.851</formula>
      <formula>1</formula>
    </cfRule>
    <cfRule type="cellIs" dxfId="683" priority="39" stopIfTrue="1" operator="between">
      <formula>0.7</formula>
      <formula>0.85</formula>
    </cfRule>
  </conditionalFormatting>
  <conditionalFormatting sqref="X13:X43">
    <cfRule type="cellIs" dxfId="682" priority="22" stopIfTrue="1" operator="lessThan">
      <formula>0.7</formula>
    </cfRule>
    <cfRule type="cellIs" dxfId="681" priority="23" stopIfTrue="1" operator="between">
      <formula>0.851</formula>
      <formula>1</formula>
    </cfRule>
    <cfRule type="cellIs" dxfId="680" priority="24" stopIfTrue="1" operator="between">
      <formula>0.7</formula>
      <formula>0.85</formula>
    </cfRule>
    <cfRule type="expression" dxfId="679" priority="25" stopIfTrue="1">
      <formula>X13=0</formula>
    </cfRule>
    <cfRule type="expression" dxfId="678" priority="21" stopIfTrue="1">
      <formula>X13=0</formula>
    </cfRule>
  </conditionalFormatting>
  <conditionalFormatting sqref="X52:X82">
    <cfRule type="expression" dxfId="677" priority="4" stopIfTrue="1">
      <formula>X52=0</formula>
    </cfRule>
    <cfRule type="cellIs" dxfId="676" priority="5" stopIfTrue="1" operator="lessThan">
      <formula>0.7</formula>
    </cfRule>
    <cfRule type="cellIs" dxfId="675" priority="6" stopIfTrue="1" operator="between">
      <formula>0.851</formula>
      <formula>1</formula>
    </cfRule>
    <cfRule type="cellIs" dxfId="674" priority="7" stopIfTrue="1" operator="between">
      <formula>0.7</formula>
      <formula>0.85</formula>
    </cfRule>
    <cfRule type="expression" dxfId="673" priority="8" stopIfTrue="1">
      <formula>X52=0</formula>
    </cfRule>
  </conditionalFormatting>
  <conditionalFormatting sqref="X12:Y12 Y13:Y43">
    <cfRule type="expression" dxfId="672" priority="27" stopIfTrue="1">
      <formula>X12=0</formula>
    </cfRule>
    <cfRule type="cellIs" dxfId="671" priority="28" stopIfTrue="1" operator="lessThan">
      <formula>0.7</formula>
    </cfRule>
    <cfRule type="cellIs" dxfId="670" priority="29" stopIfTrue="1" operator="between">
      <formula>0.851</formula>
      <formula>1</formula>
    </cfRule>
    <cfRule type="cellIs" dxfId="669" priority="30" stopIfTrue="1" operator="between">
      <formula>0.7</formula>
      <formula>0.85</formula>
    </cfRule>
    <cfRule type="expression" dxfId="668" priority="31" stopIfTrue="1">
      <formula>X12=0</formula>
    </cfRule>
  </conditionalFormatting>
  <conditionalFormatting sqref="X51:Y51 Y52:Y82">
    <cfRule type="expression" dxfId="667" priority="10" stopIfTrue="1">
      <formula>X51=0</formula>
    </cfRule>
    <cfRule type="expression" dxfId="666" priority="14" stopIfTrue="1">
      <formula>X51=0</formula>
    </cfRule>
    <cfRule type="cellIs" dxfId="665" priority="13" stopIfTrue="1" operator="between">
      <formula>0.7</formula>
      <formula>0.85</formula>
    </cfRule>
    <cfRule type="cellIs" dxfId="664" priority="12" stopIfTrue="1" operator="between">
      <formula>0.851</formula>
      <formula>1</formula>
    </cfRule>
    <cfRule type="cellIs" dxfId="663" priority="11" stopIfTrue="1" operator="lessThan">
      <formula>0.7</formula>
    </cfRule>
  </conditionalFormatting>
  <conditionalFormatting sqref="Y12:Y43">
    <cfRule type="cellIs" dxfId="662" priority="26" stopIfTrue="1" operator="greaterThan">
      <formula>1</formula>
    </cfRule>
  </conditionalFormatting>
  <conditionalFormatting sqref="Y51:Y82">
    <cfRule type="cellIs" dxfId="661" priority="9" stopIfTrue="1" operator="greaterThan">
      <formula>1</formula>
    </cfRule>
  </conditionalFormatting>
  <conditionalFormatting sqref="Z51:Z82">
    <cfRule type="expression" dxfId="660" priority="20" stopIfTrue="1">
      <formula>Z51=0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971AC8B2-8410-4B9D-9B96-EF2D3BC04A23}">
          <x14:formula1>
            <xm:f>規格清單!$F$22:$F$28</xm:f>
          </x14:formula1>
          <xm:sqref>J51:J80 J4:J41</xm:sqref>
        </x14:dataValidation>
        <x14:dataValidation type="list" allowBlank="1" showInputMessage="1" showErrorMessage="1" xr:uid="{E9DA719F-5D79-4FD5-80C2-D16DDAF0C226}">
          <x14:formula1>
            <xm:f>成型機資料庫!$A$9:$A$11</xm:f>
          </x14:formula1>
          <xm:sqref>K4:K41 K51:K80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45750-7EAC-415C-9BA5-EEF02A91908C}">
  <dimension ref="A1:BD86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448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774</v>
      </c>
      <c r="I4" s="429" t="s">
        <v>471</v>
      </c>
      <c r="J4" s="429" t="s">
        <v>1465</v>
      </c>
      <c r="K4" s="429" t="s">
        <v>1301</v>
      </c>
      <c r="L4" s="438">
        <v>280</v>
      </c>
      <c r="M4" s="464"/>
      <c r="N4" s="464"/>
      <c r="O4" s="443">
        <f>L4*M4</f>
        <v>0</v>
      </c>
      <c r="P4" s="461">
        <v>4.2</v>
      </c>
      <c r="Q4" s="438">
        <f>IFERROR(LOOKUP(1,0/((成型機資料庫!$F$119:$F$139=J4)*(成型機資料庫!$G$119:$G$139=K4)),成型機資料庫!$K$119:$K$139),0)</f>
        <v>1000</v>
      </c>
      <c r="R4" s="477">
        <f>M4*Q4*P4/1000</f>
        <v>0</v>
      </c>
      <c r="S4" s="898">
        <f>IFERROR((G4-R4)/G4,0)</f>
        <v>0</v>
      </c>
      <c r="T4" s="463">
        <f>IFERROR(LOOKUP(1,0/((成型機資料庫!$F$119:$F$139=J4)*(成型機資料庫!$G$119:$G$139=K4)),成型機資料庫!$I$119:$I$139),0)</f>
        <v>56</v>
      </c>
      <c r="U4" s="483">
        <f>IFERROR(LOOKUP(1,0/((成型機資料庫!$F$119:$F$139=J4)*(成型機資料庫!$G$119:$G$139=K4)),成型機資料庫!$J$119:$J$139),0)</f>
        <v>8.3000000000000007</v>
      </c>
      <c r="V4" s="900">
        <f>IFERROR(LOOKUP(1,0/((成型機資料庫!$F$119:$F$139=J4)*(成型機資料庫!$G$119:$G$139=K4)),成型機資料庫!$L$119:$L$139),0)</f>
        <v>306.76800000000009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59</v>
      </c>
      <c r="G5" s="464"/>
      <c r="H5" s="464" t="s">
        <v>1369</v>
      </c>
      <c r="I5" s="429" t="s">
        <v>1370</v>
      </c>
      <c r="J5" s="429" t="s">
        <v>1466</v>
      </c>
      <c r="K5" s="429" t="s">
        <v>1301</v>
      </c>
      <c r="L5" s="438">
        <v>280</v>
      </c>
      <c r="M5" s="464"/>
      <c r="N5" s="464"/>
      <c r="O5" s="443"/>
      <c r="P5" s="461">
        <v>4.2</v>
      </c>
      <c r="Q5" s="438">
        <f>IFERROR(LOOKUP(1,0/((成型機資料庫!$F$119:$F$139=J5)*(成型機資料庫!$G$119:$G$139=K5)),成型機資料庫!$K$119:$K$139),0)</f>
        <v>1000</v>
      </c>
      <c r="R5" s="477"/>
      <c r="S5" s="898"/>
      <c r="T5" s="463">
        <f>IFERROR(LOOKUP(1,0/((成型機資料庫!$F$119:$F$139=J5)*(成型機資料庫!$G$119:$G$139=K5)),成型機資料庫!$I$119:$I$139),0)</f>
        <v>56</v>
      </c>
      <c r="U5" s="483">
        <f>IFERROR(LOOKUP(1,0/((成型機資料庫!$F$119:$F$139=J5)*(成型機資料庫!$G$119:$G$139=K5)),成型機資料庫!$J$119:$J$139),0)</f>
        <v>8.6</v>
      </c>
      <c r="V5" s="900">
        <f>IFERROR(LOOKUP(1,0/((成型機資料庫!$F$119:$F$139=J5)*(成型機資料庫!$G$119:$G$139=K5)),成型機資料庫!$L$119:$L$139),0)</f>
        <v>317.85599999999994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774</v>
      </c>
      <c r="I6" s="429" t="s">
        <v>1371</v>
      </c>
      <c r="J6" s="429" t="s">
        <v>1465</v>
      </c>
      <c r="K6" s="429" t="s">
        <v>1301</v>
      </c>
      <c r="L6" s="438">
        <v>280</v>
      </c>
      <c r="M6" s="464"/>
      <c r="N6" s="464"/>
      <c r="O6" s="443"/>
      <c r="P6" s="461">
        <v>4.2</v>
      </c>
      <c r="Q6" s="438">
        <f>IFERROR(LOOKUP(1,0/((成型機資料庫!$F$119:$F$139=J6)*(成型機資料庫!$G$119:$G$139=K6)),成型機資料庫!$K$119:$K$139),0)</f>
        <v>1000</v>
      </c>
      <c r="R6" s="477"/>
      <c r="S6" s="898"/>
      <c r="T6" s="463">
        <f>IFERROR(LOOKUP(1,0/((成型機資料庫!$F$119:$F$139=J6)*(成型機資料庫!$G$119:$G$139=K6)),成型機資料庫!$I$119:$I$139),0)</f>
        <v>56</v>
      </c>
      <c r="U6" s="483">
        <f>IFERROR(LOOKUP(1,0/((成型機資料庫!$F$119:$F$139=J6)*(成型機資料庫!$G$119:$G$139=K6)),成型機資料庫!$J$119:$J$139),0)</f>
        <v>8.3000000000000007</v>
      </c>
      <c r="V6" s="900">
        <f>IFERROR(LOOKUP(1,0/((成型機資料庫!$F$119:$F$139=J6)*(成型機資料庫!$G$119:$G$139=K6)),成型機資料庫!$L$119:$L$139),0)</f>
        <v>306.76800000000009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64" t="s">
        <v>1369</v>
      </c>
      <c r="I7" s="429" t="s">
        <v>1372</v>
      </c>
      <c r="J7" s="429" t="s">
        <v>1466</v>
      </c>
      <c r="K7" s="429" t="s">
        <v>1301</v>
      </c>
      <c r="L7" s="438">
        <v>280</v>
      </c>
      <c r="M7" s="464"/>
      <c r="N7" s="464"/>
      <c r="O7" s="443"/>
      <c r="P7" s="461">
        <v>4.2</v>
      </c>
      <c r="Q7" s="438">
        <f>IFERROR(LOOKUP(1,0/((成型機資料庫!$F$119:$F$139=J7)*(成型機資料庫!$G$119:$G$139=K7)),成型機資料庫!$K$119:$K$139),0)</f>
        <v>1000</v>
      </c>
      <c r="R7" s="477"/>
      <c r="S7" s="898"/>
      <c r="T7" s="463">
        <f>IFERROR(LOOKUP(1,0/((成型機資料庫!$F$119:$F$139=J7)*(成型機資料庫!$G$119:$G$139=K7)),成型機資料庫!$I$119:$I$139),0)</f>
        <v>56</v>
      </c>
      <c r="U7" s="483">
        <f>IFERROR(LOOKUP(1,0/((成型機資料庫!$F$119:$F$139=J7)*(成型機資料庫!$G$119:$G$139=K7)),成型機資料庫!$J$119:$J$139),0)</f>
        <v>8.6</v>
      </c>
      <c r="V7" s="900">
        <f>IFERROR(LOOKUP(1,0/((成型機資料庫!$F$119:$F$139=J7)*(成型機資料庫!$G$119:$G$139=K7)),成型機資料庫!$L$119:$L$139),0)</f>
        <v>317.85599999999994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59</v>
      </c>
      <c r="G8" s="464"/>
      <c r="H8" s="464" t="s">
        <v>943</v>
      </c>
      <c r="I8" s="429" t="s">
        <v>660</v>
      </c>
      <c r="J8" s="429" t="s">
        <v>1460</v>
      </c>
      <c r="K8" s="429" t="s">
        <v>1301</v>
      </c>
      <c r="L8" s="464">
        <v>600</v>
      </c>
      <c r="M8" s="464"/>
      <c r="N8" s="464"/>
      <c r="O8" s="443"/>
      <c r="P8" s="461">
        <v>1.6</v>
      </c>
      <c r="Q8" s="438">
        <f>IFERROR(LOOKUP(1,0/((成型機資料庫!$F$119:$F$139=J8)*(成型機資料庫!$G$119:$G$139=K8)),成型機資料庫!$K$119:$K$139),0)</f>
        <v>2400</v>
      </c>
      <c r="R8" s="477"/>
      <c r="S8" s="898"/>
      <c r="T8" s="463">
        <f>IFERROR(LOOKUP(1,0/((成型機資料庫!$F$119:$F$139=J8)*(成型機資料庫!$G$119:$G$139=K8)),成型機資料庫!$I$119:$I$139),0)</f>
        <v>140</v>
      </c>
      <c r="U8" s="483">
        <f>IFERROR(LOOKUP(1,0/((成型機資料庫!$F$119:$F$139=J8)*(成型機資料庫!$G$119:$G$139=K8)),成型機資料庫!$J$119:$J$139),0)</f>
        <v>8.6</v>
      </c>
      <c r="V8" s="900">
        <f>IFERROR(LOOKUP(1,0/((成型機資料庫!$F$119:$F$139=J8)*(成型機資料庫!$G$119:$G$139=K8)),成型機資料庫!$L$119:$L$139),0)</f>
        <v>331.1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5" t="s">
        <v>58</v>
      </c>
      <c r="G9" s="464"/>
      <c r="H9" s="464" t="s">
        <v>1373</v>
      </c>
      <c r="I9" s="429" t="s">
        <v>1374</v>
      </c>
      <c r="J9" s="429" t="s">
        <v>1374</v>
      </c>
      <c r="K9" s="429" t="s">
        <v>1301</v>
      </c>
      <c r="L9" s="464">
        <v>600</v>
      </c>
      <c r="M9" s="464"/>
      <c r="N9" s="464"/>
      <c r="O9" s="443"/>
      <c r="P9" s="461">
        <v>18</v>
      </c>
      <c r="Q9" s="438">
        <f>IFERROR(LOOKUP(1,0/((成型機資料庫!$F$119:$F$139=J9)*(成型機資料庫!$G$119:$G$139=K9)),成型機資料庫!$K$119:$K$139),0)</f>
        <v>1000</v>
      </c>
      <c r="R9" s="477"/>
      <c r="S9" s="898"/>
      <c r="T9" s="463">
        <f>IFERROR(LOOKUP(1,0/((成型機資料庫!$F$119:$F$139=J9)*(成型機資料庫!$G$119:$G$139=K9)),成型機資料庫!$I$119:$I$139),0)</f>
        <v>12</v>
      </c>
      <c r="U9" s="483">
        <f>IFERROR(LOOKUP(1,0/((成型機資料庫!$F$119:$F$139=J9)*(成型機資料庫!$G$119:$G$139=K9)),成型機資料庫!$J$119:$J$139),0)</f>
        <v>9.1999999999999993</v>
      </c>
      <c r="V9" s="900">
        <f>IFERROR(LOOKUP(1,0/((成型機資料庫!$F$119:$F$139=J9)*(成型機資料庫!$G$119:$G$139=K9)),成型機資料庫!$L$119:$L$139),0)</f>
        <v>72.86399999999999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5" t="s">
        <v>58</v>
      </c>
      <c r="G10" s="464"/>
      <c r="H10" s="464" t="s">
        <v>1375</v>
      </c>
      <c r="I10" s="429" t="s">
        <v>1374</v>
      </c>
      <c r="J10" s="429" t="s">
        <v>1374</v>
      </c>
      <c r="K10" s="429" t="s">
        <v>1301</v>
      </c>
      <c r="L10" s="464">
        <v>600</v>
      </c>
      <c r="M10" s="464"/>
      <c r="N10" s="464"/>
      <c r="O10" s="443">
        <f t="shared" ref="O10:O41" si="0">L10*M10</f>
        <v>0</v>
      </c>
      <c r="P10" s="461">
        <v>21</v>
      </c>
      <c r="Q10" s="438">
        <f>IFERROR(LOOKUP(1,0/((成型機資料庫!$F$119:$F$139=J10)*(成型機資料庫!$G$119:$G$139=K10)),成型機資料庫!$K$119:$K$139),0)</f>
        <v>1000</v>
      </c>
      <c r="R10" s="477"/>
      <c r="S10" s="898"/>
      <c r="T10" s="463">
        <f>IFERROR(LOOKUP(1,0/((成型機資料庫!$F$119:$F$139=J10)*(成型機資料庫!$G$119:$G$139=K10)),成型機資料庫!$I$119:$I$139),0)</f>
        <v>12</v>
      </c>
      <c r="U10" s="483">
        <f>IFERROR(LOOKUP(1,0/((成型機資料庫!$F$119:$F$139=J10)*(成型機資料庫!$G$119:$G$139=K10)),成型機資料庫!$J$119:$J$139),0)</f>
        <v>9.1999999999999993</v>
      </c>
      <c r="V10" s="900">
        <f>IFERROR(LOOKUP(1,0/((成型機資料庫!$F$119:$F$139=J10)*(成型機資料庫!$G$119:$G$139=K10)),成型機資料庫!$L$119:$L$139),0)</f>
        <v>72.86399999999999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thickBot="1">
      <c r="A11" s="496"/>
      <c r="B11" s="496"/>
      <c r="C11" s="496"/>
      <c r="D11" s="496"/>
      <c r="E11" s="496"/>
      <c r="F11" s="497"/>
      <c r="G11" s="500"/>
      <c r="H11" s="500"/>
      <c r="I11" s="498"/>
      <c r="J11" s="498"/>
      <c r="K11" s="498"/>
      <c r="L11" s="500"/>
      <c r="M11" s="500"/>
      <c r="N11" s="500"/>
      <c r="O11" s="501">
        <f t="shared" si="0"/>
        <v>0</v>
      </c>
      <c r="P11" s="528"/>
      <c r="Q11" s="499">
        <f>IFERROR(LOOKUP(1,0/((成型機資料庫!$F$119:$F$139=J11)*(成型機資料庫!$G$119:$G$139=K11)),成型機資料庫!$K$119:$K$139),0)</f>
        <v>0</v>
      </c>
      <c r="R11" s="502"/>
      <c r="S11" s="503"/>
      <c r="T11" s="504">
        <f>IFERROR(LOOKUP(1,0/((成型機資料庫!$F$119:$F$139=J11)*(成型機資料庫!$G$119:$G$139=K11)),成型機資料庫!$I$119:$I$139),0)</f>
        <v>0</v>
      </c>
      <c r="U11" s="505">
        <f>IFERROR(LOOKUP(1,0/((成型機資料庫!$F$119:$F$139=J11)*(成型機資料庫!$G$119:$G$139=K11)),成型機資料庫!$J$119:$J$139),0)</f>
        <v>0</v>
      </c>
      <c r="V11" s="991">
        <f>IFERROR(LOOKUP(1,0/((成型機資料庫!$F$119:$F$139=J11)*(成型機資料庫!$G$119:$G$139=K11)),成型機資料庫!$L$119:$L$139),0)</f>
        <v>0</v>
      </c>
      <c r="W11" s="507"/>
      <c r="X11" s="507"/>
      <c r="Y11" s="507"/>
      <c r="Z11" s="507"/>
      <c r="AA11" s="508">
        <f t="shared" ref="AA11:AA41" si="1">AB11+AC11/60</f>
        <v>0</v>
      </c>
      <c r="AB11" s="499"/>
      <c r="AC11" s="509"/>
      <c r="AD11" s="529"/>
      <c r="AE11" s="499"/>
      <c r="AF11" s="499"/>
    </row>
    <row r="12" spans="1:56" s="433" customFormat="1" ht="15.75">
      <c r="A12" s="935">
        <v>113</v>
      </c>
      <c r="B12" s="935"/>
      <c r="C12" s="935">
        <v>1</v>
      </c>
      <c r="D12" s="889"/>
      <c r="E12" s="889" t="s">
        <v>0</v>
      </c>
      <c r="F12" s="962" t="s">
        <v>44</v>
      </c>
      <c r="G12" s="999"/>
      <c r="H12" s="532"/>
      <c r="I12" s="964"/>
      <c r="J12" s="964"/>
      <c r="K12" s="964"/>
      <c r="L12" s="532"/>
      <c r="M12" s="532"/>
      <c r="N12" s="927">
        <f>M12*Q12</f>
        <v>0</v>
      </c>
      <c r="O12" s="995">
        <f t="shared" si="0"/>
        <v>0</v>
      </c>
      <c r="P12" s="1000"/>
      <c r="Q12" s="480">
        <f>IFERROR(LOOKUP(1,0/((成型機資料庫!$F$119:$F$139=J12)*(成型機資料庫!$G$119:$G$139=K12)),成型機資料庫!$K$119:$K$139),0)</f>
        <v>0</v>
      </c>
      <c r="R12" s="997">
        <f t="shared" ref="R12:R41" si="2">M12*Q12*P12/1000</f>
        <v>0</v>
      </c>
      <c r="S12" s="996">
        <f t="shared" ref="S12:S41" si="3">IFERROR((G12-R12)/G12,0)</f>
        <v>0</v>
      </c>
      <c r="T12" s="966">
        <f>IFERROR(LOOKUP(1,0/((成型機資料庫!$F$119:$F$139=J12)*(成型機資料庫!$G$119:$G$139=K12)),成型機資料庫!$I$119:$I$139),0)</f>
        <v>0</v>
      </c>
      <c r="U12" s="967">
        <f>IFERROR(LOOKUP(1,0/((成型機資料庫!$F$119:$F$139=J12)*(成型機資料庫!$G$119:$G$139=K12)),成型機資料庫!$J$119:$J$139),0)</f>
        <v>0</v>
      </c>
      <c r="V12" s="927">
        <f>IFERROR(LOOKUP(1,0/((成型機資料庫!$F$119:$F$139=J12)*(成型機資料庫!$G$119:$G$139=K12)),成型機資料庫!$L$119:$L$139),0)</f>
        <v>0</v>
      </c>
      <c r="W12" s="996">
        <f t="shared" ref="W12:W41" si="4">IFERROR(M12/V12,0)</f>
        <v>0</v>
      </c>
      <c r="X12" s="987">
        <f>IFERROR(T12*U12*60*AA12/Q12,0)</f>
        <v>0</v>
      </c>
      <c r="Y12" s="996">
        <f>IFERROR(M12/X12,0)</f>
        <v>0</v>
      </c>
      <c r="Z12" s="987"/>
      <c r="AA12" s="495">
        <f t="shared" si="1"/>
        <v>0</v>
      </c>
      <c r="AB12" s="480"/>
      <c r="AC12" s="968"/>
      <c r="AD12" s="532"/>
      <c r="AE12" s="480"/>
      <c r="AF12" s="480"/>
    </row>
    <row r="13" spans="1:56" s="433" customFormat="1" ht="15.75">
      <c r="A13" s="434">
        <v>113</v>
      </c>
      <c r="B13" s="581"/>
      <c r="C13" s="581">
        <v>2</v>
      </c>
      <c r="D13" s="581"/>
      <c r="E13" s="581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ref="N13:N41" si="5">M13*Q13</f>
        <v>0</v>
      </c>
      <c r="O13" s="901">
        <f t="shared" si="0"/>
        <v>0</v>
      </c>
      <c r="P13" s="460"/>
      <c r="Q13" s="438">
        <f>IFERROR(LOOKUP(1,0/((成型機資料庫!$F$119:$F$139=J13)*(成型機資料庫!$G$119:$G$139=K13)),成型機資料庫!$K$119:$K$139),0)</f>
        <v>0</v>
      </c>
      <c r="R13" s="899">
        <f t="shared" si="2"/>
        <v>0</v>
      </c>
      <c r="S13" s="898">
        <f t="shared" si="3"/>
        <v>0</v>
      </c>
      <c r="T13" s="463">
        <f>IFERROR(LOOKUP(1,0/((成型機資料庫!$F$119:$F$139=J13)*(成型機資料庫!$G$119:$G$139=K13)),成型機資料庫!$I$119:$I$139),0)</f>
        <v>0</v>
      </c>
      <c r="U13" s="483">
        <f>IFERROR(LOOKUP(1,0/((成型機資料庫!$F$119:$F$139=J13)*(成型機資料庫!$G$119:$G$139=K13)),成型機資料庫!$J$119:$J$139),0)</f>
        <v>0</v>
      </c>
      <c r="V13" s="900">
        <f>IFERROR(LOOKUP(1,0/((成型機資料庫!$F$119:$F$139=J13)*(成型機資料庫!$G$119:$G$139=K13)),成型機資料庫!$L$119:$L$139),0)</f>
        <v>0</v>
      </c>
      <c r="W13" s="898">
        <f t="shared" si="4"/>
        <v>0</v>
      </c>
      <c r="X13" s="923">
        <f t="shared" ref="X13:X41" si="6">IFERROR(T13*U13*60*AA13/Q13,0)</f>
        <v>0</v>
      </c>
      <c r="Y13" s="898">
        <f t="shared" ref="Y13:Y41" si="7">IFERROR(M13/X13,0)</f>
        <v>0</v>
      </c>
      <c r="Z13" s="923"/>
      <c r="AA13" s="478">
        <f t="shared" si="1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3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IFERROR(LOOKUP(1,0/((成型機資料庫!$F$119:$F$139=J14)*(成型機資料庫!$G$119:$G$139=K14)),成型機資料庫!$K$119:$K$139),0)</f>
        <v>0</v>
      </c>
      <c r="R14" s="899">
        <f t="shared" si="2"/>
        <v>0</v>
      </c>
      <c r="S14" s="898">
        <f t="shared" si="3"/>
        <v>0</v>
      </c>
      <c r="T14" s="463">
        <f>IFERROR(LOOKUP(1,0/((成型機資料庫!$F$119:$F$139=J14)*(成型機資料庫!$G$119:$G$139=K14)),成型機資料庫!$I$119:$I$139),0)</f>
        <v>0</v>
      </c>
      <c r="U14" s="483">
        <f>IFERROR(LOOKUP(1,0/((成型機資料庫!$F$119:$F$139=J14)*(成型機資料庫!$G$119:$G$139=K14)),成型機資料庫!$J$119:$J$139),0)</f>
        <v>0</v>
      </c>
      <c r="V14" s="900">
        <f>IFERROR(LOOKUP(1,0/((成型機資料庫!$F$119:$F$139=J14)*(成型機資料庫!$G$119:$G$139=K14)),成型機資料庫!$L$119:$L$139),0)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438"/>
      <c r="AE14" s="438"/>
      <c r="AF14" s="438"/>
    </row>
    <row r="15" spans="1:56" s="433" customFormat="1" ht="15.75">
      <c r="A15" s="434">
        <v>113</v>
      </c>
      <c r="B15" s="581"/>
      <c r="C15" s="581">
        <v>4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IFERROR(LOOKUP(1,0/((成型機資料庫!$F$119:$F$139=J15)*(成型機資料庫!$G$119:$G$139=K15)),成型機資料庫!$K$119:$K$139),0)</f>
        <v>0</v>
      </c>
      <c r="R15" s="899">
        <f t="shared" si="2"/>
        <v>0</v>
      </c>
      <c r="S15" s="898">
        <f t="shared" si="3"/>
        <v>0</v>
      </c>
      <c r="T15" s="463">
        <f>IFERROR(LOOKUP(1,0/((成型機資料庫!$F$119:$F$139=J15)*(成型機資料庫!$G$119:$G$139=K15)),成型機資料庫!$I$119:$I$139),0)</f>
        <v>0</v>
      </c>
      <c r="U15" s="483">
        <f>IFERROR(LOOKUP(1,0/((成型機資料庫!$F$119:$F$139=J15)*(成型機資料庫!$G$119:$G$139=K15)),成型機資料庫!$J$119:$J$139),0)</f>
        <v>0</v>
      </c>
      <c r="V15" s="900">
        <f>IFERROR(LOOKUP(1,0/((成型機資料庫!$F$119:$F$139=J15)*(成型機資料庫!$G$119:$G$139=K15)),成型機資料庫!$L$119:$L$139),0)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64"/>
      <c r="AF15" s="438"/>
    </row>
    <row r="16" spans="1:56" s="433" customFormat="1" ht="15.75">
      <c r="A16" s="434">
        <v>113</v>
      </c>
      <c r="B16" s="581"/>
      <c r="C16" s="581">
        <v>5</v>
      </c>
      <c r="D16" s="581"/>
      <c r="E16" s="889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IFERROR(LOOKUP(1,0/((成型機資料庫!$F$119:$F$139=J16)*(成型機資料庫!$G$119:$G$139=K16)),成型機資料庫!$K$119:$K$139),0)</f>
        <v>0</v>
      </c>
      <c r="R16" s="899">
        <f t="shared" si="2"/>
        <v>0</v>
      </c>
      <c r="S16" s="898">
        <f t="shared" si="3"/>
        <v>0</v>
      </c>
      <c r="T16" s="463">
        <f>IFERROR(LOOKUP(1,0/((成型機資料庫!$F$119:$F$139=J16)*(成型機資料庫!$G$119:$G$139=K16)),成型機資料庫!$I$119:$I$139),0)</f>
        <v>0</v>
      </c>
      <c r="U16" s="483">
        <f>IFERROR(LOOKUP(1,0/((成型機資料庫!$F$119:$F$139=J16)*(成型機資料庫!$G$119:$G$139=K16)),成型機資料庫!$J$119:$J$139),0)</f>
        <v>0</v>
      </c>
      <c r="V16" s="900">
        <f>IFERROR(LOOKUP(1,0/((成型機資料庫!$F$119:$F$139=J16)*(成型機資料庫!$G$119:$G$139=K16)),成型機資料庫!$L$119:$L$139),0)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38"/>
      <c r="AF16" s="438"/>
    </row>
    <row r="17" spans="1:32" s="433" customFormat="1" ht="15.75">
      <c r="A17" s="434">
        <v>113</v>
      </c>
      <c r="B17" s="581"/>
      <c r="C17" s="581">
        <v>6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IFERROR(LOOKUP(1,0/((成型機資料庫!$F$119:$F$139=J17)*(成型機資料庫!$G$119:$G$139=K17)),成型機資料庫!$K$119:$K$139),0)</f>
        <v>0</v>
      </c>
      <c r="R17" s="899">
        <f t="shared" si="2"/>
        <v>0</v>
      </c>
      <c r="S17" s="898">
        <f t="shared" si="3"/>
        <v>0</v>
      </c>
      <c r="T17" s="463">
        <f>IFERROR(LOOKUP(1,0/((成型機資料庫!$F$119:$F$139=J17)*(成型機資料庫!$G$119:$G$139=K17)),成型機資料庫!$I$119:$I$139),0)</f>
        <v>0</v>
      </c>
      <c r="U17" s="483">
        <f>IFERROR(LOOKUP(1,0/((成型機資料庫!$F$119:$F$139=J17)*(成型機資料庫!$G$119:$G$139=K17)),成型機資料庫!$J$119:$J$139),0)</f>
        <v>0</v>
      </c>
      <c r="V17" s="900">
        <f>IFERROR(LOOKUP(1,0/((成型機資料庫!$F$119:$F$139=J17)*(成型機資料庫!$G$119:$G$139=K17)),成型機資料庫!$L$119:$L$139),0)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879"/>
      <c r="AE17" s="438"/>
      <c r="AF17" s="438"/>
    </row>
    <row r="18" spans="1:32" s="433" customFormat="1" ht="15.75">
      <c r="A18" s="434">
        <v>113</v>
      </c>
      <c r="B18" s="581"/>
      <c r="C18" s="581">
        <v>7</v>
      </c>
      <c r="D18" s="581"/>
      <c r="E18" s="889" t="s">
        <v>0</v>
      </c>
      <c r="F18" s="962" t="s">
        <v>44</v>
      </c>
      <c r="G18" s="927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IFERROR(LOOKUP(1,0/((成型機資料庫!$F$119:$F$139=J18)*(成型機資料庫!$G$119:$G$139=K18)),成型機資料庫!$K$119:$K$139),0)</f>
        <v>0</v>
      </c>
      <c r="R18" s="899">
        <f t="shared" si="2"/>
        <v>0</v>
      </c>
      <c r="S18" s="898">
        <f t="shared" si="3"/>
        <v>0</v>
      </c>
      <c r="T18" s="463">
        <f>IFERROR(LOOKUP(1,0/((成型機資料庫!$F$119:$F$139=J18)*(成型機資料庫!$G$119:$G$139=K18)),成型機資料庫!$I$119:$I$139),0)</f>
        <v>0</v>
      </c>
      <c r="U18" s="483">
        <f>IFERROR(LOOKUP(1,0/((成型機資料庫!$F$119:$F$139=J18)*(成型機資料庫!$G$119:$G$139=K18)),成型機資料庫!$J$119:$J$139),0)</f>
        <v>0</v>
      </c>
      <c r="V18" s="900">
        <f>IFERROR(LOOKUP(1,0/((成型機資料庫!$F$119:$F$139=J18)*(成型機資料庫!$G$119:$G$139=K18)),成型機資料庫!$L$119:$L$139),0)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8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IFERROR(LOOKUP(1,0/((成型機資料庫!$F$119:$F$139=J19)*(成型機資料庫!$G$119:$G$139=K19)),成型機資料庫!$K$119:$K$139),0)</f>
        <v>0</v>
      </c>
      <c r="R19" s="899">
        <f t="shared" si="2"/>
        <v>0</v>
      </c>
      <c r="S19" s="898">
        <f t="shared" si="3"/>
        <v>0</v>
      </c>
      <c r="T19" s="463">
        <f>IFERROR(LOOKUP(1,0/((成型機資料庫!$F$119:$F$139=J19)*(成型機資料庫!$G$119:$G$139=K19)),成型機資料庫!$I$119:$I$139),0)</f>
        <v>0</v>
      </c>
      <c r="U19" s="483">
        <f>IFERROR(LOOKUP(1,0/((成型機資料庫!$F$119:$F$139=J19)*(成型機資料庫!$G$119:$G$139=K19)),成型機資料庫!$J$119:$J$139),0)</f>
        <v>0</v>
      </c>
      <c r="V19" s="900">
        <f>IFERROR(LOOKUP(1,0/((成型機資料庫!$F$119:$F$139=J19)*(成型機資料庫!$G$119:$G$139=K19)),成型機資料庫!$L$119:$L$139),0)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9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IFERROR(LOOKUP(1,0/((成型機資料庫!$F$119:$F$139=J20)*(成型機資料庫!$G$119:$G$139=K20)),成型機資料庫!$K$119:$K$139),0)</f>
        <v>0</v>
      </c>
      <c r="R20" s="899">
        <f t="shared" si="2"/>
        <v>0</v>
      </c>
      <c r="S20" s="898">
        <f t="shared" si="3"/>
        <v>0</v>
      </c>
      <c r="T20" s="463">
        <f>IFERROR(LOOKUP(1,0/((成型機資料庫!$F$119:$F$139=J20)*(成型機資料庫!$G$119:$G$139=K20)),成型機資料庫!$I$119:$I$139),0)</f>
        <v>0</v>
      </c>
      <c r="U20" s="483">
        <f>IFERROR(LOOKUP(1,0/((成型機資料庫!$F$119:$F$139=J20)*(成型機資料庫!$G$119:$G$139=K20)),成型機資料庫!$J$119:$J$139),0)</f>
        <v>0</v>
      </c>
      <c r="V20" s="900">
        <f>IFERROR(LOOKUP(1,0/((成型機資料庫!$F$119:$F$139=J20)*(成型機資料庫!$G$119:$G$139=K20)),成型機資料庫!$L$119:$L$139),0)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10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IFERROR(LOOKUP(1,0/((成型機資料庫!$F$119:$F$139=J21)*(成型機資料庫!$G$119:$G$139=K21)),成型機資料庫!$K$119:$K$139),0)</f>
        <v>0</v>
      </c>
      <c r="R21" s="899">
        <f t="shared" si="2"/>
        <v>0</v>
      </c>
      <c r="S21" s="898">
        <f t="shared" si="3"/>
        <v>0</v>
      </c>
      <c r="T21" s="463">
        <f>IFERROR(LOOKUP(1,0/((成型機資料庫!$F$119:$F$139=J21)*(成型機資料庫!$G$119:$G$139=K21)),成型機資料庫!$I$119:$I$139),0)</f>
        <v>0</v>
      </c>
      <c r="U21" s="483">
        <f>IFERROR(LOOKUP(1,0/((成型機資料庫!$F$119:$F$139=J21)*(成型機資料庫!$G$119:$G$139=K21)),成型機資料庫!$J$119:$J$139),0)</f>
        <v>0</v>
      </c>
      <c r="V21" s="900">
        <f>IFERROR(LOOKUP(1,0/((成型機資料庫!$F$119:$F$139=J21)*(成型機資料庫!$G$119:$G$139=K21)),成型機資料庫!$L$119:$L$139),0)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11</v>
      </c>
      <c r="D22" s="581"/>
      <c r="E22" s="581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IFERROR(LOOKUP(1,0/((成型機資料庫!$F$119:$F$139=J22)*(成型機資料庫!$G$119:$G$139=K22)),成型機資料庫!$K$119:$K$139),0)</f>
        <v>0</v>
      </c>
      <c r="R22" s="899">
        <f t="shared" si="2"/>
        <v>0</v>
      </c>
      <c r="S22" s="898">
        <f t="shared" si="3"/>
        <v>0</v>
      </c>
      <c r="T22" s="463">
        <f>IFERROR(LOOKUP(1,0/((成型機資料庫!$F$119:$F$139=J22)*(成型機資料庫!$G$119:$G$139=K22)),成型機資料庫!$I$119:$I$139),0)</f>
        <v>0</v>
      </c>
      <c r="U22" s="483">
        <f>IFERROR(LOOKUP(1,0/((成型機資料庫!$F$119:$F$139=J22)*(成型機資料庫!$G$119:$G$139=K22)),成型機資料庫!$J$119:$J$139),0)</f>
        <v>0</v>
      </c>
      <c r="V22" s="900">
        <f>IFERROR(LOOKUP(1,0/((成型機資料庫!$F$119:$F$139=J22)*(成型機資料庫!$G$119:$G$139=K22)),成型機資料庫!$L$119:$L$139),0)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12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IFERROR(LOOKUP(1,0/((成型機資料庫!$F$119:$F$139=J23)*(成型機資料庫!$G$119:$G$139=K23)),成型機資料庫!$K$119:$K$139),0)</f>
        <v>0</v>
      </c>
      <c r="R23" s="899">
        <f t="shared" si="2"/>
        <v>0</v>
      </c>
      <c r="S23" s="898">
        <f t="shared" si="3"/>
        <v>0</v>
      </c>
      <c r="T23" s="463">
        <f>IFERROR(LOOKUP(1,0/((成型機資料庫!$F$119:$F$139=J23)*(成型機資料庫!$G$119:$G$139=K23)),成型機資料庫!$I$119:$I$139),0)</f>
        <v>0</v>
      </c>
      <c r="U23" s="483">
        <f>IFERROR(LOOKUP(1,0/((成型機資料庫!$F$119:$F$139=J23)*(成型機資料庫!$G$119:$G$139=K23)),成型機資料庫!$J$119:$J$139),0)</f>
        <v>0</v>
      </c>
      <c r="V23" s="900">
        <f>IFERROR(LOOKUP(1,0/((成型機資料庫!$F$119:$F$139=J23)*(成型機資料庫!$G$119:$G$139=K23)),成型機資料庫!$L$119:$L$139),0)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13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IFERROR(LOOKUP(1,0/((成型機資料庫!$F$119:$F$139=J24)*(成型機資料庫!$G$119:$G$139=K24)),成型機資料庫!$K$119:$K$139),0)</f>
        <v>0</v>
      </c>
      <c r="R24" s="899">
        <f t="shared" si="2"/>
        <v>0</v>
      </c>
      <c r="S24" s="898">
        <f t="shared" si="3"/>
        <v>0</v>
      </c>
      <c r="T24" s="463">
        <f>IFERROR(LOOKUP(1,0/((成型機資料庫!$F$119:$F$139=J24)*(成型機資料庫!$G$119:$G$139=K24)),成型機資料庫!$I$119:$I$139),0)</f>
        <v>0</v>
      </c>
      <c r="U24" s="483">
        <f>IFERROR(LOOKUP(1,0/((成型機資料庫!$F$119:$F$139=J24)*(成型機資料庫!$G$119:$G$139=K24)),成型機資料庫!$J$119:$J$139),0)</f>
        <v>0</v>
      </c>
      <c r="V24" s="900">
        <f>IFERROR(LOOKUP(1,0/((成型機資料庫!$F$119:$F$139=J24)*(成型機資料庫!$G$119:$G$139=K24)),成型機資料庫!$L$119:$L$139),0)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581"/>
      <c r="C25" s="581">
        <v>14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IFERROR(LOOKUP(1,0/((成型機資料庫!$F$119:$F$139=J25)*(成型機資料庫!$G$119:$G$139=K25)),成型機資料庫!$K$119:$K$139),0)</f>
        <v>0</v>
      </c>
      <c r="R25" s="899">
        <f t="shared" si="2"/>
        <v>0</v>
      </c>
      <c r="S25" s="898">
        <f t="shared" si="3"/>
        <v>0</v>
      </c>
      <c r="T25" s="463">
        <f>IFERROR(LOOKUP(1,0/((成型機資料庫!$F$119:$F$139=J25)*(成型機資料庫!$G$119:$G$139=K25)),成型機資料庫!$I$119:$I$139),0)</f>
        <v>0</v>
      </c>
      <c r="U25" s="483">
        <f>IFERROR(LOOKUP(1,0/((成型機資料庫!$F$119:$F$139=J25)*(成型機資料庫!$G$119:$G$139=K25)),成型機資料庫!$J$119:$J$139),0)</f>
        <v>0</v>
      </c>
      <c r="V25" s="900">
        <f>IFERROR(LOOKUP(1,0/((成型機資料庫!$F$119:$F$139=J25)*(成型機資料庫!$G$119:$G$139=K25)),成型機資料庫!$L$119:$L$139),0)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15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IFERROR(LOOKUP(1,0/((成型機資料庫!$F$119:$F$139=J26)*(成型機資料庫!$G$119:$G$139=K26)),成型機資料庫!$K$119:$K$139),0)</f>
        <v>0</v>
      </c>
      <c r="R26" s="899">
        <f t="shared" si="2"/>
        <v>0</v>
      </c>
      <c r="S26" s="898">
        <f t="shared" si="3"/>
        <v>0</v>
      </c>
      <c r="T26" s="463">
        <f>IFERROR(LOOKUP(1,0/((成型機資料庫!$F$119:$F$139=J26)*(成型機資料庫!$G$119:$G$139=K26)),成型機資料庫!$I$119:$I$139),0)</f>
        <v>0</v>
      </c>
      <c r="U26" s="483">
        <f>IFERROR(LOOKUP(1,0/((成型機資料庫!$F$119:$F$139=J26)*(成型機資料庫!$G$119:$G$139=K26)),成型機資料庫!$J$119:$J$139),0)</f>
        <v>0</v>
      </c>
      <c r="V26" s="900">
        <f>IFERROR(LOOKUP(1,0/((成型機資料庫!$F$119:$F$139=J26)*(成型機資料庫!$G$119:$G$139=K26)),成型機資料庫!$L$119:$L$139),0)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16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IFERROR(LOOKUP(1,0/((成型機資料庫!$F$119:$F$139=J27)*(成型機資料庫!$G$119:$G$139=K27)),成型機資料庫!$K$119:$K$139),0)</f>
        <v>0</v>
      </c>
      <c r="R27" s="899">
        <f t="shared" si="2"/>
        <v>0</v>
      </c>
      <c r="S27" s="898">
        <f t="shared" si="3"/>
        <v>0</v>
      </c>
      <c r="T27" s="463">
        <f>IFERROR(LOOKUP(1,0/((成型機資料庫!$F$119:$F$139=J27)*(成型機資料庫!$G$119:$G$139=K27)),成型機資料庫!$I$119:$I$139),0)</f>
        <v>0</v>
      </c>
      <c r="U27" s="483">
        <f>IFERROR(LOOKUP(1,0/((成型機資料庫!$F$119:$F$139=J27)*(成型機資料庫!$G$119:$G$139=K27)),成型機資料庫!$J$119:$J$139),0)</f>
        <v>0</v>
      </c>
      <c r="V27" s="900">
        <f>IFERROR(LOOKUP(1,0/((成型機資料庫!$F$119:$F$139=J27)*(成型機資料庫!$G$119:$G$139=K27)),成型機資料庫!$L$119:$L$139),0)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64"/>
      <c r="AF27" s="438"/>
    </row>
    <row r="28" spans="1:32" s="433" customFormat="1" ht="15.75">
      <c r="A28" s="434">
        <v>113</v>
      </c>
      <c r="B28" s="581"/>
      <c r="C28" s="581">
        <v>17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IFERROR(LOOKUP(1,0/((成型機資料庫!$F$119:$F$139=J28)*(成型機資料庫!$G$119:$G$139=K28)),成型機資料庫!$K$119:$K$139),0)</f>
        <v>0</v>
      </c>
      <c r="R28" s="899">
        <f t="shared" si="2"/>
        <v>0</v>
      </c>
      <c r="S28" s="898">
        <f t="shared" si="3"/>
        <v>0</v>
      </c>
      <c r="T28" s="463">
        <f>IFERROR(LOOKUP(1,0/((成型機資料庫!$F$119:$F$139=J28)*(成型機資料庫!$G$119:$G$139=K28)),成型機資料庫!$I$119:$I$139),0)</f>
        <v>0</v>
      </c>
      <c r="U28" s="483">
        <f>IFERROR(LOOKUP(1,0/((成型機資料庫!$F$119:$F$139=J28)*(成型機資料庫!$G$119:$G$139=K28)),成型機資料庫!$J$119:$J$139),0)</f>
        <v>0</v>
      </c>
      <c r="V28" s="900">
        <f>IFERROR(LOOKUP(1,0/((成型機資料庫!$F$119:$F$139=J28)*(成型機資料庫!$G$119:$G$139=K28)),成型機資料庫!$L$119:$L$139),0)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18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IFERROR(LOOKUP(1,0/((成型機資料庫!$F$119:$F$139=J29)*(成型機資料庫!$G$119:$G$139=K29)),成型機資料庫!$K$119:$K$139),0)</f>
        <v>0</v>
      </c>
      <c r="R29" s="899">
        <f t="shared" si="2"/>
        <v>0</v>
      </c>
      <c r="S29" s="898">
        <f t="shared" si="3"/>
        <v>0</v>
      </c>
      <c r="T29" s="463">
        <f>IFERROR(LOOKUP(1,0/((成型機資料庫!$F$119:$F$139=J29)*(成型機資料庫!$G$119:$G$139=K29)),成型機資料庫!$I$119:$I$139),0)</f>
        <v>0</v>
      </c>
      <c r="U29" s="483">
        <f>IFERROR(LOOKUP(1,0/((成型機資料庫!$F$119:$F$139=J29)*(成型機資料庫!$G$119:$G$139=K29)),成型機資料庫!$J$119:$J$139),0)</f>
        <v>0</v>
      </c>
      <c r="V29" s="900">
        <f>IFERROR(LOOKUP(1,0/((成型機資料庫!$F$119:$F$139=J29)*(成型機資料庫!$G$119:$G$139=K29)),成型機資料庫!$L$119:$L$139),0)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19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IFERROR(LOOKUP(1,0/((成型機資料庫!$F$119:$F$139=J30)*(成型機資料庫!$G$119:$G$139=K30)),成型機資料庫!$K$119:$K$139),0)</f>
        <v>0</v>
      </c>
      <c r="R30" s="899">
        <f t="shared" si="2"/>
        <v>0</v>
      </c>
      <c r="S30" s="898">
        <f t="shared" si="3"/>
        <v>0</v>
      </c>
      <c r="T30" s="463">
        <f>IFERROR(LOOKUP(1,0/((成型機資料庫!$F$119:$F$139=J30)*(成型機資料庫!$G$119:$G$139=K30)),成型機資料庫!$I$119:$I$139),0)</f>
        <v>0</v>
      </c>
      <c r="U30" s="483">
        <f>IFERROR(LOOKUP(1,0/((成型機資料庫!$F$119:$F$139=J30)*(成型機資料庫!$G$119:$G$139=K30)),成型機資料庫!$J$119:$J$139),0)</f>
        <v>0</v>
      </c>
      <c r="V30" s="900">
        <f>IFERROR(LOOKUP(1,0/((成型機資料庫!$F$119:$F$139=J30)*(成型機資料庫!$G$119:$G$139=K30)),成型機資料庫!$L$119:$L$139),0)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20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IFERROR(LOOKUP(1,0/((成型機資料庫!$F$119:$F$139=J31)*(成型機資料庫!$G$119:$G$139=K31)),成型機資料庫!$K$119:$K$139),0)</f>
        <v>0</v>
      </c>
      <c r="R31" s="899">
        <f t="shared" si="2"/>
        <v>0</v>
      </c>
      <c r="S31" s="898">
        <f t="shared" si="3"/>
        <v>0</v>
      </c>
      <c r="T31" s="463">
        <f>IFERROR(LOOKUP(1,0/((成型機資料庫!$F$119:$F$139=J31)*(成型機資料庫!$G$119:$G$139=K31)),成型機資料庫!$I$119:$I$139),0)</f>
        <v>0</v>
      </c>
      <c r="U31" s="483">
        <f>IFERROR(LOOKUP(1,0/((成型機資料庫!$F$119:$F$139=J31)*(成型機資料庫!$G$119:$G$139=K31)),成型機資料庫!$J$119:$J$139),0)</f>
        <v>0</v>
      </c>
      <c r="V31" s="900">
        <f>IFERROR(LOOKUP(1,0/((成型機資料庫!$F$119:$F$139=J31)*(成型機資料庫!$G$119:$G$139=K31)),成型機資料庫!$L$119:$L$139),0)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21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IFERROR(LOOKUP(1,0/((成型機資料庫!$F$119:$F$139=J32)*(成型機資料庫!$G$119:$G$139=K32)),成型機資料庫!$K$119:$K$139),0)</f>
        <v>0</v>
      </c>
      <c r="R32" s="899">
        <f t="shared" si="2"/>
        <v>0</v>
      </c>
      <c r="S32" s="898">
        <f t="shared" si="3"/>
        <v>0</v>
      </c>
      <c r="T32" s="463">
        <f>IFERROR(LOOKUP(1,0/((成型機資料庫!$F$119:$F$139=J32)*(成型機資料庫!$G$119:$G$139=K32)),成型機資料庫!$I$119:$I$139),0)</f>
        <v>0</v>
      </c>
      <c r="U32" s="483">
        <f>IFERROR(LOOKUP(1,0/((成型機資料庫!$F$119:$F$139=J32)*(成型機資料庫!$G$119:$G$139=K32)),成型機資料庫!$J$119:$J$139),0)</f>
        <v>0</v>
      </c>
      <c r="V32" s="900">
        <f>IFERROR(LOOKUP(1,0/((成型機資料庫!$F$119:$F$139=J32)*(成型機資料庫!$G$119:$G$139=K32)),成型機資料庫!$L$119:$L$139),0)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22</v>
      </c>
      <c r="D33" s="581"/>
      <c r="E33" s="889" t="s">
        <v>0</v>
      </c>
      <c r="F33" s="962" t="s">
        <v>44</v>
      </c>
      <c r="G33" s="927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IFERROR(LOOKUP(1,0/((成型機資料庫!$F$119:$F$139=J33)*(成型機資料庫!$G$119:$G$139=K33)),成型機資料庫!$K$119:$K$139),0)</f>
        <v>0</v>
      </c>
      <c r="R33" s="899">
        <f t="shared" si="2"/>
        <v>0</v>
      </c>
      <c r="S33" s="898">
        <f t="shared" si="3"/>
        <v>0</v>
      </c>
      <c r="T33" s="463">
        <f>IFERROR(LOOKUP(1,0/((成型機資料庫!$F$119:$F$139=J33)*(成型機資料庫!$G$119:$G$139=K33)),成型機資料庫!$I$119:$I$139),0)</f>
        <v>0</v>
      </c>
      <c r="U33" s="483">
        <f>IFERROR(LOOKUP(1,0/((成型機資料庫!$F$119:$F$139=J33)*(成型機資料庫!$G$119:$G$139=K33)),成型機資料庫!$J$119:$J$139),0)</f>
        <v>0</v>
      </c>
      <c r="V33" s="900">
        <f>IFERROR(LOOKUP(1,0/((成型機資料庫!$F$119:$F$139=J33)*(成型機資料庫!$G$119:$G$139=K33)),成型機資料庫!$L$119:$L$139),0)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23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IFERROR(LOOKUP(1,0/((成型機資料庫!$F$119:$F$139=J34)*(成型機資料庫!$G$119:$G$139=K34)),成型機資料庫!$K$119:$K$139),0)</f>
        <v>0</v>
      </c>
      <c r="R34" s="899">
        <f t="shared" si="2"/>
        <v>0</v>
      </c>
      <c r="S34" s="898">
        <f t="shared" si="3"/>
        <v>0</v>
      </c>
      <c r="T34" s="463">
        <f>IFERROR(LOOKUP(1,0/((成型機資料庫!$F$119:$F$139=J34)*(成型機資料庫!$G$119:$G$139=K34)),成型機資料庫!$I$119:$I$139),0)</f>
        <v>0</v>
      </c>
      <c r="U34" s="483">
        <f>IFERROR(LOOKUP(1,0/((成型機資料庫!$F$119:$F$139=J34)*(成型機資料庫!$G$119:$G$139=K34)),成型機資料庫!$J$119:$J$139),0)</f>
        <v>0</v>
      </c>
      <c r="V34" s="900">
        <f>IFERROR(LOOKUP(1,0/((成型機資料庫!$F$119:$F$139=J34)*(成型機資料庫!$G$119:$G$139=K34)),成型機資料庫!$L$119:$L$139),0)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64"/>
      <c r="AF34" s="438"/>
    </row>
    <row r="35" spans="1:32" s="433" customFormat="1" ht="15.75">
      <c r="A35" s="434">
        <v>113</v>
      </c>
      <c r="B35" s="434"/>
      <c r="C35" s="434">
        <v>24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IFERROR(LOOKUP(1,0/((成型機資料庫!$F$119:$F$139=J35)*(成型機資料庫!$G$119:$G$139=K35)),成型機資料庫!$K$119:$K$139),0)</f>
        <v>0</v>
      </c>
      <c r="R35" s="899">
        <f t="shared" si="2"/>
        <v>0</v>
      </c>
      <c r="S35" s="898">
        <f t="shared" si="3"/>
        <v>0</v>
      </c>
      <c r="T35" s="463">
        <f>IFERROR(LOOKUP(1,0/((成型機資料庫!$F$119:$F$139=J35)*(成型機資料庫!$G$119:$G$139=K35)),成型機資料庫!$I$119:$I$139),0)</f>
        <v>0</v>
      </c>
      <c r="U35" s="483">
        <f>IFERROR(LOOKUP(1,0/((成型機資料庫!$F$119:$F$139=J35)*(成型機資料庫!$G$119:$G$139=K35)),成型機資料庫!$J$119:$J$139),0)</f>
        <v>0</v>
      </c>
      <c r="V35" s="900">
        <f>IFERROR(LOOKUP(1,0/((成型機資料庫!$F$119:$F$139=J35)*(成型機資料庫!$G$119:$G$139=K35)),成型機資料庫!$L$119:$L$139),0)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25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IFERROR(LOOKUP(1,0/((成型機資料庫!$F$119:$F$139=J36)*(成型機資料庫!$G$119:$G$139=K36)),成型機資料庫!$K$119:$K$139),0)</f>
        <v>0</v>
      </c>
      <c r="R36" s="899">
        <f t="shared" si="2"/>
        <v>0</v>
      </c>
      <c r="S36" s="898">
        <f t="shared" si="3"/>
        <v>0</v>
      </c>
      <c r="T36" s="463">
        <f>IFERROR(LOOKUP(1,0/((成型機資料庫!$F$119:$F$139=J36)*(成型機資料庫!$G$119:$G$139=K36)),成型機資料庫!$I$119:$I$139),0)</f>
        <v>0</v>
      </c>
      <c r="U36" s="483">
        <f>IFERROR(LOOKUP(1,0/((成型機資料庫!$F$119:$F$139=J36)*(成型機資料庫!$G$119:$G$139=K36)),成型機資料庫!$J$119:$J$139),0)</f>
        <v>0</v>
      </c>
      <c r="V36" s="900">
        <f>IFERROR(LOOKUP(1,0/((成型機資料庫!$F$119:$F$139=J36)*(成型機資料庫!$G$119:$G$139=K36)),成型機資料庫!$L$119:$L$139),0)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64"/>
      <c r="AF36" s="438"/>
    </row>
    <row r="37" spans="1:32" s="433" customFormat="1" ht="15.75">
      <c r="A37" s="434">
        <v>113</v>
      </c>
      <c r="B37" s="434"/>
      <c r="C37" s="434">
        <v>26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IFERROR(LOOKUP(1,0/((成型機資料庫!$F$119:$F$139=J37)*(成型機資料庫!$G$119:$G$139=K37)),成型機資料庫!$K$119:$K$139),0)</f>
        <v>0</v>
      </c>
      <c r="R37" s="899">
        <f t="shared" si="2"/>
        <v>0</v>
      </c>
      <c r="S37" s="898">
        <f t="shared" si="3"/>
        <v>0</v>
      </c>
      <c r="T37" s="463">
        <f>IFERROR(LOOKUP(1,0/((成型機資料庫!$F$119:$F$139=J37)*(成型機資料庫!$G$119:$G$139=K37)),成型機資料庫!$I$119:$I$139),0)</f>
        <v>0</v>
      </c>
      <c r="U37" s="483">
        <f>IFERROR(LOOKUP(1,0/((成型機資料庫!$F$119:$F$139=J37)*(成型機資料庫!$G$119:$G$139=K37)),成型機資料庫!$J$119:$J$139),0)</f>
        <v>0</v>
      </c>
      <c r="V37" s="900">
        <f>IFERROR(LOOKUP(1,0/((成型機資料庫!$F$119:$F$139=J37)*(成型機資料庫!$G$119:$G$139=K37)),成型機資料庫!$L$119:$L$139),0)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38"/>
      <c r="AE37" s="464"/>
      <c r="AF37" s="438"/>
    </row>
    <row r="38" spans="1:32" s="433" customFormat="1" ht="15.75">
      <c r="A38" s="434">
        <v>113</v>
      </c>
      <c r="B38" s="434"/>
      <c r="C38" s="434">
        <v>27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IFERROR(LOOKUP(1,0/((成型機資料庫!$F$119:$F$139=J38)*(成型機資料庫!$G$119:$G$139=K38)),成型機資料庫!$K$119:$K$139),0)</f>
        <v>0</v>
      </c>
      <c r="R38" s="899">
        <f t="shared" si="2"/>
        <v>0</v>
      </c>
      <c r="S38" s="898">
        <f t="shared" si="3"/>
        <v>0</v>
      </c>
      <c r="T38" s="463">
        <f>IFERROR(LOOKUP(1,0/((成型機資料庫!$F$119:$F$139=J38)*(成型機資料庫!$G$119:$G$139=K38)),成型機資料庫!$I$119:$I$139),0)</f>
        <v>0</v>
      </c>
      <c r="U38" s="483">
        <f>IFERROR(LOOKUP(1,0/((成型機資料庫!$F$119:$F$139=J38)*(成型機資料庫!$G$119:$G$139=K38)),成型機資料庫!$J$119:$J$139),0)</f>
        <v>0</v>
      </c>
      <c r="V38" s="900">
        <f>IFERROR(LOOKUP(1,0/((成型機資料庫!$F$119:$F$139=J38)*(成型機資料庫!$G$119:$G$139=K38)),成型機資料庫!$L$119:$L$139),0)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581"/>
      <c r="C39" s="581">
        <v>28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IFERROR(LOOKUP(1,0/((成型機資料庫!$F$119:$F$139=J39)*(成型機資料庫!$G$119:$G$139=K39)),成型機資料庫!$K$119:$K$139),0)</f>
        <v>0</v>
      </c>
      <c r="R39" s="899">
        <f t="shared" si="2"/>
        <v>0</v>
      </c>
      <c r="S39" s="898">
        <f t="shared" si="3"/>
        <v>0</v>
      </c>
      <c r="T39" s="463">
        <f>IFERROR(LOOKUP(1,0/((成型機資料庫!$F$119:$F$139=J39)*(成型機資料庫!$G$119:$G$139=K39)),成型機資料庫!$I$119:$I$139),0)</f>
        <v>0</v>
      </c>
      <c r="U39" s="483">
        <f>IFERROR(LOOKUP(1,0/((成型機資料庫!$F$119:$F$139=J39)*(成型機資料庫!$G$119:$G$139=K39)),成型機資料庫!$J$119:$J$139),0)</f>
        <v>0</v>
      </c>
      <c r="V39" s="900">
        <f>IFERROR(LOOKUP(1,0/((成型機資料庫!$F$119:$F$139=J39)*(成型機資料庫!$G$119:$G$139=K39)),成型機資料庫!$L$119:$L$139),0)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29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IFERROR(LOOKUP(1,0/((成型機資料庫!$F$119:$F$139=J40)*(成型機資料庫!$G$119:$G$139=K40)),成型機資料庫!$K$119:$K$139),0)</f>
        <v>0</v>
      </c>
      <c r="R40" s="899">
        <f t="shared" si="2"/>
        <v>0</v>
      </c>
      <c r="S40" s="898">
        <f t="shared" si="3"/>
        <v>0</v>
      </c>
      <c r="T40" s="463">
        <f>IFERROR(LOOKUP(1,0/((成型機資料庫!$F$119:$F$139=J40)*(成型機資料庫!$G$119:$G$139=K40)),成型機資料庫!$I$119:$I$139),0)</f>
        <v>0</v>
      </c>
      <c r="U40" s="483">
        <f>IFERROR(LOOKUP(1,0/((成型機資料庫!$F$119:$F$139=J40)*(成型機資料庫!$G$119:$G$139=K40)),成型機資料庫!$J$119:$J$139),0)</f>
        <v>0</v>
      </c>
      <c r="V40" s="900">
        <f>IFERROR(LOOKUP(1,0/((成型機資料庫!$F$119:$F$139=J40)*(成型機資料庫!$G$119:$G$139=K40)),成型機資料庫!$L$119:$L$139),0)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64"/>
      <c r="AF40" s="438"/>
    </row>
    <row r="41" spans="1:32" s="433" customFormat="1" ht="15.75">
      <c r="A41" s="434">
        <v>113</v>
      </c>
      <c r="B41" s="581"/>
      <c r="C41" s="581">
        <v>30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IFERROR(LOOKUP(1,0/((成型機資料庫!$F$119:$F$139=J41)*(成型機資料庫!$G$119:$G$139=K41)),成型機資料庫!$K$119:$K$139),0)</f>
        <v>0</v>
      </c>
      <c r="R41" s="899">
        <f t="shared" si="2"/>
        <v>0</v>
      </c>
      <c r="S41" s="898">
        <f t="shared" si="3"/>
        <v>0</v>
      </c>
      <c r="T41" s="463">
        <f>IFERROR(LOOKUP(1,0/((成型機資料庫!$F$119:$F$139=J41)*(成型機資料庫!$G$119:$G$139=K41)),成型機資料庫!$I$119:$I$139),0)</f>
        <v>0</v>
      </c>
      <c r="U41" s="483">
        <f>IFERROR(LOOKUP(1,0/((成型機資料庫!$F$119:$F$139=J41)*(成型機資料庫!$G$119:$G$139=K41)),成型機資料庫!$J$119:$J$139),0)</f>
        <v>0</v>
      </c>
      <c r="V41" s="900">
        <f>IFERROR(LOOKUP(1,0/((成型機資料庫!$F$119:$F$139=J41)*(成型機資料庫!$G$119:$G$139=K41)),成型機資料庫!$L$119:$L$139),0)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38"/>
      <c r="AF41" s="438"/>
    </row>
    <row r="42" spans="1:32" s="433" customFormat="1" ht="15.75">
      <c r="A42" s="446"/>
      <c r="B42" s="456"/>
      <c r="C42" s="456"/>
      <c r="D42" s="456"/>
      <c r="E42" s="456"/>
      <c r="F42" s="448"/>
      <c r="G42" s="951"/>
      <c r="H42" s="452"/>
      <c r="I42" s="430"/>
      <c r="J42" s="430"/>
      <c r="K42" s="430"/>
      <c r="L42" s="452"/>
      <c r="M42" s="452"/>
      <c r="N42" s="945"/>
      <c r="O42" s="946"/>
      <c r="P42" s="868"/>
      <c r="Q42" s="467"/>
      <c r="R42" s="948"/>
      <c r="S42" s="936"/>
      <c r="T42" s="936"/>
      <c r="U42" s="936"/>
      <c r="V42" s="945"/>
      <c r="W42" s="936"/>
      <c r="X42" s="947"/>
      <c r="Y42" s="936"/>
      <c r="Z42" s="947"/>
      <c r="AA42" s="488"/>
      <c r="AB42" s="439"/>
      <c r="AC42" s="471"/>
      <c r="AD42" s="452"/>
      <c r="AE42" s="439"/>
      <c r="AF42" s="439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thickBot="1">
      <c r="A44" s="446"/>
      <c r="B44" s="446"/>
      <c r="C44" s="446"/>
      <c r="D44" s="446"/>
      <c r="E44" s="446"/>
      <c r="F44" s="448"/>
      <c r="G44" s="448"/>
      <c r="H44" s="430"/>
      <c r="I44" s="430"/>
      <c r="J44" s="430"/>
      <c r="K44" s="430"/>
      <c r="L44" s="439"/>
      <c r="M44" s="452"/>
      <c r="N44" s="452"/>
      <c r="O44" s="457"/>
      <c r="P44" s="466"/>
      <c r="Q44" s="467"/>
      <c r="R44" s="486"/>
      <c r="S44" s="457"/>
      <c r="T44" s="457"/>
      <c r="U44" s="457"/>
      <c r="V44" s="458"/>
      <c r="W44" s="487">
        <f>SUM(W12:W41)</f>
        <v>0</v>
      </c>
      <c r="X44" s="487"/>
      <c r="Y44" s="487"/>
      <c r="Z44" s="487"/>
      <c r="AA44" s="488"/>
      <c r="AB44" s="489"/>
      <c r="AC44" s="489"/>
      <c r="AD44" s="469" t="s">
        <v>46</v>
      </c>
      <c r="AE44" s="439"/>
      <c r="AF44" s="439"/>
    </row>
    <row r="45" spans="1:32" s="469" customFormat="1" ht="31.5">
      <c r="A45" s="479"/>
      <c r="B45" s="479"/>
      <c r="C45" s="479"/>
      <c r="D45" s="479"/>
      <c r="E45" s="479"/>
      <c r="F45" s="452"/>
      <c r="G45" s="524" t="s">
        <v>503</v>
      </c>
      <c r="H45" s="517"/>
      <c r="I45" s="518"/>
      <c r="L45" s="1842" t="s">
        <v>1348</v>
      </c>
      <c r="M45" s="525" t="s">
        <v>1294</v>
      </c>
      <c r="N45" s="525" t="s">
        <v>1295</v>
      </c>
      <c r="O45" s="526" t="s">
        <v>458</v>
      </c>
      <c r="P45" s="520"/>
      <c r="Q45" s="521"/>
      <c r="R45" s="524" t="s">
        <v>504</v>
      </c>
      <c r="S45" s="524" t="s">
        <v>455</v>
      </c>
      <c r="T45" s="521"/>
      <c r="U45" s="521"/>
      <c r="V45" s="524" t="s">
        <v>1293</v>
      </c>
      <c r="W45" s="524" t="s">
        <v>459</v>
      </c>
      <c r="X45" s="521"/>
      <c r="Y45" s="524" t="s">
        <v>1345</v>
      </c>
      <c r="Z45" s="524" t="s">
        <v>1350</v>
      </c>
      <c r="AA45" s="524" t="s">
        <v>1351</v>
      </c>
      <c r="AB45" s="524" t="s">
        <v>1353</v>
      </c>
      <c r="AC45" s="524" t="s">
        <v>1352</v>
      </c>
      <c r="AD45" s="469" t="s">
        <v>253</v>
      </c>
      <c r="AE45" s="452"/>
      <c r="AF45" s="452"/>
    </row>
    <row r="46" spans="1:32" thickBot="1">
      <c r="G46" s="522">
        <f>SUM(G12:G41)</f>
        <v>0</v>
      </c>
      <c r="I46" s="431"/>
      <c r="J46" s="518"/>
      <c r="K46" s="518"/>
      <c r="L46" s="1843"/>
      <c r="M46" s="522">
        <f>SUM(M12:M41)</f>
        <v>0</v>
      </c>
      <c r="N46" s="522">
        <f>SUM(N12:N41)</f>
        <v>0</v>
      </c>
      <c r="O46" s="902">
        <f>SUM(O12:O41)</f>
        <v>0</v>
      </c>
      <c r="P46" s="470"/>
      <c r="R46" s="924">
        <f>SUM(R12:R41)</f>
        <v>0</v>
      </c>
      <c r="S46" s="897" t="e">
        <f>(G46-R46)/G46</f>
        <v>#DIV/0!</v>
      </c>
      <c r="T46" s="446"/>
      <c r="U46" s="446"/>
      <c r="V46" s="686" t="e">
        <f>N46/W46</f>
        <v>#DIV/0!</v>
      </c>
      <c r="W46" s="516" t="e">
        <f>W44/Y46</f>
        <v>#DIV/0!</v>
      </c>
      <c r="X46" s="446"/>
      <c r="Y46" s="516"/>
      <c r="Z46" s="958">
        <f>SUM(Z12:Z41)</f>
        <v>0</v>
      </c>
      <c r="AA46" s="516">
        <f>SUM(AA12:AA41)</f>
        <v>0</v>
      </c>
      <c r="AB46" s="516">
        <f>Z46-AA46</f>
        <v>0</v>
      </c>
      <c r="AC46" s="896" t="e">
        <f>AA46/Z46</f>
        <v>#DIV/0!</v>
      </c>
    </row>
    <row r="47" spans="1:32">
      <c r="G47" s="453"/>
      <c r="M47" s="453"/>
      <c r="N47" s="453"/>
      <c r="O47"/>
      <c r="P47" s="470"/>
      <c r="R47"/>
      <c r="S47"/>
      <c r="T47"/>
      <c r="U47"/>
    </row>
    <row r="48" spans="1:32" ht="17.25" thickBot="1"/>
    <row r="49" spans="1:56" ht="15.75">
      <c r="A49" s="1824" t="s">
        <v>668</v>
      </c>
      <c r="B49" s="1824" t="s">
        <v>330</v>
      </c>
      <c r="C49" s="1826" t="s">
        <v>311</v>
      </c>
      <c r="D49" s="1828" t="s">
        <v>331</v>
      </c>
      <c r="E49" s="1828" t="s">
        <v>332</v>
      </c>
      <c r="F49" s="1830" t="s">
        <v>194</v>
      </c>
      <c r="G49" s="1830" t="s">
        <v>386</v>
      </c>
      <c r="H49" s="1832" t="s">
        <v>360</v>
      </c>
      <c r="I49" s="1832" t="s">
        <v>361</v>
      </c>
      <c r="J49" s="1832" t="s">
        <v>510</v>
      </c>
      <c r="K49" s="1832" t="s">
        <v>1320</v>
      </c>
      <c r="L49" s="1828" t="s">
        <v>362</v>
      </c>
      <c r="M49" s="1828" t="s">
        <v>514</v>
      </c>
      <c r="N49" s="1856" t="s">
        <v>511</v>
      </c>
      <c r="O49" s="1858" t="s">
        <v>457</v>
      </c>
      <c r="P49" s="1836" t="s">
        <v>379</v>
      </c>
      <c r="Q49" s="1828" t="s">
        <v>627</v>
      </c>
      <c r="R49" s="1852" t="s">
        <v>381</v>
      </c>
      <c r="S49" s="1854" t="s">
        <v>435</v>
      </c>
      <c r="T49" s="1834" t="s">
        <v>365</v>
      </c>
      <c r="U49" s="1836" t="s">
        <v>366</v>
      </c>
      <c r="V49" s="1844" t="s">
        <v>1286</v>
      </c>
      <c r="W49" s="1846" t="s">
        <v>201</v>
      </c>
      <c r="X49" s="1846" t="s">
        <v>1318</v>
      </c>
      <c r="Y49" s="1846" t="s">
        <v>1319</v>
      </c>
      <c r="Z49" s="1849" t="s">
        <v>1285</v>
      </c>
      <c r="AA49" s="1849" t="s">
        <v>339</v>
      </c>
      <c r="AB49" s="1860" t="s">
        <v>340</v>
      </c>
      <c r="AC49" s="1861"/>
      <c r="AD49" s="1862" t="s">
        <v>371</v>
      </c>
      <c r="AE49" s="1862" t="s">
        <v>383</v>
      </c>
      <c r="AF49" s="1840" t="s">
        <v>29</v>
      </c>
    </row>
    <row r="50" spans="1:56" s="447" customFormat="1" thickBot="1">
      <c r="A50" s="1825"/>
      <c r="B50" s="1825"/>
      <c r="C50" s="1827"/>
      <c r="D50" s="1829"/>
      <c r="E50" s="1829"/>
      <c r="F50" s="1831"/>
      <c r="G50" s="1831"/>
      <c r="H50" s="1833"/>
      <c r="I50" s="1833"/>
      <c r="J50" s="1833"/>
      <c r="K50" s="1838"/>
      <c r="L50" s="1829"/>
      <c r="M50" s="1839"/>
      <c r="N50" s="1857"/>
      <c r="O50" s="1859"/>
      <c r="P50" s="1837"/>
      <c r="Q50" s="1829"/>
      <c r="R50" s="1853"/>
      <c r="S50" s="1855"/>
      <c r="T50" s="1835"/>
      <c r="U50" s="1837"/>
      <c r="V50" s="1845"/>
      <c r="W50" s="1847"/>
      <c r="X50" s="1848"/>
      <c r="Y50" s="1848"/>
      <c r="Z50" s="1850"/>
      <c r="AA50" s="1851"/>
      <c r="AB50" s="491" t="s">
        <v>350</v>
      </c>
      <c r="AC50" s="491" t="s">
        <v>351</v>
      </c>
      <c r="AD50" s="1863"/>
      <c r="AE50" s="1863"/>
      <c r="AF50" s="1841"/>
      <c r="AG50" s="446"/>
      <c r="AH50" s="446"/>
      <c r="AU50" s="446"/>
      <c r="AV50" s="446"/>
      <c r="AW50" s="446"/>
      <c r="AX50" s="446"/>
      <c r="AY50" s="446"/>
      <c r="AZ50" s="446"/>
      <c r="BA50" s="446"/>
      <c r="BB50" s="446"/>
      <c r="BC50" s="446"/>
      <c r="BD50" s="446"/>
    </row>
    <row r="51" spans="1:56" s="433" customFormat="1" ht="15.75">
      <c r="A51" s="434">
        <v>113</v>
      </c>
      <c r="B51" s="434"/>
      <c r="C51" s="434">
        <v>1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>M51*Q51</f>
        <v>0</v>
      </c>
      <c r="O51" s="901">
        <f t="shared" ref="O51:O80" si="8">L51*M51</f>
        <v>0</v>
      </c>
      <c r="P51" s="460"/>
      <c r="Q51" s="438">
        <f>IFERROR(LOOKUP(1,0/((成型機資料庫!$F$119:$F$139=J51)*(成型機資料庫!$G$119:$G$139=K51)),成型機資料庫!$K$119:$K$139),0)</f>
        <v>0</v>
      </c>
      <c r="R51" s="899">
        <f t="shared" ref="R51:R80" si="9">M51*Q51*P51/1000</f>
        <v>0</v>
      </c>
      <c r="S51" s="898">
        <f t="shared" ref="S51:S80" si="10">IFERROR((G51-R51)/G51,0)</f>
        <v>0</v>
      </c>
      <c r="T51" s="463">
        <f>IFERROR(LOOKUP(1,0/((成型機資料庫!$F$119:$F$139=J51)*(成型機資料庫!$G$119:$G$139=K51)),成型機資料庫!$I$119:$I$139),0)</f>
        <v>0</v>
      </c>
      <c r="U51" s="483">
        <f>IFERROR(LOOKUP(1,0/((成型機資料庫!$F$119:$F$139=J51)*(成型機資料庫!$G$119:$G$139=K51)),成型機資料庫!$J$119:$J$139),0)</f>
        <v>0</v>
      </c>
      <c r="V51" s="900">
        <f>IFERROR(LOOKUP(1,0/((成型機資料庫!$F$119:$F$139=J51)*(成型機資料庫!$G$119:$G$139=K51)),成型機資料庫!$L$119:$L$139),0)</f>
        <v>0</v>
      </c>
      <c r="W51" s="898">
        <f t="shared" ref="W51:W80" si="11">IFERROR(M51/V51,0)</f>
        <v>0</v>
      </c>
      <c r="X51" s="923">
        <f>IFERROR(T51*U51*60*AA51/Q51,0)</f>
        <v>0</v>
      </c>
      <c r="Y51" s="898">
        <f>IFERROR(M51/X51,0)</f>
        <v>0</v>
      </c>
      <c r="Z51" s="923"/>
      <c r="AA51" s="478">
        <f t="shared" ref="AA51:AA80" si="12">AB51+AC51/60</f>
        <v>0</v>
      </c>
      <c r="AB51" s="438"/>
      <c r="AC51" s="482"/>
      <c r="AD51" s="464"/>
      <c r="AE51" s="438"/>
      <c r="AF51" s="438"/>
    </row>
    <row r="52" spans="1:56" s="433" customFormat="1" ht="15.75">
      <c r="A52" s="434">
        <v>113</v>
      </c>
      <c r="B52" s="581"/>
      <c r="C52" s="581">
        <v>2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ref="N52:N80" si="13">M52*Q52</f>
        <v>0</v>
      </c>
      <c r="O52" s="901">
        <f t="shared" si="8"/>
        <v>0</v>
      </c>
      <c r="P52" s="460"/>
      <c r="Q52" s="438">
        <f>IFERROR(LOOKUP(1,0/((成型機資料庫!$F$119:$F$139=J52)*(成型機資料庫!$G$119:$G$139=K52)),成型機資料庫!$K$119:$K$139),0)</f>
        <v>0</v>
      </c>
      <c r="R52" s="899">
        <f t="shared" si="9"/>
        <v>0</v>
      </c>
      <c r="S52" s="898">
        <f t="shared" si="10"/>
        <v>0</v>
      </c>
      <c r="T52" s="463">
        <f>IFERROR(LOOKUP(1,0/((成型機資料庫!$F$119:$F$139=J52)*(成型機資料庫!$G$119:$G$139=K52)),成型機資料庫!$I$119:$I$139),0)</f>
        <v>0</v>
      </c>
      <c r="U52" s="483">
        <f>IFERROR(LOOKUP(1,0/((成型機資料庫!$F$119:$F$139=J52)*(成型機資料庫!$G$119:$G$139=K52)),成型機資料庫!$J$119:$J$139),0)</f>
        <v>0</v>
      </c>
      <c r="V52" s="900">
        <f>IFERROR(LOOKUP(1,0/((成型機資料庫!$F$119:$F$139=J52)*(成型機資料庫!$G$119:$G$139=K52)),成型機資料庫!$L$119:$L$139),0)</f>
        <v>0</v>
      </c>
      <c r="W52" s="898">
        <f t="shared" si="11"/>
        <v>0</v>
      </c>
      <c r="X52" s="923">
        <f t="shared" ref="X52:X80" si="14">IFERROR(T52*U52*60*AA52/Q52,0)</f>
        <v>0</v>
      </c>
      <c r="Y52" s="898">
        <f t="shared" ref="Y52:Y80" si="15">IFERROR(M52/X52,0)</f>
        <v>0</v>
      </c>
      <c r="Z52" s="923"/>
      <c r="AA52" s="478">
        <f t="shared" si="12"/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3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IFERROR(LOOKUP(1,0/((成型機資料庫!$F$119:$F$139=J53)*(成型機資料庫!$G$119:$G$139=K53)),成型機資料庫!$K$119:$K$139),0)</f>
        <v>0</v>
      </c>
      <c r="R53" s="899">
        <f t="shared" si="9"/>
        <v>0</v>
      </c>
      <c r="S53" s="898">
        <f t="shared" si="10"/>
        <v>0</v>
      </c>
      <c r="T53" s="463">
        <f>IFERROR(LOOKUP(1,0/((成型機資料庫!$F$119:$F$139=J53)*(成型機資料庫!$G$119:$G$139=K53)),成型機資料庫!$I$119:$I$139),0)</f>
        <v>0</v>
      </c>
      <c r="U53" s="483">
        <f>IFERROR(LOOKUP(1,0/((成型機資料庫!$F$119:$F$139=J53)*(成型機資料庫!$G$119:$G$139=K53)),成型機資料庫!$J$119:$J$139),0)</f>
        <v>0</v>
      </c>
      <c r="V53" s="900">
        <f>IFERROR(LOOKUP(1,0/((成型機資料庫!$F$119:$F$139=J53)*(成型機資料庫!$G$119:$G$139=K53)),成型機資料庫!$L$119:$L$139),0)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438"/>
      <c r="AE53" s="438"/>
      <c r="AF53" s="438"/>
    </row>
    <row r="54" spans="1:56" s="433" customFormat="1" ht="15.75">
      <c r="A54" s="434">
        <v>113</v>
      </c>
      <c r="B54" s="581"/>
      <c r="C54" s="581">
        <v>4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IFERROR(LOOKUP(1,0/((成型機資料庫!$F$119:$F$139=J54)*(成型機資料庫!$G$119:$G$139=K54)),成型機資料庫!$K$119:$K$139),0)</f>
        <v>0</v>
      </c>
      <c r="R54" s="899">
        <f t="shared" si="9"/>
        <v>0</v>
      </c>
      <c r="S54" s="898">
        <f t="shared" si="10"/>
        <v>0</v>
      </c>
      <c r="T54" s="463">
        <f>IFERROR(LOOKUP(1,0/((成型機資料庫!$F$119:$F$139=J54)*(成型機資料庫!$G$119:$G$139=K54)),成型機資料庫!$I$119:$I$139),0)</f>
        <v>0</v>
      </c>
      <c r="U54" s="483">
        <f>IFERROR(LOOKUP(1,0/((成型機資料庫!$F$119:$F$139=J54)*(成型機資料庫!$G$119:$G$139=K54)),成型機資料庫!$J$119:$J$139),0)</f>
        <v>0</v>
      </c>
      <c r="V54" s="900">
        <f>IFERROR(LOOKUP(1,0/((成型機資料庫!$F$119:$F$139=J54)*(成型機資料庫!$G$119:$G$139=K54)),成型機資料庫!$L$119:$L$139),0)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64"/>
      <c r="AF54" s="438"/>
    </row>
    <row r="55" spans="1:56" s="433" customFormat="1" ht="15.75">
      <c r="A55" s="434">
        <v>113</v>
      </c>
      <c r="B55" s="581"/>
      <c r="C55" s="581">
        <v>5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IFERROR(LOOKUP(1,0/((成型機資料庫!$F$119:$F$139=J55)*(成型機資料庫!$G$119:$G$139=K55)),成型機資料庫!$K$119:$K$139),0)</f>
        <v>0</v>
      </c>
      <c r="R55" s="899">
        <f t="shared" si="9"/>
        <v>0</v>
      </c>
      <c r="S55" s="898">
        <f t="shared" si="10"/>
        <v>0</v>
      </c>
      <c r="T55" s="463">
        <f>IFERROR(LOOKUP(1,0/((成型機資料庫!$F$119:$F$139=J55)*(成型機資料庫!$G$119:$G$139=K55)),成型機資料庫!$I$119:$I$139),0)</f>
        <v>0</v>
      </c>
      <c r="U55" s="483">
        <f>IFERROR(LOOKUP(1,0/((成型機資料庫!$F$119:$F$139=J55)*(成型機資料庫!$G$119:$G$139=K55)),成型機資料庫!$J$119:$J$139),0)</f>
        <v>0</v>
      </c>
      <c r="V55" s="900">
        <f>IFERROR(LOOKUP(1,0/((成型機資料庫!$F$119:$F$139=J55)*(成型機資料庫!$G$119:$G$139=K55)),成型機資料庫!$L$119:$L$139),0)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38"/>
      <c r="AF55" s="438"/>
    </row>
    <row r="56" spans="1:56" s="433" customFormat="1" ht="15.75">
      <c r="A56" s="434">
        <v>113</v>
      </c>
      <c r="B56" s="581"/>
      <c r="C56" s="581">
        <v>6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IFERROR(LOOKUP(1,0/((成型機資料庫!$F$119:$F$139=J56)*(成型機資料庫!$G$119:$G$139=K56)),成型機資料庫!$K$119:$K$139),0)</f>
        <v>0</v>
      </c>
      <c r="R56" s="899">
        <f t="shared" si="9"/>
        <v>0</v>
      </c>
      <c r="S56" s="898">
        <f t="shared" si="10"/>
        <v>0</v>
      </c>
      <c r="T56" s="463">
        <f>IFERROR(LOOKUP(1,0/((成型機資料庫!$F$119:$F$139=J56)*(成型機資料庫!$G$119:$G$139=K56)),成型機資料庫!$I$119:$I$139),0)</f>
        <v>0</v>
      </c>
      <c r="U56" s="483">
        <f>IFERROR(LOOKUP(1,0/((成型機資料庫!$F$119:$F$139=J56)*(成型機資料庫!$G$119:$G$139=K56)),成型機資料庫!$J$119:$J$139),0)</f>
        <v>0</v>
      </c>
      <c r="V56" s="900">
        <f>IFERROR(LOOKUP(1,0/((成型機資料庫!$F$119:$F$139=J56)*(成型機資料庫!$G$119:$G$139=K56)),成型機資料庫!$L$119:$L$139),0)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879"/>
      <c r="AE56" s="438"/>
      <c r="AF56" s="438"/>
    </row>
    <row r="57" spans="1:56" s="433" customFormat="1" ht="15.75">
      <c r="A57" s="434">
        <v>113</v>
      </c>
      <c r="B57" s="581"/>
      <c r="C57" s="581">
        <v>7</v>
      </c>
      <c r="D57" s="581"/>
      <c r="E57" s="581" t="s">
        <v>43</v>
      </c>
      <c r="F57" s="436" t="s">
        <v>44</v>
      </c>
      <c r="G57" s="927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IFERROR(LOOKUP(1,0/((成型機資料庫!$F$119:$F$139=J57)*(成型機資料庫!$G$119:$G$139=K57)),成型機資料庫!$K$119:$K$139),0)</f>
        <v>0</v>
      </c>
      <c r="R57" s="899">
        <f t="shared" si="9"/>
        <v>0</v>
      </c>
      <c r="S57" s="898">
        <f t="shared" si="10"/>
        <v>0</v>
      </c>
      <c r="T57" s="463">
        <f>IFERROR(LOOKUP(1,0/((成型機資料庫!$F$119:$F$139=J57)*(成型機資料庫!$G$119:$G$139=K57)),成型機資料庫!$I$119:$I$139),0)</f>
        <v>0</v>
      </c>
      <c r="U57" s="483">
        <f>IFERROR(LOOKUP(1,0/((成型機資料庫!$F$119:$F$139=J57)*(成型機資料庫!$G$119:$G$139=K57)),成型機資料庫!$J$119:$J$139),0)</f>
        <v>0</v>
      </c>
      <c r="V57" s="900">
        <f>IFERROR(LOOKUP(1,0/((成型機資料庫!$F$119:$F$139=J57)*(成型機資料庫!$G$119:$G$139=K57)),成型機資料庫!$L$119:$L$139),0)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64"/>
      <c r="AE57" s="438"/>
      <c r="AF57" s="438"/>
    </row>
    <row r="58" spans="1:56" s="433" customFormat="1" ht="15.75">
      <c r="A58" s="434">
        <v>113</v>
      </c>
      <c r="B58" s="581"/>
      <c r="C58" s="581">
        <v>8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IFERROR(LOOKUP(1,0/((成型機資料庫!$F$119:$F$139=J58)*(成型機資料庫!$G$119:$G$139=K58)),成型機資料庫!$K$119:$K$139),0)</f>
        <v>0</v>
      </c>
      <c r="R58" s="899">
        <f t="shared" si="9"/>
        <v>0</v>
      </c>
      <c r="S58" s="898">
        <f t="shared" si="10"/>
        <v>0</v>
      </c>
      <c r="T58" s="463">
        <f>IFERROR(LOOKUP(1,0/((成型機資料庫!$F$119:$F$139=J58)*(成型機資料庫!$G$119:$G$139=K58)),成型機資料庫!$I$119:$I$139),0)</f>
        <v>0</v>
      </c>
      <c r="U58" s="483">
        <f>IFERROR(LOOKUP(1,0/((成型機資料庫!$F$119:$F$139=J58)*(成型機資料庫!$G$119:$G$139=K58)),成型機資料庫!$J$119:$J$139),0)</f>
        <v>0</v>
      </c>
      <c r="V58" s="900">
        <f>IFERROR(LOOKUP(1,0/((成型機資料庫!$F$119:$F$139=J58)*(成型機資料庫!$G$119:$G$139=K58)),成型機資料庫!$L$119:$L$139),0)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9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IFERROR(LOOKUP(1,0/((成型機資料庫!$F$119:$F$139=J59)*(成型機資料庫!$G$119:$G$139=K59)),成型機資料庫!$K$119:$K$139),0)</f>
        <v>0</v>
      </c>
      <c r="R59" s="899">
        <f t="shared" si="9"/>
        <v>0</v>
      </c>
      <c r="S59" s="898">
        <f t="shared" si="10"/>
        <v>0</v>
      </c>
      <c r="T59" s="463">
        <f>IFERROR(LOOKUP(1,0/((成型機資料庫!$F$119:$F$139=J59)*(成型機資料庫!$G$119:$G$139=K59)),成型機資料庫!$I$119:$I$139),0)</f>
        <v>0</v>
      </c>
      <c r="U59" s="483">
        <f>IFERROR(LOOKUP(1,0/((成型機資料庫!$F$119:$F$139=J59)*(成型機資料庫!$G$119:$G$139=K59)),成型機資料庫!$J$119:$J$139),0)</f>
        <v>0</v>
      </c>
      <c r="V59" s="900">
        <f>IFERROR(LOOKUP(1,0/((成型機資料庫!$F$119:$F$139=J59)*(成型機資料庫!$G$119:$G$139=K59)),成型機資料庫!$L$119:$L$139),0)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10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IFERROR(LOOKUP(1,0/((成型機資料庫!$F$119:$F$139=J60)*(成型機資料庫!$G$119:$G$139=K60)),成型機資料庫!$K$119:$K$139),0)</f>
        <v>0</v>
      </c>
      <c r="R60" s="899">
        <f t="shared" si="9"/>
        <v>0</v>
      </c>
      <c r="S60" s="898">
        <f t="shared" si="10"/>
        <v>0</v>
      </c>
      <c r="T60" s="463">
        <f>IFERROR(LOOKUP(1,0/((成型機資料庫!$F$119:$F$139=J60)*(成型機資料庫!$G$119:$G$139=K60)),成型機資料庫!$I$119:$I$139),0)</f>
        <v>0</v>
      </c>
      <c r="U60" s="483">
        <f>IFERROR(LOOKUP(1,0/((成型機資料庫!$F$119:$F$139=J60)*(成型機資料庫!$G$119:$G$139=K60)),成型機資料庫!$J$119:$J$139),0)</f>
        <v>0</v>
      </c>
      <c r="V60" s="900">
        <f>IFERROR(LOOKUP(1,0/((成型機資料庫!$F$119:$F$139=J60)*(成型機資料庫!$G$119:$G$139=K60)),成型機資料庫!$L$119:$L$139),0)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38"/>
      <c r="AE60" s="438"/>
      <c r="AF60" s="438"/>
    </row>
    <row r="61" spans="1:56" s="433" customFormat="1" ht="15.75">
      <c r="A61" s="434">
        <v>113</v>
      </c>
      <c r="B61" s="581"/>
      <c r="C61" s="581">
        <v>11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IFERROR(LOOKUP(1,0/((成型機資料庫!$F$119:$F$139=J61)*(成型機資料庫!$G$119:$G$139=K61)),成型機資料庫!$K$119:$K$139),0)</f>
        <v>0</v>
      </c>
      <c r="R61" s="899">
        <f t="shared" si="9"/>
        <v>0</v>
      </c>
      <c r="S61" s="898">
        <f t="shared" si="10"/>
        <v>0</v>
      </c>
      <c r="T61" s="463">
        <f>IFERROR(LOOKUP(1,0/((成型機資料庫!$F$119:$F$139=J61)*(成型機資料庫!$G$119:$G$139=K61)),成型機資料庫!$I$119:$I$139),0)</f>
        <v>0</v>
      </c>
      <c r="U61" s="483">
        <f>IFERROR(LOOKUP(1,0/((成型機資料庫!$F$119:$F$139=J61)*(成型機資料庫!$G$119:$G$139=K61)),成型機資料庫!$J$119:$J$139),0)</f>
        <v>0</v>
      </c>
      <c r="V61" s="900">
        <f>IFERROR(LOOKUP(1,0/((成型機資料庫!$F$119:$F$139=J61)*(成型機資料庫!$G$119:$G$139=K61)),成型機資料庫!$L$119:$L$139),0)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12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IFERROR(LOOKUP(1,0/((成型機資料庫!$F$119:$F$139=J62)*(成型機資料庫!$G$119:$G$139=K62)),成型機資料庫!$K$119:$K$139),0)</f>
        <v>0</v>
      </c>
      <c r="R62" s="899">
        <f t="shared" si="9"/>
        <v>0</v>
      </c>
      <c r="S62" s="898">
        <f t="shared" si="10"/>
        <v>0</v>
      </c>
      <c r="T62" s="463">
        <f>IFERROR(LOOKUP(1,0/((成型機資料庫!$F$119:$F$139=J62)*(成型機資料庫!$G$119:$G$139=K62)),成型機資料庫!$I$119:$I$139),0)</f>
        <v>0</v>
      </c>
      <c r="U62" s="483">
        <f>IFERROR(LOOKUP(1,0/((成型機資料庫!$F$119:$F$139=J62)*(成型機資料庫!$G$119:$G$139=K62)),成型機資料庫!$J$119:$J$139),0)</f>
        <v>0</v>
      </c>
      <c r="V62" s="900">
        <f>IFERROR(LOOKUP(1,0/((成型機資料庫!$F$119:$F$139=J62)*(成型機資料庫!$G$119:$G$139=K62)),成型機資料庫!$L$119:$L$139),0)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38"/>
      <c r="AE62" s="438"/>
      <c r="AF62" s="438"/>
    </row>
    <row r="63" spans="1:56" s="433" customFormat="1" ht="15.75">
      <c r="A63" s="434">
        <v>113</v>
      </c>
      <c r="B63" s="581"/>
      <c r="C63" s="581">
        <v>13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IFERROR(LOOKUP(1,0/((成型機資料庫!$F$119:$F$139=J63)*(成型機資料庫!$G$119:$G$139=K63)),成型機資料庫!$K$119:$K$139),0)</f>
        <v>0</v>
      </c>
      <c r="R63" s="899">
        <f t="shared" si="9"/>
        <v>0</v>
      </c>
      <c r="S63" s="898">
        <f t="shared" si="10"/>
        <v>0</v>
      </c>
      <c r="T63" s="463">
        <f>IFERROR(LOOKUP(1,0/((成型機資料庫!$F$119:$F$139=J63)*(成型機資料庫!$G$119:$G$139=K63)),成型機資料庫!$I$119:$I$139),0)</f>
        <v>0</v>
      </c>
      <c r="U63" s="483">
        <f>IFERROR(LOOKUP(1,0/((成型機資料庫!$F$119:$F$139=J63)*(成型機資料庫!$G$119:$G$139=K63)),成型機資料庫!$J$119:$J$139),0)</f>
        <v>0</v>
      </c>
      <c r="V63" s="900">
        <f>IFERROR(LOOKUP(1,0/((成型機資料庫!$F$119:$F$139=J63)*(成型機資料庫!$G$119:$G$139=K63)),成型機資料庫!$L$119:$L$139),0)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56" s="433" customFormat="1" ht="15.75">
      <c r="A64" s="434">
        <v>113</v>
      </c>
      <c r="B64" s="581"/>
      <c r="C64" s="581">
        <v>14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IFERROR(LOOKUP(1,0/((成型機資料庫!$F$119:$F$139=J64)*(成型機資料庫!$G$119:$G$139=K64)),成型機資料庫!$K$119:$K$139),0)</f>
        <v>0</v>
      </c>
      <c r="R64" s="899">
        <f t="shared" si="9"/>
        <v>0</v>
      </c>
      <c r="S64" s="898">
        <f t="shared" si="10"/>
        <v>0</v>
      </c>
      <c r="T64" s="463">
        <f>IFERROR(LOOKUP(1,0/((成型機資料庫!$F$119:$F$139=J64)*(成型機資料庫!$G$119:$G$139=K64)),成型機資料庫!$I$119:$I$139),0)</f>
        <v>0</v>
      </c>
      <c r="U64" s="483">
        <f>IFERROR(LOOKUP(1,0/((成型機資料庫!$F$119:$F$139=J64)*(成型機資料庫!$G$119:$G$139=K64)),成型機資料庫!$J$119:$J$139),0)</f>
        <v>0</v>
      </c>
      <c r="V64" s="900">
        <f>IFERROR(LOOKUP(1,0/((成型機資料庫!$F$119:$F$139=J64)*(成型機資料庫!$G$119:$G$139=K64)),成型機資料庫!$L$119:$L$139),0)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15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IFERROR(LOOKUP(1,0/((成型機資料庫!$F$119:$F$139=J65)*(成型機資料庫!$G$119:$G$139=K65)),成型機資料庫!$K$119:$K$139),0)</f>
        <v>0</v>
      </c>
      <c r="R65" s="899">
        <f t="shared" si="9"/>
        <v>0</v>
      </c>
      <c r="S65" s="898">
        <f t="shared" si="10"/>
        <v>0</v>
      </c>
      <c r="T65" s="463">
        <f>IFERROR(LOOKUP(1,0/((成型機資料庫!$F$119:$F$139=J65)*(成型機資料庫!$G$119:$G$139=K65)),成型機資料庫!$I$119:$I$139),0)</f>
        <v>0</v>
      </c>
      <c r="U65" s="483">
        <f>IFERROR(LOOKUP(1,0/((成型機資料庫!$F$119:$F$139=J65)*(成型機資料庫!$G$119:$G$139=K65)),成型機資料庫!$J$119:$J$139),0)</f>
        <v>0</v>
      </c>
      <c r="V65" s="900">
        <f>IFERROR(LOOKUP(1,0/((成型機資料庫!$F$119:$F$139=J65)*(成型機資料庫!$G$119:$G$139=K65)),成型機資料庫!$L$119:$L$139),0)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16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IFERROR(LOOKUP(1,0/((成型機資料庫!$F$119:$F$139=J66)*(成型機資料庫!$G$119:$G$139=K66)),成型機資料庫!$K$119:$K$139),0)</f>
        <v>0</v>
      </c>
      <c r="R66" s="899">
        <f t="shared" si="9"/>
        <v>0</v>
      </c>
      <c r="S66" s="898">
        <f t="shared" si="10"/>
        <v>0</v>
      </c>
      <c r="T66" s="463">
        <f>IFERROR(LOOKUP(1,0/((成型機資料庫!$F$119:$F$139=J66)*(成型機資料庫!$G$119:$G$139=K66)),成型機資料庫!$I$119:$I$139),0)</f>
        <v>0</v>
      </c>
      <c r="U66" s="483">
        <f>IFERROR(LOOKUP(1,0/((成型機資料庫!$F$119:$F$139=J66)*(成型機資料庫!$G$119:$G$139=K66)),成型機資料庫!$J$119:$J$139),0)</f>
        <v>0</v>
      </c>
      <c r="V66" s="900">
        <f>IFERROR(LOOKUP(1,0/((成型機資料庫!$F$119:$F$139=J66)*(成型機資料庫!$G$119:$G$139=K66)),成型機資料庫!$L$119:$L$139),0)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64"/>
      <c r="AF66" s="438"/>
    </row>
    <row r="67" spans="1:32" s="433" customFormat="1" ht="15.75">
      <c r="A67" s="434">
        <v>113</v>
      </c>
      <c r="B67" s="581"/>
      <c r="C67" s="581">
        <v>17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IFERROR(LOOKUP(1,0/((成型機資料庫!$F$119:$F$139=J67)*(成型機資料庫!$G$119:$G$139=K67)),成型機資料庫!$K$119:$K$139),0)</f>
        <v>0</v>
      </c>
      <c r="R67" s="899">
        <f t="shared" si="9"/>
        <v>0</v>
      </c>
      <c r="S67" s="898">
        <f t="shared" si="10"/>
        <v>0</v>
      </c>
      <c r="T67" s="463">
        <f>IFERROR(LOOKUP(1,0/((成型機資料庫!$F$119:$F$139=J67)*(成型機資料庫!$G$119:$G$139=K67)),成型機資料庫!$I$119:$I$139),0)</f>
        <v>0</v>
      </c>
      <c r="U67" s="483">
        <f>IFERROR(LOOKUP(1,0/((成型機資料庫!$F$119:$F$139=J67)*(成型機資料庫!$G$119:$G$139=K67)),成型機資料庫!$J$119:$J$139),0)</f>
        <v>0</v>
      </c>
      <c r="V67" s="900">
        <f>IFERROR(LOOKUP(1,0/((成型機資料庫!$F$119:$F$139=J67)*(成型機資料庫!$G$119:$G$139=K67)),成型機資料庫!$L$119:$L$139),0)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18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IFERROR(LOOKUP(1,0/((成型機資料庫!$F$119:$F$139=J68)*(成型機資料庫!$G$119:$G$139=K68)),成型機資料庫!$K$119:$K$139),0)</f>
        <v>0</v>
      </c>
      <c r="R68" s="899">
        <f t="shared" si="9"/>
        <v>0</v>
      </c>
      <c r="S68" s="898">
        <f t="shared" si="10"/>
        <v>0</v>
      </c>
      <c r="T68" s="463">
        <f>IFERROR(LOOKUP(1,0/((成型機資料庫!$F$119:$F$139=J68)*(成型機資料庫!$G$119:$G$139=K68)),成型機資料庫!$I$119:$I$139),0)</f>
        <v>0</v>
      </c>
      <c r="U68" s="483">
        <f>IFERROR(LOOKUP(1,0/((成型機資料庫!$F$119:$F$139=J68)*(成型機資料庫!$G$119:$G$139=K68)),成型機資料庫!$J$119:$J$139),0)</f>
        <v>0</v>
      </c>
      <c r="V68" s="900">
        <f>IFERROR(LOOKUP(1,0/((成型機資料庫!$F$119:$F$139=J68)*(成型機資料庫!$G$119:$G$139=K68)),成型機資料庫!$L$119:$L$139),0)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19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IFERROR(LOOKUP(1,0/((成型機資料庫!$F$119:$F$139=J69)*(成型機資料庫!$G$119:$G$139=K69)),成型機資料庫!$K$119:$K$139),0)</f>
        <v>0</v>
      </c>
      <c r="R69" s="899">
        <f t="shared" si="9"/>
        <v>0</v>
      </c>
      <c r="S69" s="898">
        <f t="shared" si="10"/>
        <v>0</v>
      </c>
      <c r="T69" s="463">
        <f>IFERROR(LOOKUP(1,0/((成型機資料庫!$F$119:$F$139=J69)*(成型機資料庫!$G$119:$G$139=K69)),成型機資料庫!$I$119:$I$139),0)</f>
        <v>0</v>
      </c>
      <c r="U69" s="483">
        <f>IFERROR(LOOKUP(1,0/((成型機資料庫!$F$119:$F$139=J69)*(成型機資料庫!$G$119:$G$139=K69)),成型機資料庫!$J$119:$J$139),0)</f>
        <v>0</v>
      </c>
      <c r="V69" s="900">
        <f>IFERROR(LOOKUP(1,0/((成型機資料庫!$F$119:$F$139=J69)*(成型機資料庫!$G$119:$G$139=K69)),成型機資料庫!$L$119:$L$139),0)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20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IFERROR(LOOKUP(1,0/((成型機資料庫!$F$119:$F$139=J70)*(成型機資料庫!$G$119:$G$139=K70)),成型機資料庫!$K$119:$K$139),0)</f>
        <v>0</v>
      </c>
      <c r="R70" s="899">
        <f t="shared" si="9"/>
        <v>0</v>
      </c>
      <c r="S70" s="898">
        <f t="shared" si="10"/>
        <v>0</v>
      </c>
      <c r="T70" s="463">
        <f>IFERROR(LOOKUP(1,0/((成型機資料庫!$F$119:$F$139=J70)*(成型機資料庫!$G$119:$G$139=K70)),成型機資料庫!$I$119:$I$139),0)</f>
        <v>0</v>
      </c>
      <c r="U70" s="483">
        <f>IFERROR(LOOKUP(1,0/((成型機資料庫!$F$119:$F$139=J70)*(成型機資料庫!$G$119:$G$139=K70)),成型機資料庫!$J$119:$J$139),0)</f>
        <v>0</v>
      </c>
      <c r="V70" s="900">
        <f>IFERROR(LOOKUP(1,0/((成型機資料庫!$F$119:$F$139=J70)*(成型機資料庫!$G$119:$G$139=K70)),成型機資料庫!$L$119:$L$139),0)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21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IFERROR(LOOKUP(1,0/((成型機資料庫!$F$119:$F$139=J71)*(成型機資料庫!$G$119:$G$139=K71)),成型機資料庫!$K$119:$K$139),0)</f>
        <v>0</v>
      </c>
      <c r="R71" s="899">
        <f t="shared" si="9"/>
        <v>0</v>
      </c>
      <c r="S71" s="898">
        <f t="shared" si="10"/>
        <v>0</v>
      </c>
      <c r="T71" s="463">
        <f>IFERROR(LOOKUP(1,0/((成型機資料庫!$F$119:$F$139=J71)*(成型機資料庫!$G$119:$G$139=K71)),成型機資料庫!$I$119:$I$139),0)</f>
        <v>0</v>
      </c>
      <c r="U71" s="483">
        <f>IFERROR(LOOKUP(1,0/((成型機資料庫!$F$119:$F$139=J71)*(成型機資料庫!$G$119:$G$139=K71)),成型機資料庫!$J$119:$J$139),0)</f>
        <v>0</v>
      </c>
      <c r="V71" s="900">
        <f>IFERROR(LOOKUP(1,0/((成型機資料庫!$F$119:$F$139=J71)*(成型機資料庫!$G$119:$G$139=K71)),成型機資料庫!$L$119:$L$139),0)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22</v>
      </c>
      <c r="D72" s="581"/>
      <c r="E72" s="581" t="s">
        <v>43</v>
      </c>
      <c r="F72" s="436" t="s">
        <v>44</v>
      </c>
      <c r="G72" s="927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IFERROR(LOOKUP(1,0/((成型機資料庫!$F$119:$F$139=J72)*(成型機資料庫!$G$119:$G$139=K72)),成型機資料庫!$K$119:$K$139),0)</f>
        <v>0</v>
      </c>
      <c r="R72" s="899">
        <f t="shared" si="9"/>
        <v>0</v>
      </c>
      <c r="S72" s="898">
        <f t="shared" si="10"/>
        <v>0</v>
      </c>
      <c r="T72" s="463">
        <f>IFERROR(LOOKUP(1,0/((成型機資料庫!$F$119:$F$139=J72)*(成型機資料庫!$G$119:$G$139=K72)),成型機資料庫!$I$119:$I$139),0)</f>
        <v>0</v>
      </c>
      <c r="U72" s="483">
        <f>IFERROR(LOOKUP(1,0/((成型機資料庫!$F$119:$F$139=J72)*(成型機資料庫!$G$119:$G$139=K72)),成型機資料庫!$J$119:$J$139),0)</f>
        <v>0</v>
      </c>
      <c r="V72" s="900">
        <f>IFERROR(LOOKUP(1,0/((成型機資料庫!$F$119:$F$139=J72)*(成型機資料庫!$G$119:$G$139=K72)),成型機資料庫!$L$119:$L$139),0)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23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IFERROR(LOOKUP(1,0/((成型機資料庫!$F$119:$F$139=J73)*(成型機資料庫!$G$119:$G$139=K73)),成型機資料庫!$K$119:$K$139),0)</f>
        <v>0</v>
      </c>
      <c r="R73" s="899">
        <f t="shared" si="9"/>
        <v>0</v>
      </c>
      <c r="S73" s="898">
        <f t="shared" si="10"/>
        <v>0</v>
      </c>
      <c r="T73" s="463">
        <f>IFERROR(LOOKUP(1,0/((成型機資料庫!$F$119:$F$139=J73)*(成型機資料庫!$G$119:$G$139=K73)),成型機資料庫!$I$119:$I$139),0)</f>
        <v>0</v>
      </c>
      <c r="U73" s="483">
        <f>IFERROR(LOOKUP(1,0/((成型機資料庫!$F$119:$F$139=J73)*(成型機資料庫!$G$119:$G$139=K73)),成型機資料庫!$J$119:$J$139),0)</f>
        <v>0</v>
      </c>
      <c r="V73" s="900">
        <f>IFERROR(LOOKUP(1,0/((成型機資料庫!$F$119:$F$139=J73)*(成型機資料庫!$G$119:$G$139=K73)),成型機資料庫!$L$119:$L$139),0)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64"/>
      <c r="AF73" s="438"/>
    </row>
    <row r="74" spans="1:32" s="433" customFormat="1" ht="15.75">
      <c r="A74" s="434">
        <v>113</v>
      </c>
      <c r="B74" s="434"/>
      <c r="C74" s="434">
        <v>24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IFERROR(LOOKUP(1,0/((成型機資料庫!$F$119:$F$139=J74)*(成型機資料庫!$G$119:$G$139=K74)),成型機資料庫!$K$119:$K$139),0)</f>
        <v>0</v>
      </c>
      <c r="R74" s="899">
        <f t="shared" si="9"/>
        <v>0</v>
      </c>
      <c r="S74" s="898">
        <f t="shared" si="10"/>
        <v>0</v>
      </c>
      <c r="T74" s="463">
        <f>IFERROR(LOOKUP(1,0/((成型機資料庫!$F$119:$F$139=J74)*(成型機資料庫!$G$119:$G$139=K74)),成型機資料庫!$I$119:$I$139),0)</f>
        <v>0</v>
      </c>
      <c r="U74" s="483">
        <f>IFERROR(LOOKUP(1,0/((成型機資料庫!$F$119:$F$139=J74)*(成型機資料庫!$G$119:$G$139=K74)),成型機資料庫!$J$119:$J$139),0)</f>
        <v>0</v>
      </c>
      <c r="V74" s="900">
        <f>IFERROR(LOOKUP(1,0/((成型機資料庫!$F$119:$F$139=J74)*(成型機資料庫!$G$119:$G$139=K74)),成型機資料庫!$L$119:$L$139),0)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25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IFERROR(LOOKUP(1,0/((成型機資料庫!$F$119:$F$139=J75)*(成型機資料庫!$G$119:$G$139=K75)),成型機資料庫!$K$119:$K$139),0)</f>
        <v>0</v>
      </c>
      <c r="R75" s="899">
        <f t="shared" si="9"/>
        <v>0</v>
      </c>
      <c r="S75" s="898">
        <f t="shared" si="10"/>
        <v>0</v>
      </c>
      <c r="T75" s="463">
        <f>IFERROR(LOOKUP(1,0/((成型機資料庫!$F$119:$F$139=J75)*(成型機資料庫!$G$119:$G$139=K75)),成型機資料庫!$I$119:$I$139),0)</f>
        <v>0</v>
      </c>
      <c r="U75" s="483">
        <f>IFERROR(LOOKUP(1,0/((成型機資料庫!$F$119:$F$139=J75)*(成型機資料庫!$G$119:$G$139=K75)),成型機資料庫!$J$119:$J$139),0)</f>
        <v>0</v>
      </c>
      <c r="V75" s="900">
        <f>IFERROR(LOOKUP(1,0/((成型機資料庫!$F$119:$F$139=J75)*(成型機資料庫!$G$119:$G$139=K75)),成型機資料庫!$L$119:$L$139),0)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64"/>
      <c r="AF75" s="438"/>
    </row>
    <row r="76" spans="1:32" s="433" customFormat="1" ht="15.75">
      <c r="A76" s="434">
        <v>113</v>
      </c>
      <c r="B76" s="434"/>
      <c r="C76" s="434">
        <v>26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IFERROR(LOOKUP(1,0/((成型機資料庫!$F$119:$F$139=J76)*(成型機資料庫!$G$119:$G$139=K76)),成型機資料庫!$K$119:$K$139),0)</f>
        <v>0</v>
      </c>
      <c r="R76" s="899">
        <f t="shared" si="9"/>
        <v>0</v>
      </c>
      <c r="S76" s="898">
        <f t="shared" si="10"/>
        <v>0</v>
      </c>
      <c r="T76" s="463">
        <f>IFERROR(LOOKUP(1,0/((成型機資料庫!$F$119:$F$139=J76)*(成型機資料庫!$G$119:$G$139=K76)),成型機資料庫!$I$119:$I$139),0)</f>
        <v>0</v>
      </c>
      <c r="U76" s="483">
        <f>IFERROR(LOOKUP(1,0/((成型機資料庫!$F$119:$F$139=J76)*(成型機資料庫!$G$119:$G$139=K76)),成型機資料庫!$J$119:$J$139),0)</f>
        <v>0</v>
      </c>
      <c r="V76" s="900">
        <f>IFERROR(LOOKUP(1,0/((成型機資料庫!$F$119:$F$139=J76)*(成型機資料庫!$G$119:$G$139=K76)),成型機資料庫!$L$119:$L$139),0)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38"/>
      <c r="AE76" s="464"/>
      <c r="AF76" s="438"/>
    </row>
    <row r="77" spans="1:32" s="433" customFormat="1" ht="15.75">
      <c r="A77" s="434">
        <v>113</v>
      </c>
      <c r="B77" s="434"/>
      <c r="C77" s="434">
        <v>27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IFERROR(LOOKUP(1,0/((成型機資料庫!$F$119:$F$139=J77)*(成型機資料庫!$G$119:$G$139=K77)),成型機資料庫!$K$119:$K$139),0)</f>
        <v>0</v>
      </c>
      <c r="R77" s="899">
        <f t="shared" si="9"/>
        <v>0</v>
      </c>
      <c r="S77" s="898">
        <f t="shared" si="10"/>
        <v>0</v>
      </c>
      <c r="T77" s="463">
        <f>IFERROR(LOOKUP(1,0/((成型機資料庫!$F$119:$F$139=J77)*(成型機資料庫!$G$119:$G$139=K77)),成型機資料庫!$I$119:$I$139),0)</f>
        <v>0</v>
      </c>
      <c r="U77" s="483">
        <f>IFERROR(LOOKUP(1,0/((成型機資料庫!$F$119:$F$139=J77)*(成型機資料庫!$G$119:$G$139=K77)),成型機資料庫!$J$119:$J$139),0)</f>
        <v>0</v>
      </c>
      <c r="V77" s="900">
        <f>IFERROR(LOOKUP(1,0/((成型機資料庫!$F$119:$F$139=J77)*(成型機資料庫!$G$119:$G$139=K77)),成型機資料庫!$L$119:$L$139),0)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581"/>
      <c r="C78" s="581">
        <v>28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IFERROR(LOOKUP(1,0/((成型機資料庫!$F$119:$F$139=J78)*(成型機資料庫!$G$119:$G$139=K78)),成型機資料庫!$K$119:$K$139),0)</f>
        <v>0</v>
      </c>
      <c r="R78" s="899">
        <f t="shared" si="9"/>
        <v>0</v>
      </c>
      <c r="S78" s="898">
        <f t="shared" si="10"/>
        <v>0</v>
      </c>
      <c r="T78" s="463">
        <f>IFERROR(LOOKUP(1,0/((成型機資料庫!$F$119:$F$139=J78)*(成型機資料庫!$G$119:$G$139=K78)),成型機資料庫!$I$119:$I$139),0)</f>
        <v>0</v>
      </c>
      <c r="U78" s="483">
        <f>IFERROR(LOOKUP(1,0/((成型機資料庫!$F$119:$F$139=J78)*(成型機資料庫!$G$119:$G$139=K78)),成型機資料庫!$J$119:$J$139),0)</f>
        <v>0</v>
      </c>
      <c r="V78" s="900">
        <f>IFERROR(LOOKUP(1,0/((成型機資料庫!$F$119:$F$139=J78)*(成型機資料庫!$G$119:$G$139=K78)),成型機資料庫!$L$119:$L$139),0)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29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IFERROR(LOOKUP(1,0/((成型機資料庫!$F$119:$F$139=J79)*(成型機資料庫!$G$119:$G$139=K79)),成型機資料庫!$K$119:$K$139),0)</f>
        <v>0</v>
      </c>
      <c r="R79" s="899">
        <f t="shared" si="9"/>
        <v>0</v>
      </c>
      <c r="S79" s="898">
        <f t="shared" si="10"/>
        <v>0</v>
      </c>
      <c r="T79" s="463">
        <f>IFERROR(LOOKUP(1,0/((成型機資料庫!$F$119:$F$139=J79)*(成型機資料庫!$G$119:$G$139=K79)),成型機資料庫!$I$119:$I$139),0)</f>
        <v>0</v>
      </c>
      <c r="U79" s="483">
        <f>IFERROR(LOOKUP(1,0/((成型機資料庫!$F$119:$F$139=J79)*(成型機資料庫!$G$119:$G$139=K79)),成型機資料庫!$J$119:$J$139),0)</f>
        <v>0</v>
      </c>
      <c r="V79" s="900">
        <f>IFERROR(LOOKUP(1,0/((成型機資料庫!$F$119:$F$139=J79)*(成型機資料庫!$G$119:$G$139=K79)),成型機資料庫!$L$119:$L$139),0)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64"/>
      <c r="AF79" s="438"/>
    </row>
    <row r="80" spans="1:32" s="433" customFormat="1" ht="15.75">
      <c r="A80" s="434">
        <v>113</v>
      </c>
      <c r="B80" s="581"/>
      <c r="C80" s="581">
        <v>30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IFERROR(LOOKUP(1,0/((成型機資料庫!$F$119:$F$139=J80)*(成型機資料庫!$G$119:$G$139=K80)),成型機資料庫!$K$119:$K$139),0)</f>
        <v>0</v>
      </c>
      <c r="R80" s="899">
        <f t="shared" si="9"/>
        <v>0</v>
      </c>
      <c r="S80" s="898">
        <f t="shared" si="10"/>
        <v>0</v>
      </c>
      <c r="T80" s="463">
        <f>IFERROR(LOOKUP(1,0/((成型機資料庫!$F$119:$F$139=J80)*(成型機資料庫!$G$119:$G$139=K80)),成型機資料庫!$I$119:$I$139),0)</f>
        <v>0</v>
      </c>
      <c r="U80" s="483">
        <f>IFERROR(LOOKUP(1,0/((成型機資料庫!$F$119:$F$139=J80)*(成型機資料庫!$G$119:$G$139=K80)),成型機資料庫!$J$119:$J$139),0)</f>
        <v>0</v>
      </c>
      <c r="V80" s="900">
        <f>IFERROR(LOOKUP(1,0/((成型機資料庫!$F$119:$F$139=J80)*(成型機資料庫!$G$119:$G$139=K80)),成型機資料庫!$L$119:$L$139),0)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38"/>
      <c r="AF80" s="438"/>
    </row>
    <row r="81" spans="1:56" s="433" customFormat="1" ht="15.75">
      <c r="A81" s="446"/>
      <c r="B81" s="456"/>
      <c r="C81" s="456"/>
      <c r="D81" s="456"/>
      <c r="E81" s="456"/>
      <c r="F81" s="448"/>
      <c r="G81" s="951"/>
      <c r="H81" s="452"/>
      <c r="I81" s="430"/>
      <c r="J81" s="469"/>
      <c r="K81" s="469"/>
      <c r="L81" s="452"/>
      <c r="M81" s="452"/>
      <c r="N81" s="945"/>
      <c r="O81" s="946"/>
      <c r="P81" s="868"/>
      <c r="Q81" s="467"/>
      <c r="R81" s="948"/>
      <c r="S81" s="936"/>
      <c r="T81" s="936"/>
      <c r="U81" s="936"/>
      <c r="V81" s="945"/>
      <c r="W81" s="936"/>
      <c r="X81" s="947"/>
      <c r="Y81" s="936"/>
      <c r="Z81" s="947"/>
      <c r="AA81" s="488"/>
      <c r="AB81" s="439"/>
      <c r="AC81" s="471"/>
      <c r="AD81" s="452"/>
      <c r="AE81" s="439"/>
      <c r="AF81" s="439"/>
    </row>
    <row r="82" spans="1:56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56" s="433" customFormat="1" thickBot="1">
      <c r="A83" s="446"/>
      <c r="B83" s="446"/>
      <c r="C83" s="446"/>
      <c r="D83" s="446"/>
      <c r="E83" s="446"/>
      <c r="F83" s="448"/>
      <c r="G83" s="448"/>
      <c r="H83" s="430"/>
      <c r="I83" s="430"/>
      <c r="J83" s="430"/>
      <c r="K83" s="430"/>
      <c r="L83" s="439"/>
      <c r="M83" s="452"/>
      <c r="N83" s="452"/>
      <c r="O83" s="457"/>
      <c r="P83" s="466"/>
      <c r="Q83" s="467"/>
      <c r="R83" s="486"/>
      <c r="S83" s="457"/>
      <c r="T83" s="457"/>
      <c r="U83" s="457"/>
      <c r="V83" s="458"/>
      <c r="W83" s="487">
        <f>SUM(W51:W80)</f>
        <v>0</v>
      </c>
      <c r="X83" s="487"/>
      <c r="Y83" s="487"/>
      <c r="Z83" s="487"/>
      <c r="AA83" s="488"/>
      <c r="AB83" s="489"/>
      <c r="AC83" s="489"/>
      <c r="AD83" s="469" t="s">
        <v>46</v>
      </c>
      <c r="AE83" s="439"/>
      <c r="AF83" s="439"/>
    </row>
    <row r="84" spans="1:56" s="469" customFormat="1" ht="31.5">
      <c r="A84" s="479"/>
      <c r="B84" s="479"/>
      <c r="C84" s="479"/>
      <c r="D84" s="479"/>
      <c r="E84" s="479"/>
      <c r="F84" s="452"/>
      <c r="G84" s="524" t="s">
        <v>503</v>
      </c>
      <c r="H84" s="517"/>
      <c r="I84" s="518"/>
      <c r="L84" s="1842" t="s">
        <v>1349</v>
      </c>
      <c r="M84" s="525" t="s">
        <v>1294</v>
      </c>
      <c r="N84" s="525" t="s">
        <v>1295</v>
      </c>
      <c r="O84" s="526" t="s">
        <v>458</v>
      </c>
      <c r="P84" s="520"/>
      <c r="Q84" s="521"/>
      <c r="R84" s="524" t="s">
        <v>504</v>
      </c>
      <c r="S84" s="524" t="s">
        <v>455</v>
      </c>
      <c r="T84" s="521"/>
      <c r="U84" s="521"/>
      <c r="V84" s="524" t="s">
        <v>1293</v>
      </c>
      <c r="W84" s="524" t="s">
        <v>459</v>
      </c>
      <c r="X84" s="521"/>
      <c r="Y84" s="524" t="s">
        <v>1345</v>
      </c>
      <c r="Z84" s="524" t="s">
        <v>1350</v>
      </c>
      <c r="AA84" s="524" t="s">
        <v>1351</v>
      </c>
      <c r="AB84" s="524" t="s">
        <v>1353</v>
      </c>
      <c r="AC84" s="524" t="s">
        <v>1352</v>
      </c>
      <c r="AD84" s="469" t="s">
        <v>253</v>
      </c>
      <c r="AE84" s="452"/>
      <c r="AF84" s="452"/>
    </row>
    <row r="85" spans="1:56" thickBot="1">
      <c r="G85" s="522">
        <f>SUM(G51:G80)</f>
        <v>0</v>
      </c>
      <c r="I85" s="431"/>
      <c r="J85" s="518"/>
      <c r="K85" s="518"/>
      <c r="L85" s="1843"/>
      <c r="M85" s="522">
        <f>SUM(M51:M80)</f>
        <v>0</v>
      </c>
      <c r="N85" s="522">
        <f>SUM(N51:N80)</f>
        <v>0</v>
      </c>
      <c r="O85" s="902">
        <f>SUM(O51:O80)</f>
        <v>0</v>
      </c>
      <c r="P85" s="470"/>
      <c r="R85" s="924">
        <f>SUM(R51:R80)</f>
        <v>0</v>
      </c>
      <c r="S85" s="897" t="e">
        <f>(G85-R85)/G85</f>
        <v>#DIV/0!</v>
      </c>
      <c r="T85" s="446"/>
      <c r="U85" s="446"/>
      <c r="V85" s="686" t="e">
        <f>N85/W85</f>
        <v>#DIV/0!</v>
      </c>
      <c r="W85" s="516" t="e">
        <f>W83/Y85</f>
        <v>#DIV/0!</v>
      </c>
      <c r="X85" s="446"/>
      <c r="Y85" s="516"/>
      <c r="Z85" s="958">
        <f>SUM(Z51:Z80)</f>
        <v>0</v>
      </c>
      <c r="AA85" s="516">
        <f>SUM(AA51:AA80)</f>
        <v>0</v>
      </c>
      <c r="AB85" s="516">
        <f>Z85-AA85</f>
        <v>0</v>
      </c>
      <c r="AC85" s="896" t="e">
        <f>AA85/Z85</f>
        <v>#DIV/0!</v>
      </c>
    </row>
    <row r="86" spans="1:56" s="455" customFormat="1">
      <c r="A86" s="446"/>
      <c r="B86" s="446"/>
      <c r="C86" s="446"/>
      <c r="D86" s="446"/>
      <c r="E86" s="446"/>
      <c r="F86" s="433"/>
      <c r="G86" s="454"/>
      <c r="H86" s="449"/>
      <c r="I86" s="450"/>
      <c r="J86" s="450"/>
      <c r="K86" s="450"/>
      <c r="L86" s="446"/>
      <c r="M86" s="446"/>
      <c r="N86" s="446"/>
      <c r="O86" s="472"/>
      <c r="Q86" s="446"/>
      <c r="R86" s="441"/>
      <c r="S86" s="440"/>
      <c r="T86" s="440"/>
      <c r="U86" s="440"/>
      <c r="V86" s="456"/>
      <c r="W86"/>
      <c r="X86"/>
      <c r="Y86"/>
      <c r="Z86"/>
      <c r="AA86" s="445"/>
      <c r="AB86" s="432"/>
      <c r="AC86" s="432"/>
      <c r="AD86" s="451"/>
      <c r="AE86" s="433"/>
      <c r="AF86" s="433"/>
      <c r="AG86" s="446"/>
      <c r="AH86" s="446"/>
      <c r="AI86" s="446"/>
      <c r="AJ86" s="446"/>
      <c r="AK86" s="446"/>
      <c r="AL86" s="446"/>
      <c r="AM86" s="446"/>
      <c r="AN86" s="446"/>
      <c r="AO86" s="446"/>
      <c r="AP86" s="446"/>
      <c r="AQ86" s="446"/>
      <c r="AR86" s="446"/>
      <c r="AS86" s="446"/>
      <c r="AT86" s="446"/>
      <c r="AU86" s="446"/>
      <c r="AV86" s="446"/>
      <c r="AW86" s="446"/>
      <c r="AX86" s="446"/>
      <c r="AY86" s="446"/>
      <c r="AZ86" s="446"/>
      <c r="BA86" s="446"/>
      <c r="BB86" s="446"/>
      <c r="BC86" s="446"/>
      <c r="BD86" s="446"/>
    </row>
  </sheetData>
  <sheetProtection formatCells="0" formatColumns="0" formatRows="0" insertColumns="0" insertRows="0" insertHyperlinks="0" deleteColumns="0" deleteRows="0" sort="0" autoFilter="0" pivotTables="0"/>
  <mergeCells count="65">
    <mergeCell ref="AF49:AF50"/>
    <mergeCell ref="L84:L85"/>
    <mergeCell ref="X49:X50"/>
    <mergeCell ref="Y49:Y50"/>
    <mergeCell ref="Z49:Z50"/>
    <mergeCell ref="AA49:AA50"/>
    <mergeCell ref="AB49:AC49"/>
    <mergeCell ref="AD49:AD50"/>
    <mergeCell ref="R49:R50"/>
    <mergeCell ref="S49:S50"/>
    <mergeCell ref="T49:T50"/>
    <mergeCell ref="U49:U50"/>
    <mergeCell ref="V49:V50"/>
    <mergeCell ref="W49:W50"/>
    <mergeCell ref="L49:L50"/>
    <mergeCell ref="P49:P50"/>
    <mergeCell ref="AB2:AC2"/>
    <mergeCell ref="AD2:AD3"/>
    <mergeCell ref="AE2:AE3"/>
    <mergeCell ref="M49:M50"/>
    <mergeCell ref="N49:N50"/>
    <mergeCell ref="O49:O50"/>
    <mergeCell ref="Q49:Q50"/>
    <mergeCell ref="AE49:AE50"/>
    <mergeCell ref="AF2:AF3"/>
    <mergeCell ref="L45:L46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9:A50"/>
    <mergeCell ref="B49:B50"/>
    <mergeCell ref="C49:C50"/>
    <mergeCell ref="D49:D50"/>
    <mergeCell ref="E49:E50"/>
    <mergeCell ref="K49:K50"/>
    <mergeCell ref="F49:F50"/>
    <mergeCell ref="G49:G50"/>
    <mergeCell ref="H49:H50"/>
    <mergeCell ref="I49:I50"/>
    <mergeCell ref="J49:J50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8">
    <cfRule type="cellIs" dxfId="659" priority="3" stopIfTrue="1" operator="equal">
      <formula>"未開機"</formula>
    </cfRule>
  </conditionalFormatting>
  <conditionalFormatting sqref="R51:U82">
    <cfRule type="expression" dxfId="658" priority="1" stopIfTrue="1">
      <formula>R51=0</formula>
    </cfRule>
  </conditionalFormatting>
  <conditionalFormatting sqref="W12:W43">
    <cfRule type="cellIs" dxfId="657" priority="34" stopIfTrue="1" operator="between">
      <formula>0.851</formula>
      <formula>1</formula>
    </cfRule>
    <cfRule type="cellIs" dxfId="656" priority="33" stopIfTrue="1" operator="lessThan">
      <formula>0.7</formula>
    </cfRule>
    <cfRule type="expression" dxfId="655" priority="32" stopIfTrue="1">
      <formula>W12=0</formula>
    </cfRule>
    <cfRule type="expression" dxfId="654" priority="36" stopIfTrue="1">
      <formula>W12=0</formula>
    </cfRule>
    <cfRule type="cellIs" dxfId="653" priority="35" stopIfTrue="1" operator="between">
      <formula>0.7</formula>
      <formula>0.85</formula>
    </cfRule>
  </conditionalFormatting>
  <conditionalFormatting sqref="W51:W82">
    <cfRule type="expression" dxfId="652" priority="15" stopIfTrue="1">
      <formula>W51=0</formula>
    </cfRule>
    <cfRule type="cellIs" dxfId="651" priority="16" stopIfTrue="1" operator="lessThan">
      <formula>0.7</formula>
    </cfRule>
    <cfRule type="cellIs" dxfId="650" priority="17" stopIfTrue="1" operator="between">
      <formula>0.851</formula>
      <formula>1</formula>
    </cfRule>
    <cfRule type="cellIs" dxfId="649" priority="18" stopIfTrue="1" operator="between">
      <formula>0.7</formula>
      <formula>0.85</formula>
    </cfRule>
    <cfRule type="expression" dxfId="648" priority="19" stopIfTrue="1">
      <formula>W51=0</formula>
    </cfRule>
  </conditionalFormatting>
  <conditionalFormatting sqref="W4:Y10 S4:U4 S5:S10 T5:U41 R12:S41 Z12:Z43 R42:U43">
    <cfRule type="expression" dxfId="647" priority="40" stopIfTrue="1">
      <formula>R4=0</formula>
    </cfRule>
  </conditionalFormatting>
  <conditionalFormatting sqref="W4:Y10">
    <cfRule type="cellIs" dxfId="646" priority="37" stopIfTrue="1" operator="lessThan">
      <formula>0.7</formula>
    </cfRule>
    <cfRule type="cellIs" dxfId="645" priority="38" stopIfTrue="1" operator="between">
      <formula>0.851</formula>
      <formula>1</formula>
    </cfRule>
    <cfRule type="cellIs" dxfId="644" priority="39" stopIfTrue="1" operator="between">
      <formula>0.7</formula>
      <formula>0.85</formula>
    </cfRule>
  </conditionalFormatting>
  <conditionalFormatting sqref="X13:X43">
    <cfRule type="cellIs" dxfId="643" priority="22" stopIfTrue="1" operator="lessThan">
      <formula>0.7</formula>
    </cfRule>
    <cfRule type="cellIs" dxfId="642" priority="23" stopIfTrue="1" operator="between">
      <formula>0.851</formula>
      <formula>1</formula>
    </cfRule>
    <cfRule type="cellIs" dxfId="641" priority="24" stopIfTrue="1" operator="between">
      <formula>0.7</formula>
      <formula>0.85</formula>
    </cfRule>
    <cfRule type="expression" dxfId="640" priority="25" stopIfTrue="1">
      <formula>X13=0</formula>
    </cfRule>
    <cfRule type="expression" dxfId="639" priority="21" stopIfTrue="1">
      <formula>X13=0</formula>
    </cfRule>
  </conditionalFormatting>
  <conditionalFormatting sqref="X52:X82">
    <cfRule type="expression" dxfId="638" priority="4" stopIfTrue="1">
      <formula>X52=0</formula>
    </cfRule>
    <cfRule type="cellIs" dxfId="637" priority="5" stopIfTrue="1" operator="lessThan">
      <formula>0.7</formula>
    </cfRule>
    <cfRule type="cellIs" dxfId="636" priority="6" stopIfTrue="1" operator="between">
      <formula>0.851</formula>
      <formula>1</formula>
    </cfRule>
    <cfRule type="cellIs" dxfId="635" priority="7" stopIfTrue="1" operator="between">
      <formula>0.7</formula>
      <formula>0.85</formula>
    </cfRule>
    <cfRule type="expression" dxfId="634" priority="8" stopIfTrue="1">
      <formula>X52=0</formula>
    </cfRule>
  </conditionalFormatting>
  <conditionalFormatting sqref="X12:Y12 Y13:Y43">
    <cfRule type="expression" dxfId="633" priority="27" stopIfTrue="1">
      <formula>X12=0</formula>
    </cfRule>
    <cfRule type="cellIs" dxfId="632" priority="28" stopIfTrue="1" operator="lessThan">
      <formula>0.7</formula>
    </cfRule>
    <cfRule type="cellIs" dxfId="631" priority="29" stopIfTrue="1" operator="between">
      <formula>0.851</formula>
      <formula>1</formula>
    </cfRule>
    <cfRule type="cellIs" dxfId="630" priority="30" stopIfTrue="1" operator="between">
      <formula>0.7</formula>
      <formula>0.85</formula>
    </cfRule>
    <cfRule type="expression" dxfId="629" priority="31" stopIfTrue="1">
      <formula>X12=0</formula>
    </cfRule>
  </conditionalFormatting>
  <conditionalFormatting sqref="X51:Y51 Y52:Y82">
    <cfRule type="expression" dxfId="628" priority="10" stopIfTrue="1">
      <formula>X51=0</formula>
    </cfRule>
    <cfRule type="expression" dxfId="627" priority="14" stopIfTrue="1">
      <formula>X51=0</formula>
    </cfRule>
    <cfRule type="cellIs" dxfId="626" priority="13" stopIfTrue="1" operator="between">
      <formula>0.7</formula>
      <formula>0.85</formula>
    </cfRule>
    <cfRule type="cellIs" dxfId="625" priority="12" stopIfTrue="1" operator="between">
      <formula>0.851</formula>
      <formula>1</formula>
    </cfRule>
    <cfRule type="cellIs" dxfId="624" priority="11" stopIfTrue="1" operator="lessThan">
      <formula>0.7</formula>
    </cfRule>
  </conditionalFormatting>
  <conditionalFormatting sqref="Y12:Y43">
    <cfRule type="cellIs" dxfId="623" priority="26" stopIfTrue="1" operator="greaterThan">
      <formula>1</formula>
    </cfRule>
  </conditionalFormatting>
  <conditionalFormatting sqref="Y51:Y82">
    <cfRule type="cellIs" dxfId="622" priority="9" stopIfTrue="1" operator="greaterThan">
      <formula>1</formula>
    </cfRule>
  </conditionalFormatting>
  <conditionalFormatting sqref="Z51:Z82">
    <cfRule type="expression" dxfId="621" priority="20" stopIfTrue="1">
      <formula>Z51=0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41AF5BEB-7B52-4BDC-A73D-1CF1AC65E58E}">
          <x14:formula1>
            <xm:f>成型機資料庫!$A$9:$A$11</xm:f>
          </x14:formula1>
          <xm:sqref>K4:K41 K51:K80</xm:sqref>
        </x14:dataValidation>
        <x14:dataValidation type="list" allowBlank="1" showInputMessage="1" showErrorMessage="1" xr:uid="{0E0A98E3-E668-4998-8CE6-2333586530A1}">
          <x14:formula1>
            <xm:f>規格清單!$G$22:$G$28</xm:f>
          </x14:formula1>
          <xm:sqref>J51:J80 J4:J41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2A9E-F62A-4E9B-9362-A74BBC136588}">
  <dimension ref="A1:BD81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449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689</v>
      </c>
      <c r="I4" s="530" t="s">
        <v>1376</v>
      </c>
      <c r="J4" s="530" t="s">
        <v>1376</v>
      </c>
      <c r="K4" s="429" t="s">
        <v>1301</v>
      </c>
      <c r="L4" s="438">
        <v>150</v>
      </c>
      <c r="M4" s="464"/>
      <c r="N4" s="464"/>
      <c r="O4" s="443">
        <f>L4*M4</f>
        <v>0</v>
      </c>
      <c r="P4" s="461">
        <v>4.2</v>
      </c>
      <c r="Q4" s="438">
        <f>IFERROR(LOOKUP(1,0/((成型機資料庫!$F$140:$F$145=J4)*(成型機資料庫!$G$140:$G$145=K4)),成型機資料庫!$K$140:$K$145),0)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IFERROR(LOOKUP(1,0/((成型機資料庫!$F$140:$F$145=J4)*(成型機資料庫!$G$140:$G$145=K4)),成型機資料庫!$I$140:$I$145),0)</f>
        <v>56</v>
      </c>
      <c r="U4" s="483">
        <f>IFERROR(LOOKUP(1,0/((成型機資料庫!$F$140:$F$145=J4)*(成型機資料庫!$G$140:$G$145=K4)),成型機資料庫!$J$140:$J$145),0)</f>
        <v>8.6</v>
      </c>
      <c r="V4" s="900">
        <f>IFERROR(LOOKUP(1,0/((成型機資料庫!$F$140:$F$145=J4)*(成型機資料庫!$G$140:$G$145=K4)),成型機資料庫!$L$140:$L$145),0)</f>
        <v>317.85599999999994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29" t="s">
        <v>689</v>
      </c>
      <c r="I5" s="429" t="s">
        <v>385</v>
      </c>
      <c r="J5" s="429" t="s">
        <v>1464</v>
      </c>
      <c r="K5" s="429" t="s">
        <v>1301</v>
      </c>
      <c r="L5" s="438">
        <v>125</v>
      </c>
      <c r="M5" s="464"/>
      <c r="N5" s="464"/>
      <c r="O5" s="443">
        <f t="shared" ref="O5:O36" si="0">L5*M5</f>
        <v>0</v>
      </c>
      <c r="P5" s="461">
        <v>1</v>
      </c>
      <c r="Q5" s="438">
        <f>IFERROR(LOOKUP(1,0/((成型機資料庫!$F$140:$F$145=J5)*(成型機資料庫!$G$140:$G$145=K5)),成型機資料庫!$K$140:$K$145),0)</f>
        <v>2500</v>
      </c>
      <c r="R5" s="477"/>
      <c r="S5" s="898"/>
      <c r="T5" s="482">
        <f>IFERROR(LOOKUP(1,0/((成型機資料庫!$F$140:$F$145=J5)*(成型機資料庫!$G$140:$G$145=K5)),成型機資料庫!$I$140:$I$145),0)</f>
        <v>120</v>
      </c>
      <c r="U5" s="483">
        <f>IFERROR(LOOKUP(1,0/((成型機資料庫!$F$140:$F$145=J5)*(成型機資料庫!$G$140:$G$145=K5)),成型機資料庫!$J$140:$J$145),0)</f>
        <v>8.6999999999999993</v>
      </c>
      <c r="V5" s="900">
        <f>IFERROR(LOOKUP(1,0/((成型機資料庫!$F$140:$F$145=J5)*(成型機資料庫!$G$140:$G$145=K5)),成型機資料庫!$L$140:$L$145),0)</f>
        <v>275.61599999999999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thickBot="1">
      <c r="A6" s="496"/>
      <c r="B6" s="496"/>
      <c r="C6" s="496"/>
      <c r="D6" s="496"/>
      <c r="E6" s="496"/>
      <c r="F6" s="497"/>
      <c r="G6" s="500"/>
      <c r="H6" s="500"/>
      <c r="I6" s="498"/>
      <c r="J6" s="498"/>
      <c r="K6" s="498"/>
      <c r="L6" s="500"/>
      <c r="M6" s="500"/>
      <c r="N6" s="500"/>
      <c r="O6" s="501">
        <f t="shared" si="0"/>
        <v>0</v>
      </c>
      <c r="P6" s="528"/>
      <c r="Q6" s="499">
        <f>IFERROR(LOOKUP(1,0/((成型機資料庫!$F$140:$F$145=J6)*(成型機資料庫!$G$140:$G$145=K6)),成型機資料庫!$K$140:$K$145),0)</f>
        <v>0</v>
      </c>
      <c r="R6" s="502"/>
      <c r="S6" s="503"/>
      <c r="T6" s="509">
        <f>IFERROR(LOOKUP(1,0/((成型機資料庫!$F$140:$F$145=J6)*(成型機資料庫!$G$140:$G$145=K6)),成型機資料庫!$I$140:$I$145),0)</f>
        <v>0</v>
      </c>
      <c r="U6" s="505">
        <f>IFERROR(LOOKUP(1,0/((成型機資料庫!$F$140:$F$145=J6)*(成型機資料庫!$G$140:$G$145=K6)),成型機資料庫!$J$140:$J$145),0)</f>
        <v>0</v>
      </c>
      <c r="V6" s="991">
        <f>IFERROR(LOOKUP(1,0/((成型機資料庫!$F$140:$F$145=J6)*(成型機資料庫!$G$140:$G$145=K6)),成型機資料庫!$L$140:$L$145),0)</f>
        <v>0</v>
      </c>
      <c r="W6" s="507"/>
      <c r="X6" s="507"/>
      <c r="Y6" s="507"/>
      <c r="Z6" s="507"/>
      <c r="AA6" s="478">
        <f t="shared" ref="AA6:AA36" si="1">AB6+AC6/60</f>
        <v>0</v>
      </c>
      <c r="AB6" s="499"/>
      <c r="AC6" s="509"/>
      <c r="AD6" s="529"/>
      <c r="AE6" s="499"/>
      <c r="AF6" s="499"/>
    </row>
    <row r="7" spans="1:56" s="433" customFormat="1" ht="15.75">
      <c r="A7" s="935">
        <v>113</v>
      </c>
      <c r="B7" s="935"/>
      <c r="C7" s="935">
        <v>1</v>
      </c>
      <c r="D7" s="889"/>
      <c r="E7" s="889" t="s">
        <v>0</v>
      </c>
      <c r="F7" s="962" t="s">
        <v>44</v>
      </c>
      <c r="G7" s="999"/>
      <c r="H7" s="532"/>
      <c r="I7" s="964"/>
      <c r="J7" s="964"/>
      <c r="K7" s="964"/>
      <c r="L7" s="532"/>
      <c r="M7" s="532"/>
      <c r="N7" s="927">
        <f>M7*Q7</f>
        <v>0</v>
      </c>
      <c r="O7" s="995">
        <f t="shared" si="0"/>
        <v>0</v>
      </c>
      <c r="P7" s="1000"/>
      <c r="Q7" s="480">
        <f>IFERROR(LOOKUP(1,0/((成型機資料庫!$F$140:$F$145=J7)*(成型機資料庫!$G$140:$G$145=K7)),成型機資料庫!$K$140:$K$145),0)</f>
        <v>0</v>
      </c>
      <c r="R7" s="997">
        <f t="shared" ref="R7:R36" si="2">M7*Q7*P7/1000</f>
        <v>0</v>
      </c>
      <c r="S7" s="996">
        <f t="shared" ref="S7:S36" si="3">IFERROR((G7-R7)/G7,0)</f>
        <v>0</v>
      </c>
      <c r="T7" s="968">
        <f>IFERROR(LOOKUP(1,0/((成型機資料庫!$F$140:$F$145=J7)*(成型機資料庫!$G$140:$G$145=K7)),成型機資料庫!$I$140:$I$145),0)</f>
        <v>0</v>
      </c>
      <c r="U7" s="967">
        <f>IFERROR(LOOKUP(1,0/((成型機資料庫!$F$140:$F$145=J7)*(成型機資料庫!$G$140:$G$145=K7)),成型機資料庫!$J$140:$J$145),0)</f>
        <v>0</v>
      </c>
      <c r="V7" s="927">
        <f>IFERROR(LOOKUP(1,0/((成型機資料庫!$F$140:$F$145=J7)*(成型機資料庫!$G$140:$G$145=K7)),成型機資料庫!$L$140:$L$145),0)</f>
        <v>0</v>
      </c>
      <c r="W7" s="996">
        <f t="shared" ref="W7:W36" si="4">IFERROR(M7/V7,0)</f>
        <v>0</v>
      </c>
      <c r="X7" s="987">
        <f>IFERROR(T7*U7*60*AA7/Q7,0)</f>
        <v>0</v>
      </c>
      <c r="Y7" s="996">
        <f>IFERROR(M7/X7,0)</f>
        <v>0</v>
      </c>
      <c r="Z7" s="987"/>
      <c r="AA7" s="495">
        <f t="shared" si="1"/>
        <v>0</v>
      </c>
      <c r="AB7" s="480"/>
      <c r="AC7" s="968"/>
      <c r="AD7" s="532"/>
      <c r="AE7" s="480"/>
      <c r="AF7" s="480"/>
    </row>
    <row r="8" spans="1:56" s="433" customFormat="1" ht="15.75">
      <c r="A8" s="434">
        <v>113</v>
      </c>
      <c r="B8" s="581"/>
      <c r="C8" s="581">
        <v>2</v>
      </c>
      <c r="D8" s="581"/>
      <c r="E8" s="581" t="s">
        <v>0</v>
      </c>
      <c r="F8" s="962" t="s">
        <v>44</v>
      </c>
      <c r="G8" s="926"/>
      <c r="H8" s="464"/>
      <c r="I8" s="429"/>
      <c r="J8" s="429"/>
      <c r="K8" s="429"/>
      <c r="L8" s="464"/>
      <c r="M8" s="464"/>
      <c r="N8" s="900">
        <f t="shared" ref="N8:N36" si="5">M8*Q8</f>
        <v>0</v>
      </c>
      <c r="O8" s="901">
        <f t="shared" si="0"/>
        <v>0</v>
      </c>
      <c r="P8" s="460"/>
      <c r="Q8" s="438">
        <f>IFERROR(LOOKUP(1,0/((成型機資料庫!$F$140:$F$145=J8)*(成型機資料庫!$G$140:$G$145=K8)),成型機資料庫!$K$140:$K$145),0)</f>
        <v>0</v>
      </c>
      <c r="R8" s="899">
        <f t="shared" si="2"/>
        <v>0</v>
      </c>
      <c r="S8" s="898">
        <f t="shared" si="3"/>
        <v>0</v>
      </c>
      <c r="T8" s="482">
        <f>IFERROR(LOOKUP(1,0/((成型機資料庫!$F$140:$F$145=J8)*(成型機資料庫!$G$140:$G$145=K8)),成型機資料庫!$I$140:$I$145),0)</f>
        <v>0</v>
      </c>
      <c r="U8" s="483">
        <f>IFERROR(LOOKUP(1,0/((成型機資料庫!$F$140:$F$145=J8)*(成型機資料庫!$G$140:$G$145=K8)),成型機資料庫!$J$140:$J$145),0)</f>
        <v>0</v>
      </c>
      <c r="V8" s="900">
        <f>IFERROR(LOOKUP(1,0/((成型機資料庫!$F$140:$F$145=J8)*(成型機資料庫!$G$140:$G$145=K8)),成型機資料庫!$L$140:$L$145),0)</f>
        <v>0</v>
      </c>
      <c r="W8" s="898">
        <f t="shared" si="4"/>
        <v>0</v>
      </c>
      <c r="X8" s="923">
        <f t="shared" ref="X8:X36" si="6">IFERROR(T8*U8*60*AA8/Q8,0)</f>
        <v>0</v>
      </c>
      <c r="Y8" s="898">
        <f t="shared" ref="Y8:Y36" si="7">IFERROR(M8/X8,0)</f>
        <v>0</v>
      </c>
      <c r="Z8" s="923"/>
      <c r="AA8" s="478">
        <f t="shared" si="1"/>
        <v>0</v>
      </c>
      <c r="AB8" s="438"/>
      <c r="AC8" s="482"/>
      <c r="AD8" s="464"/>
      <c r="AE8" s="438"/>
      <c r="AF8" s="438"/>
    </row>
    <row r="9" spans="1:56" s="433" customFormat="1" ht="15.75">
      <c r="A9" s="434">
        <v>113</v>
      </c>
      <c r="B9" s="581"/>
      <c r="C9" s="581">
        <v>3</v>
      </c>
      <c r="D9" s="581"/>
      <c r="E9" s="581" t="s">
        <v>0</v>
      </c>
      <c r="F9" s="962" t="s">
        <v>44</v>
      </c>
      <c r="G9" s="926"/>
      <c r="H9" s="464"/>
      <c r="I9" s="429"/>
      <c r="J9" s="429"/>
      <c r="K9" s="429"/>
      <c r="L9" s="464"/>
      <c r="M9" s="464"/>
      <c r="N9" s="900">
        <f t="shared" si="5"/>
        <v>0</v>
      </c>
      <c r="O9" s="901">
        <f t="shared" si="0"/>
        <v>0</v>
      </c>
      <c r="P9" s="460"/>
      <c r="Q9" s="438">
        <f>IFERROR(LOOKUP(1,0/((成型機資料庫!$F$140:$F$145=J9)*(成型機資料庫!$G$140:$G$145=K9)),成型機資料庫!$K$140:$K$145),0)</f>
        <v>0</v>
      </c>
      <c r="R9" s="899">
        <f t="shared" si="2"/>
        <v>0</v>
      </c>
      <c r="S9" s="898">
        <f t="shared" si="3"/>
        <v>0</v>
      </c>
      <c r="T9" s="482">
        <f>IFERROR(LOOKUP(1,0/((成型機資料庫!$F$140:$F$145=J9)*(成型機資料庫!$G$140:$G$145=K9)),成型機資料庫!$I$140:$I$145),0)</f>
        <v>0</v>
      </c>
      <c r="U9" s="483">
        <f>IFERROR(LOOKUP(1,0/((成型機資料庫!$F$140:$F$145=J9)*(成型機資料庫!$G$140:$G$145=K9)),成型機資料庫!$J$140:$J$145),0)</f>
        <v>0</v>
      </c>
      <c r="V9" s="900">
        <f>IFERROR(LOOKUP(1,0/((成型機資料庫!$F$140:$F$145=J9)*(成型機資料庫!$G$140:$G$145=K9)),成型機資料庫!$L$140:$L$145),0)</f>
        <v>0</v>
      </c>
      <c r="W9" s="898">
        <f t="shared" si="4"/>
        <v>0</v>
      </c>
      <c r="X9" s="923">
        <f t="shared" si="6"/>
        <v>0</v>
      </c>
      <c r="Y9" s="898">
        <f t="shared" si="7"/>
        <v>0</v>
      </c>
      <c r="Z9" s="923"/>
      <c r="AA9" s="478">
        <f t="shared" si="1"/>
        <v>0</v>
      </c>
      <c r="AB9" s="438"/>
      <c r="AC9" s="482"/>
      <c r="AD9" s="438"/>
      <c r="AE9" s="438"/>
      <c r="AF9" s="438"/>
    </row>
    <row r="10" spans="1:56" s="433" customFormat="1" ht="15.75">
      <c r="A10" s="434">
        <v>113</v>
      </c>
      <c r="B10" s="581"/>
      <c r="C10" s="581">
        <v>4</v>
      </c>
      <c r="D10" s="581"/>
      <c r="E10" s="581" t="s">
        <v>0</v>
      </c>
      <c r="F10" s="962" t="s">
        <v>44</v>
      </c>
      <c r="G10" s="926"/>
      <c r="H10" s="464"/>
      <c r="I10" s="429"/>
      <c r="J10" s="429"/>
      <c r="K10" s="429"/>
      <c r="L10" s="464"/>
      <c r="M10" s="464"/>
      <c r="N10" s="900">
        <f t="shared" si="5"/>
        <v>0</v>
      </c>
      <c r="O10" s="901">
        <f t="shared" si="0"/>
        <v>0</v>
      </c>
      <c r="P10" s="460"/>
      <c r="Q10" s="438">
        <f>IFERROR(LOOKUP(1,0/((成型機資料庫!$F$140:$F$145=J10)*(成型機資料庫!$G$140:$G$145=K10)),成型機資料庫!$K$140:$K$145),0)</f>
        <v>0</v>
      </c>
      <c r="R10" s="899">
        <f t="shared" si="2"/>
        <v>0</v>
      </c>
      <c r="S10" s="898">
        <f t="shared" si="3"/>
        <v>0</v>
      </c>
      <c r="T10" s="482">
        <f>IFERROR(LOOKUP(1,0/((成型機資料庫!$F$140:$F$145=J10)*(成型機資料庫!$G$140:$G$145=K10)),成型機資料庫!$I$140:$I$145),0)</f>
        <v>0</v>
      </c>
      <c r="U10" s="483">
        <f>IFERROR(LOOKUP(1,0/((成型機資料庫!$F$140:$F$145=J10)*(成型機資料庫!$G$140:$G$145=K10)),成型機資料庫!$J$140:$J$145),0)</f>
        <v>0</v>
      </c>
      <c r="V10" s="900">
        <f>IFERROR(LOOKUP(1,0/((成型機資料庫!$F$140:$F$145=J10)*(成型機資料庫!$G$140:$G$145=K10)),成型機資料庫!$L$140:$L$145),0)</f>
        <v>0</v>
      </c>
      <c r="W10" s="898">
        <f t="shared" si="4"/>
        <v>0</v>
      </c>
      <c r="X10" s="923">
        <f t="shared" si="6"/>
        <v>0</v>
      </c>
      <c r="Y10" s="898">
        <f t="shared" si="7"/>
        <v>0</v>
      </c>
      <c r="Z10" s="923"/>
      <c r="AA10" s="478">
        <f t="shared" si="1"/>
        <v>0</v>
      </c>
      <c r="AB10" s="438"/>
      <c r="AC10" s="482"/>
      <c r="AD10" s="438"/>
      <c r="AE10" s="464"/>
      <c r="AF10" s="438"/>
    </row>
    <row r="11" spans="1:56" s="433" customFormat="1" ht="15.75">
      <c r="A11" s="434">
        <v>113</v>
      </c>
      <c r="B11" s="581"/>
      <c r="C11" s="581">
        <v>5</v>
      </c>
      <c r="D11" s="581"/>
      <c r="E11" s="889" t="s">
        <v>0</v>
      </c>
      <c r="F11" s="962" t="s">
        <v>44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0"/>
        <v>0</v>
      </c>
      <c r="P11" s="460"/>
      <c r="Q11" s="438">
        <f>IFERROR(LOOKUP(1,0/((成型機資料庫!$F$140:$F$145=J11)*(成型機資料庫!$G$140:$G$145=K11)),成型機資料庫!$K$140:$K$145),0)</f>
        <v>0</v>
      </c>
      <c r="R11" s="899">
        <f t="shared" si="2"/>
        <v>0</v>
      </c>
      <c r="S11" s="898">
        <f t="shared" si="3"/>
        <v>0</v>
      </c>
      <c r="T11" s="482">
        <f>IFERROR(LOOKUP(1,0/((成型機資料庫!$F$140:$F$145=J11)*(成型機資料庫!$G$140:$G$145=K11)),成型機資料庫!$I$140:$I$145),0)</f>
        <v>0</v>
      </c>
      <c r="U11" s="483">
        <f>IFERROR(LOOKUP(1,0/((成型機資料庫!$F$140:$F$145=J11)*(成型機資料庫!$G$140:$G$145=K11)),成型機資料庫!$J$140:$J$145),0)</f>
        <v>0</v>
      </c>
      <c r="V11" s="900">
        <f>IFERROR(LOOKUP(1,0/((成型機資料庫!$F$140:$F$145=J11)*(成型機資料庫!$G$140:$G$145=K11)),成型機資料庫!$L$140:$L$145),0)</f>
        <v>0</v>
      </c>
      <c r="W11" s="898">
        <f t="shared" si="4"/>
        <v>0</v>
      </c>
      <c r="X11" s="923">
        <f t="shared" si="6"/>
        <v>0</v>
      </c>
      <c r="Y11" s="898">
        <f t="shared" si="7"/>
        <v>0</v>
      </c>
      <c r="Z11" s="923"/>
      <c r="AA11" s="478">
        <f t="shared" si="1"/>
        <v>0</v>
      </c>
      <c r="AB11" s="438"/>
      <c r="AC11" s="482"/>
      <c r="AD11" s="438"/>
      <c r="AE11" s="438"/>
      <c r="AF11" s="438"/>
    </row>
    <row r="12" spans="1:56" s="433" customFormat="1" ht="15.75">
      <c r="A12" s="434">
        <v>113</v>
      </c>
      <c r="B12" s="581"/>
      <c r="C12" s="581">
        <v>6</v>
      </c>
      <c r="D12" s="581"/>
      <c r="E12" s="889" t="s">
        <v>0</v>
      </c>
      <c r="F12" s="962" t="s">
        <v>44</v>
      </c>
      <c r="G12" s="926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0"/>
        <v>0</v>
      </c>
      <c r="P12" s="460"/>
      <c r="Q12" s="438">
        <f>IFERROR(LOOKUP(1,0/((成型機資料庫!$F$140:$F$145=J12)*(成型機資料庫!$G$140:$G$145=K12)),成型機資料庫!$K$140:$K$145),0)</f>
        <v>0</v>
      </c>
      <c r="R12" s="899">
        <f t="shared" si="2"/>
        <v>0</v>
      </c>
      <c r="S12" s="898">
        <f t="shared" si="3"/>
        <v>0</v>
      </c>
      <c r="T12" s="482">
        <f>IFERROR(LOOKUP(1,0/((成型機資料庫!$F$140:$F$145=J12)*(成型機資料庫!$G$140:$G$145=K12)),成型機資料庫!$I$140:$I$145),0)</f>
        <v>0</v>
      </c>
      <c r="U12" s="483">
        <f>IFERROR(LOOKUP(1,0/((成型機資料庫!$F$140:$F$145=J12)*(成型機資料庫!$G$140:$G$145=K12)),成型機資料庫!$J$140:$J$145),0)</f>
        <v>0</v>
      </c>
      <c r="V12" s="900">
        <f>IFERROR(LOOKUP(1,0/((成型機資料庫!$F$140:$F$145=J12)*(成型機資料庫!$G$140:$G$145=K12)),成型機資料庫!$L$140:$L$145),0)</f>
        <v>0</v>
      </c>
      <c r="W12" s="898">
        <f t="shared" si="4"/>
        <v>0</v>
      </c>
      <c r="X12" s="923">
        <f t="shared" si="6"/>
        <v>0</v>
      </c>
      <c r="Y12" s="898">
        <f t="shared" si="7"/>
        <v>0</v>
      </c>
      <c r="Z12" s="923"/>
      <c r="AA12" s="478">
        <f t="shared" si="1"/>
        <v>0</v>
      </c>
      <c r="AB12" s="438"/>
      <c r="AC12" s="482"/>
      <c r="AD12" s="879"/>
      <c r="AE12" s="438"/>
      <c r="AF12" s="438"/>
    </row>
    <row r="13" spans="1:56" s="433" customFormat="1" ht="15.75">
      <c r="A13" s="434">
        <v>113</v>
      </c>
      <c r="B13" s="581"/>
      <c r="C13" s="581">
        <v>7</v>
      </c>
      <c r="D13" s="581"/>
      <c r="E13" s="889" t="s">
        <v>0</v>
      </c>
      <c r="F13" s="962" t="s">
        <v>44</v>
      </c>
      <c r="G13" s="927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0"/>
        <v>0</v>
      </c>
      <c r="P13" s="460"/>
      <c r="Q13" s="438">
        <f>IFERROR(LOOKUP(1,0/((成型機資料庫!$F$140:$F$145=J13)*(成型機資料庫!$G$140:$G$145=K13)),成型機資料庫!$K$140:$K$145),0)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IFERROR(LOOKUP(1,0/((成型機資料庫!$F$140:$F$145=J13)*(成型機資料庫!$G$140:$G$145=K13)),成型機資料庫!$I$140:$I$145),0)</f>
        <v>0</v>
      </c>
      <c r="U13" s="483">
        <f>IFERROR(LOOKUP(1,0/((成型機資料庫!$F$140:$F$145=J13)*(成型機資料庫!$G$140:$G$145=K13)),成型機資料庫!$J$140:$J$145),0)</f>
        <v>0</v>
      </c>
      <c r="V13" s="900">
        <f>IFERROR(LOOKUP(1,0/((成型機資料庫!$F$140:$F$145=J13)*(成型機資料庫!$G$140:$G$145=K13)),成型機資料庫!$L$140:$L$145),0)</f>
        <v>0</v>
      </c>
      <c r="W13" s="898">
        <f t="shared" si="4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1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8</v>
      </c>
      <c r="D14" s="581"/>
      <c r="E14" s="889" t="s">
        <v>0</v>
      </c>
      <c r="F14" s="962" t="s">
        <v>44</v>
      </c>
      <c r="G14" s="927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IFERROR(LOOKUP(1,0/((成型機資料庫!$F$140:$F$145=J14)*(成型機資料庫!$G$140:$G$145=K14)),成型機資料庫!$K$140:$K$145),0)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IFERROR(LOOKUP(1,0/((成型機資料庫!$F$140:$F$145=J14)*(成型機資料庫!$G$140:$G$145=K14)),成型機資料庫!$I$140:$I$145),0)</f>
        <v>0</v>
      </c>
      <c r="U14" s="483">
        <f>IFERROR(LOOKUP(1,0/((成型機資料庫!$F$140:$F$145=J14)*(成型機資料庫!$G$140:$G$145=K14)),成型機資料庫!$J$140:$J$145),0)</f>
        <v>0</v>
      </c>
      <c r="V14" s="900">
        <f>IFERROR(LOOKUP(1,0/((成型機資料庫!$F$140:$F$145=J14)*(成型機資料庫!$G$140:$G$145=K14)),成型機資料庫!$L$140:$L$145),0)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9</v>
      </c>
      <c r="D15" s="581"/>
      <c r="E15" s="889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IFERROR(LOOKUP(1,0/((成型機資料庫!$F$140:$F$145=J15)*(成型機資料庫!$G$140:$G$145=K15)),成型機資料庫!$K$140:$K$145),0)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IFERROR(LOOKUP(1,0/((成型機資料庫!$F$140:$F$145=J15)*(成型機資料庫!$G$140:$G$145=K15)),成型機資料庫!$I$140:$I$145),0)</f>
        <v>0</v>
      </c>
      <c r="U15" s="483">
        <f>IFERROR(LOOKUP(1,0/((成型機資料庫!$F$140:$F$145=J15)*(成型機資料庫!$G$140:$G$145=K15)),成型機資料庫!$J$140:$J$145),0)</f>
        <v>0</v>
      </c>
      <c r="V15" s="900">
        <f>IFERROR(LOOKUP(1,0/((成型機資料庫!$F$140:$F$145=J15)*(成型機資料庫!$G$140:$G$145=K15)),成型機資料庫!$L$140:$L$145),0)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64"/>
      <c r="AE15" s="438"/>
      <c r="AF15" s="438"/>
    </row>
    <row r="16" spans="1:56" s="433" customFormat="1" ht="15.75">
      <c r="A16" s="434">
        <v>113</v>
      </c>
      <c r="B16" s="581"/>
      <c r="C16" s="581">
        <v>10</v>
      </c>
      <c r="D16" s="581"/>
      <c r="E16" s="889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IFERROR(LOOKUP(1,0/((成型機資料庫!$F$140:$F$145=J16)*(成型機資料庫!$G$140:$G$145=K16)),成型機資料庫!$K$140:$K$145),0)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IFERROR(LOOKUP(1,0/((成型機資料庫!$F$140:$F$145=J16)*(成型機資料庫!$G$140:$G$145=K16)),成型機資料庫!$I$140:$I$145),0)</f>
        <v>0</v>
      </c>
      <c r="U16" s="483">
        <f>IFERROR(LOOKUP(1,0/((成型機資料庫!$F$140:$F$145=J16)*(成型機資料庫!$G$140:$G$145=K16)),成型機資料庫!$J$140:$J$145),0)</f>
        <v>0</v>
      </c>
      <c r="V16" s="900">
        <f>IFERROR(LOOKUP(1,0/((成型機資料庫!$F$140:$F$145=J16)*(成型機資料庫!$G$140:$G$145=K16)),成型機資料庫!$L$140:$L$145),0)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38"/>
      <c r="AF16" s="438"/>
    </row>
    <row r="17" spans="1:32" s="433" customFormat="1" ht="15.75">
      <c r="A17" s="434">
        <v>113</v>
      </c>
      <c r="B17" s="581"/>
      <c r="C17" s="581">
        <v>11</v>
      </c>
      <c r="D17" s="581"/>
      <c r="E17" s="581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IFERROR(LOOKUP(1,0/((成型機資料庫!$F$140:$F$145=J17)*(成型機資料庫!$G$140:$G$145=K17)),成型機資料庫!$K$140:$K$145),0)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IFERROR(LOOKUP(1,0/((成型機資料庫!$F$140:$F$145=J17)*(成型機資料庫!$G$140:$G$145=K17)),成型機資料庫!$I$140:$I$145),0)</f>
        <v>0</v>
      </c>
      <c r="U17" s="483">
        <f>IFERROR(LOOKUP(1,0/((成型機資料庫!$F$140:$F$145=J17)*(成型機資料庫!$G$140:$G$145=K17)),成型機資料庫!$J$140:$J$145),0)</f>
        <v>0</v>
      </c>
      <c r="V17" s="900">
        <f>IFERROR(LOOKUP(1,0/((成型機資料庫!$F$140:$F$145=J17)*(成型機資料庫!$G$140:$G$145=K17)),成型機資料庫!$L$140:$L$145),0)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12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IFERROR(LOOKUP(1,0/((成型機資料庫!$F$140:$F$145=J18)*(成型機資料庫!$G$140:$G$145=K18)),成型機資料庫!$K$140:$K$145),0)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IFERROR(LOOKUP(1,0/((成型機資料庫!$F$140:$F$145=J18)*(成型機資料庫!$G$140:$G$145=K18)),成型機資料庫!$I$140:$I$145),0)</f>
        <v>0</v>
      </c>
      <c r="U18" s="483">
        <f>IFERROR(LOOKUP(1,0/((成型機資料庫!$F$140:$F$145=J18)*(成型機資料庫!$G$140:$G$145=K18)),成型機資料庫!$J$140:$J$145),0)</f>
        <v>0</v>
      </c>
      <c r="V18" s="900">
        <f>IFERROR(LOOKUP(1,0/((成型機資料庫!$F$140:$F$145=J18)*(成型機資料庫!$G$140:$G$145=K18)),成型機資料庫!$L$140:$L$145),0)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38"/>
      <c r="AE18" s="438"/>
      <c r="AF18" s="438"/>
    </row>
    <row r="19" spans="1:32" s="433" customFormat="1" ht="15.75">
      <c r="A19" s="434">
        <v>113</v>
      </c>
      <c r="B19" s="581"/>
      <c r="C19" s="581">
        <v>13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IFERROR(LOOKUP(1,0/((成型機資料庫!$F$140:$F$145=J19)*(成型機資料庫!$G$140:$G$145=K19)),成型機資料庫!$K$140:$K$145),0)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IFERROR(LOOKUP(1,0/((成型機資料庫!$F$140:$F$145=J19)*(成型機資料庫!$G$140:$G$145=K19)),成型機資料庫!$I$140:$I$145),0)</f>
        <v>0</v>
      </c>
      <c r="U19" s="483">
        <f>IFERROR(LOOKUP(1,0/((成型機資料庫!$F$140:$F$145=J19)*(成型機資料庫!$G$140:$G$145=K19)),成型機資料庫!$J$140:$J$145),0)</f>
        <v>0</v>
      </c>
      <c r="V19" s="900">
        <f>IFERROR(LOOKUP(1,0/((成型機資料庫!$F$140:$F$145=J19)*(成型機資料庫!$G$140:$G$145=K19)),成型機資料庫!$L$140:$L$145),0)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14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IFERROR(LOOKUP(1,0/((成型機資料庫!$F$140:$F$145=J20)*(成型機資料庫!$G$140:$G$145=K20)),成型機資料庫!$K$140:$K$145),0)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IFERROR(LOOKUP(1,0/((成型機資料庫!$F$140:$F$145=J20)*(成型機資料庫!$G$140:$G$145=K20)),成型機資料庫!$I$140:$I$145),0)</f>
        <v>0</v>
      </c>
      <c r="U20" s="483">
        <f>IFERROR(LOOKUP(1,0/((成型機資料庫!$F$140:$F$145=J20)*(成型機資料庫!$G$140:$G$145=K20)),成型機資料庫!$J$140:$J$145),0)</f>
        <v>0</v>
      </c>
      <c r="V20" s="900">
        <f>IFERROR(LOOKUP(1,0/((成型機資料庫!$F$140:$F$145=J20)*(成型機資料庫!$G$140:$G$145=K20)),成型機資料庫!$L$140:$L$145),0)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15</v>
      </c>
      <c r="D21" s="581"/>
      <c r="E21" s="889" t="s">
        <v>0</v>
      </c>
      <c r="F21" s="962" t="s">
        <v>44</v>
      </c>
      <c r="G21" s="927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IFERROR(LOOKUP(1,0/((成型機資料庫!$F$140:$F$145=J21)*(成型機資料庫!$G$140:$G$145=K21)),成型機資料庫!$K$140:$K$145),0)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IFERROR(LOOKUP(1,0/((成型機資料庫!$F$140:$F$145=J21)*(成型機資料庫!$G$140:$G$145=K21)),成型機資料庫!$I$140:$I$145),0)</f>
        <v>0</v>
      </c>
      <c r="U21" s="483">
        <f>IFERROR(LOOKUP(1,0/((成型機資料庫!$F$140:$F$145=J21)*(成型機資料庫!$G$140:$G$145=K21)),成型機資料庫!$J$140:$J$145),0)</f>
        <v>0</v>
      </c>
      <c r="V21" s="900">
        <f>IFERROR(LOOKUP(1,0/((成型機資料庫!$F$140:$F$145=J21)*(成型機資料庫!$G$140:$G$145=K21)),成型機資料庫!$L$140:$L$145),0)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16</v>
      </c>
      <c r="D22" s="581"/>
      <c r="E22" s="889" t="s">
        <v>0</v>
      </c>
      <c r="F22" s="962" t="s">
        <v>44</v>
      </c>
      <c r="G22" s="927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IFERROR(LOOKUP(1,0/((成型機資料庫!$F$140:$F$145=J22)*(成型機資料庫!$G$140:$G$145=K22)),成型機資料庫!$K$140:$K$145),0)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IFERROR(LOOKUP(1,0/((成型機資料庫!$F$140:$F$145=J22)*(成型機資料庫!$G$140:$G$145=K22)),成型機資料庫!$I$140:$I$145),0)</f>
        <v>0</v>
      </c>
      <c r="U22" s="483">
        <f>IFERROR(LOOKUP(1,0/((成型機資料庫!$F$140:$F$145=J22)*(成型機資料庫!$G$140:$G$145=K22)),成型機資料庫!$J$140:$J$145),0)</f>
        <v>0</v>
      </c>
      <c r="V22" s="900">
        <f>IFERROR(LOOKUP(1,0/((成型機資料庫!$F$140:$F$145=J22)*(成型機資料庫!$G$140:$G$145=K22)),成型機資料庫!$L$140:$L$145),0)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64"/>
      <c r="AF22" s="438"/>
    </row>
    <row r="23" spans="1:32" s="433" customFormat="1" ht="15.75">
      <c r="A23" s="434">
        <v>113</v>
      </c>
      <c r="B23" s="581"/>
      <c r="C23" s="581">
        <v>17</v>
      </c>
      <c r="D23" s="581"/>
      <c r="E23" s="889" t="s">
        <v>0</v>
      </c>
      <c r="F23" s="962" t="s">
        <v>44</v>
      </c>
      <c r="G23" s="927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IFERROR(LOOKUP(1,0/((成型機資料庫!$F$140:$F$145=J23)*(成型機資料庫!$G$140:$G$145=K23)),成型機資料庫!$K$140:$K$145),0)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IFERROR(LOOKUP(1,0/((成型機資料庫!$F$140:$F$145=J23)*(成型機資料庫!$G$140:$G$145=K23)),成型機資料庫!$I$140:$I$145),0)</f>
        <v>0</v>
      </c>
      <c r="U23" s="483">
        <f>IFERROR(LOOKUP(1,0/((成型機資料庫!$F$140:$F$145=J23)*(成型機資料庫!$G$140:$G$145=K23)),成型機資料庫!$J$140:$J$145),0)</f>
        <v>0</v>
      </c>
      <c r="V23" s="900">
        <f>IFERROR(LOOKUP(1,0/((成型機資料庫!$F$140:$F$145=J23)*(成型機資料庫!$G$140:$G$145=K23)),成型機資料庫!$L$140:$L$145),0)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434"/>
      <c r="C24" s="434">
        <v>18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IFERROR(LOOKUP(1,0/((成型機資料庫!$F$140:$F$145=J24)*(成型機資料庫!$G$140:$G$145=K24)),成型機資料庫!$K$140:$K$145),0)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IFERROR(LOOKUP(1,0/((成型機資料庫!$F$140:$F$145=J24)*(成型機資料庫!$G$140:$G$145=K24)),成型機資料庫!$I$140:$I$145),0)</f>
        <v>0</v>
      </c>
      <c r="U24" s="483">
        <f>IFERROR(LOOKUP(1,0/((成型機資料庫!$F$140:$F$145=J24)*(成型機資料庫!$G$140:$G$145=K24)),成型機資料庫!$J$140:$J$145),0)</f>
        <v>0</v>
      </c>
      <c r="V24" s="900">
        <f>IFERROR(LOOKUP(1,0/((成型機資料庫!$F$140:$F$145=J24)*(成型機資料庫!$G$140:$G$145=K24)),成型機資料庫!$L$140:$L$145),0)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434"/>
      <c r="C25" s="434">
        <v>19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IFERROR(LOOKUP(1,0/((成型機資料庫!$F$140:$F$145=J25)*(成型機資料庫!$G$140:$G$145=K25)),成型機資料庫!$K$140:$K$145),0)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IFERROR(LOOKUP(1,0/((成型機資料庫!$F$140:$F$145=J25)*(成型機資料庫!$G$140:$G$145=K25)),成型機資料庫!$I$140:$I$145),0)</f>
        <v>0</v>
      </c>
      <c r="U25" s="483">
        <f>IFERROR(LOOKUP(1,0/((成型機資料庫!$F$140:$F$145=J25)*(成型機資料庫!$G$140:$G$145=K25)),成型機資料庫!$J$140:$J$145),0)</f>
        <v>0</v>
      </c>
      <c r="V25" s="900">
        <f>IFERROR(LOOKUP(1,0/((成型機資料庫!$F$140:$F$145=J25)*(成型機資料庫!$G$140:$G$145=K25)),成型機資料庫!$L$140:$L$145),0)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20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IFERROR(LOOKUP(1,0/((成型機資料庫!$F$140:$F$145=J26)*(成型機資料庫!$G$140:$G$145=K26)),成型機資料庫!$K$140:$K$145),0)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IFERROR(LOOKUP(1,0/((成型機資料庫!$F$140:$F$145=J26)*(成型機資料庫!$G$140:$G$145=K26)),成型機資料庫!$I$140:$I$145),0)</f>
        <v>0</v>
      </c>
      <c r="U26" s="483">
        <f>IFERROR(LOOKUP(1,0/((成型機資料庫!$F$140:$F$145=J26)*(成型機資料庫!$G$140:$G$145=K26)),成型機資料庫!$J$140:$J$145),0)</f>
        <v>0</v>
      </c>
      <c r="V26" s="900">
        <f>IFERROR(LOOKUP(1,0/((成型機資料庫!$F$140:$F$145=J26)*(成型機資料庫!$G$140:$G$145=K26)),成型機資料庫!$L$140:$L$145),0)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21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IFERROR(LOOKUP(1,0/((成型機資料庫!$F$140:$F$145=J27)*(成型機資料庫!$G$140:$G$145=K27)),成型機資料庫!$K$140:$K$145),0)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IFERROR(LOOKUP(1,0/((成型機資料庫!$F$140:$F$145=J27)*(成型機資料庫!$G$140:$G$145=K27)),成型機資料庫!$I$140:$I$145),0)</f>
        <v>0</v>
      </c>
      <c r="U27" s="483">
        <f>IFERROR(LOOKUP(1,0/((成型機資料庫!$F$140:$F$145=J27)*(成型機資料庫!$G$140:$G$145=K27)),成型機資料庫!$J$140:$J$145),0)</f>
        <v>0</v>
      </c>
      <c r="V27" s="900">
        <f>IFERROR(LOOKUP(1,0/((成型機資料庫!$F$140:$F$145=J27)*(成型機資料庫!$G$140:$G$145=K27)),成型機資料庫!$L$140:$L$145),0)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22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IFERROR(LOOKUP(1,0/((成型機資料庫!$F$140:$F$145=J28)*(成型機資料庫!$G$140:$G$145=K28)),成型機資料庫!$K$140:$K$145),0)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IFERROR(LOOKUP(1,0/((成型機資料庫!$F$140:$F$145=J28)*(成型機資料庫!$G$140:$G$145=K28)),成型機資料庫!$I$140:$I$145),0)</f>
        <v>0</v>
      </c>
      <c r="U28" s="483">
        <f>IFERROR(LOOKUP(1,0/((成型機資料庫!$F$140:$F$145=J28)*(成型機資料庫!$G$140:$G$145=K28)),成型機資料庫!$J$140:$J$145),0)</f>
        <v>0</v>
      </c>
      <c r="V28" s="900">
        <f>IFERROR(LOOKUP(1,0/((成型機資料庫!$F$140:$F$145=J28)*(成型機資料庫!$G$140:$G$145=K28)),成型機資料庫!$L$140:$L$145),0)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23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IFERROR(LOOKUP(1,0/((成型機資料庫!$F$140:$F$145=J29)*(成型機資料庫!$G$140:$G$145=K29)),成型機資料庫!$K$140:$K$145),0)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IFERROR(LOOKUP(1,0/((成型機資料庫!$F$140:$F$145=J29)*(成型機資料庫!$G$140:$G$145=K29)),成型機資料庫!$I$140:$I$145),0)</f>
        <v>0</v>
      </c>
      <c r="U29" s="483">
        <f>IFERROR(LOOKUP(1,0/((成型機資料庫!$F$140:$F$145=J29)*(成型機資料庫!$G$140:$G$145=K29)),成型機資料庫!$J$140:$J$145),0)</f>
        <v>0</v>
      </c>
      <c r="V29" s="900">
        <f>IFERROR(LOOKUP(1,0/((成型機資料庫!$F$140:$F$145=J29)*(成型機資料庫!$G$140:$G$145=K29)),成型機資料庫!$L$140:$L$145),0)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64"/>
      <c r="AF29" s="438"/>
    </row>
    <row r="30" spans="1:32" s="433" customFormat="1" ht="15.75">
      <c r="A30" s="434">
        <v>113</v>
      </c>
      <c r="B30" s="434"/>
      <c r="C30" s="434">
        <v>24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IFERROR(LOOKUP(1,0/((成型機資料庫!$F$140:$F$145=J30)*(成型機資料庫!$G$140:$G$145=K30)),成型機資料庫!$K$140:$K$145),0)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IFERROR(LOOKUP(1,0/((成型機資料庫!$F$140:$F$145=J30)*(成型機資料庫!$G$140:$G$145=K30)),成型機資料庫!$I$140:$I$145),0)</f>
        <v>0</v>
      </c>
      <c r="U30" s="483">
        <f>IFERROR(LOOKUP(1,0/((成型機資料庫!$F$140:$F$145=J30)*(成型機資料庫!$G$140:$G$145=K30)),成型機資料庫!$J$140:$J$145),0)</f>
        <v>0</v>
      </c>
      <c r="V30" s="900">
        <f>IFERROR(LOOKUP(1,0/((成型機資料庫!$F$140:$F$145=J30)*(成型機資料庫!$G$140:$G$145=K30)),成型機資料庫!$L$140:$L$145),0)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25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IFERROR(LOOKUP(1,0/((成型機資料庫!$F$140:$F$145=J31)*(成型機資料庫!$G$140:$G$145=K31)),成型機資料庫!$K$140:$K$145),0)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IFERROR(LOOKUP(1,0/((成型機資料庫!$F$140:$F$145=J31)*(成型機資料庫!$G$140:$G$145=K31)),成型機資料庫!$I$140:$I$145),0)</f>
        <v>0</v>
      </c>
      <c r="U31" s="483">
        <f>IFERROR(LOOKUP(1,0/((成型機資料庫!$F$140:$F$145=J31)*(成型機資料庫!$G$140:$G$145=K31)),成型機資料庫!$J$140:$J$145),0)</f>
        <v>0</v>
      </c>
      <c r="V31" s="900">
        <f>IFERROR(LOOKUP(1,0/((成型機資料庫!$F$140:$F$145=J31)*(成型機資料庫!$G$140:$G$145=K31)),成型機資料庫!$L$140:$L$145),0)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64"/>
      <c r="AF31" s="438"/>
    </row>
    <row r="32" spans="1:32" s="433" customFormat="1" ht="15.75">
      <c r="A32" s="434">
        <v>113</v>
      </c>
      <c r="B32" s="434"/>
      <c r="C32" s="434">
        <v>26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IFERROR(LOOKUP(1,0/((成型機資料庫!$F$140:$F$145=J32)*(成型機資料庫!$G$140:$G$145=K32)),成型機資料庫!$K$140:$K$145),0)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IFERROR(LOOKUP(1,0/((成型機資料庫!$F$140:$F$145=J32)*(成型機資料庫!$G$140:$G$145=K32)),成型機資料庫!$I$140:$I$145),0)</f>
        <v>0</v>
      </c>
      <c r="U32" s="483">
        <f>IFERROR(LOOKUP(1,0/((成型機資料庫!$F$140:$F$145=J32)*(成型機資料庫!$G$140:$G$145=K32)),成型機資料庫!$J$140:$J$145),0)</f>
        <v>0</v>
      </c>
      <c r="V32" s="900">
        <f>IFERROR(LOOKUP(1,0/((成型機資料庫!$F$140:$F$145=J32)*(成型機資料庫!$G$140:$G$145=K32)),成型機資料庫!$L$140:$L$145),0)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38"/>
      <c r="AE32" s="464"/>
      <c r="AF32" s="438"/>
    </row>
    <row r="33" spans="1:56" s="433" customFormat="1" ht="15.75">
      <c r="A33" s="434">
        <v>113</v>
      </c>
      <c r="B33" s="434"/>
      <c r="C33" s="434">
        <v>27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IFERROR(LOOKUP(1,0/((成型機資料庫!$F$140:$F$145=J33)*(成型機資料庫!$G$140:$G$145=K33)),成型機資料庫!$K$140:$K$145),0)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IFERROR(LOOKUP(1,0/((成型機資料庫!$F$140:$F$145=J33)*(成型機資料庫!$G$140:$G$145=K33)),成型機資料庫!$I$140:$I$145),0)</f>
        <v>0</v>
      </c>
      <c r="U33" s="483">
        <f>IFERROR(LOOKUP(1,0/((成型機資料庫!$F$140:$F$145=J33)*(成型機資料庫!$G$140:$G$145=K33)),成型機資料庫!$J$140:$J$145),0)</f>
        <v>0</v>
      </c>
      <c r="V33" s="900">
        <f>IFERROR(LOOKUP(1,0/((成型機資料庫!$F$140:$F$145=J33)*(成型機資料庫!$G$140:$G$145=K33)),成型機資料庫!$L$140:$L$145),0)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56" s="433" customFormat="1" ht="15.75">
      <c r="A34" s="434">
        <v>113</v>
      </c>
      <c r="B34" s="581"/>
      <c r="C34" s="581">
        <v>28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IFERROR(LOOKUP(1,0/((成型機資料庫!$F$140:$F$145=J34)*(成型機資料庫!$G$140:$G$145=K34)),成型機資料庫!$K$140:$K$145),0)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IFERROR(LOOKUP(1,0/((成型機資料庫!$F$140:$F$145=J34)*(成型機資料庫!$G$140:$G$145=K34)),成型機資料庫!$I$140:$I$145),0)</f>
        <v>0</v>
      </c>
      <c r="U34" s="483">
        <f>IFERROR(LOOKUP(1,0/((成型機資料庫!$F$140:$F$145=J34)*(成型機資料庫!$G$140:$G$145=K34)),成型機資料庫!$J$140:$J$145),0)</f>
        <v>0</v>
      </c>
      <c r="V34" s="900">
        <f>IFERROR(LOOKUP(1,0/((成型機資料庫!$F$140:$F$145=J34)*(成型機資料庫!$G$140:$G$145=K34)),成型機資料庫!$L$140:$L$145),0)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56" s="433" customFormat="1" ht="15.75">
      <c r="A35" s="434">
        <v>113</v>
      </c>
      <c r="B35" s="581"/>
      <c r="C35" s="581">
        <v>29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IFERROR(LOOKUP(1,0/((成型機資料庫!$F$140:$F$145=J35)*(成型機資料庫!$G$140:$G$145=K35)),成型機資料庫!$K$140:$K$145),0)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IFERROR(LOOKUP(1,0/((成型機資料庫!$F$140:$F$145=J35)*(成型機資料庫!$G$140:$G$145=K35)),成型機資料庫!$I$140:$I$145),0)</f>
        <v>0</v>
      </c>
      <c r="U35" s="483">
        <f>IFERROR(LOOKUP(1,0/((成型機資料庫!$F$140:$F$145=J35)*(成型機資料庫!$G$140:$G$145=K35)),成型機資料庫!$J$140:$J$145),0)</f>
        <v>0</v>
      </c>
      <c r="V35" s="900">
        <f>IFERROR(LOOKUP(1,0/((成型機資料庫!$F$140:$F$145=J35)*(成型機資料庫!$G$140:$G$145=K35)),成型機資料庫!$L$140:$L$145),0)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64"/>
      <c r="AF35" s="438"/>
    </row>
    <row r="36" spans="1:56" s="433" customFormat="1" ht="15.75">
      <c r="A36" s="434">
        <v>113</v>
      </c>
      <c r="B36" s="581"/>
      <c r="C36" s="581">
        <v>30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IFERROR(LOOKUP(1,0/((成型機資料庫!$F$140:$F$145=J36)*(成型機資料庫!$G$140:$G$145=K36)),成型機資料庫!$K$140:$K$145),0)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IFERROR(LOOKUP(1,0/((成型機資料庫!$F$140:$F$145=J36)*(成型機資料庫!$G$140:$G$145=K36)),成型機資料庫!$I$140:$I$145),0)</f>
        <v>0</v>
      </c>
      <c r="U36" s="483">
        <f>IFERROR(LOOKUP(1,0/((成型機資料庫!$F$140:$F$145=J36)*(成型機資料庫!$G$140:$G$145=K36)),成型機資料庫!$J$140:$J$145),0)</f>
        <v>0</v>
      </c>
      <c r="V36" s="900">
        <f>IFERROR(LOOKUP(1,0/((成型機資料庫!$F$140:$F$145=J36)*(成型機資料庫!$G$140:$G$145=K36)),成型機資料庫!$L$140:$L$145),0)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56" s="433" customFormat="1" ht="15.75">
      <c r="A37" s="446"/>
      <c r="B37" s="456"/>
      <c r="C37" s="456"/>
      <c r="D37" s="456"/>
      <c r="E37" s="456"/>
      <c r="F37" s="448"/>
      <c r="G37" s="951"/>
      <c r="H37" s="452"/>
      <c r="I37" s="430"/>
      <c r="J37" s="430"/>
      <c r="K37" s="430"/>
      <c r="L37" s="452"/>
      <c r="M37" s="452"/>
      <c r="N37" s="945"/>
      <c r="O37" s="946"/>
      <c r="P37" s="868"/>
      <c r="Q37" s="467"/>
      <c r="R37" s="948"/>
      <c r="S37" s="936"/>
      <c r="T37" s="936"/>
      <c r="U37" s="936"/>
      <c r="V37" s="945"/>
      <c r="W37" s="936"/>
      <c r="X37" s="947"/>
      <c r="Y37" s="936"/>
      <c r="Z37" s="947"/>
      <c r="AA37" s="488"/>
      <c r="AB37" s="439"/>
      <c r="AC37" s="471"/>
      <c r="AD37" s="452"/>
      <c r="AE37" s="439"/>
      <c r="AF37" s="439"/>
    </row>
    <row r="38" spans="1:56" s="433" customFormat="1" ht="15.75">
      <c r="A38" s="446"/>
      <c r="B38" s="456"/>
      <c r="C38" s="456"/>
      <c r="D38" s="456"/>
      <c r="E38" s="456"/>
      <c r="F38" s="448"/>
      <c r="G38" s="951"/>
      <c r="H38" s="452"/>
      <c r="I38" s="430"/>
      <c r="J38" s="430"/>
      <c r="K38" s="430"/>
      <c r="L38" s="452"/>
      <c r="M38" s="452"/>
      <c r="N38" s="945"/>
      <c r="O38" s="946"/>
      <c r="P38" s="868"/>
      <c r="Q38" s="467"/>
      <c r="R38" s="948"/>
      <c r="S38" s="936"/>
      <c r="T38" s="936"/>
      <c r="U38" s="936"/>
      <c r="V38" s="945"/>
      <c r="W38" s="936"/>
      <c r="X38" s="947"/>
      <c r="Y38" s="936"/>
      <c r="Z38" s="947"/>
      <c r="AA38" s="488"/>
      <c r="AB38" s="439"/>
      <c r="AC38" s="471"/>
      <c r="AD38" s="452"/>
      <c r="AE38" s="439"/>
      <c r="AF38" s="439"/>
    </row>
    <row r="39" spans="1:56" s="433" customFormat="1" thickBot="1">
      <c r="A39" s="446"/>
      <c r="B39" s="446"/>
      <c r="C39" s="446"/>
      <c r="D39" s="446"/>
      <c r="E39" s="446"/>
      <c r="F39" s="448"/>
      <c r="G39" s="448"/>
      <c r="H39" s="430"/>
      <c r="I39" s="430"/>
      <c r="J39" s="430"/>
      <c r="K39" s="430"/>
      <c r="L39" s="439"/>
      <c r="M39" s="452"/>
      <c r="N39" s="452"/>
      <c r="O39" s="457"/>
      <c r="P39" s="466"/>
      <c r="Q39" s="467"/>
      <c r="R39" s="486"/>
      <c r="S39" s="457"/>
      <c r="T39" s="457"/>
      <c r="U39" s="457"/>
      <c r="V39" s="458"/>
      <c r="W39" s="487">
        <f>SUM(W7:W36)</f>
        <v>0</v>
      </c>
      <c r="X39" s="487"/>
      <c r="Y39" s="487"/>
      <c r="Z39" s="487"/>
      <c r="AA39" s="488"/>
      <c r="AB39" s="489"/>
      <c r="AC39" s="489"/>
      <c r="AD39" s="469" t="s">
        <v>46</v>
      </c>
      <c r="AE39" s="439"/>
      <c r="AF39" s="439"/>
    </row>
    <row r="40" spans="1:56" s="469" customFormat="1" ht="31.5">
      <c r="A40" s="479"/>
      <c r="B40" s="479"/>
      <c r="C40" s="479"/>
      <c r="D40" s="479"/>
      <c r="E40" s="479"/>
      <c r="F40" s="452"/>
      <c r="G40" s="524" t="s">
        <v>503</v>
      </c>
      <c r="H40" s="517"/>
      <c r="I40" s="518"/>
      <c r="L40" s="1842" t="s">
        <v>1348</v>
      </c>
      <c r="M40" s="525" t="s">
        <v>1294</v>
      </c>
      <c r="N40" s="525" t="s">
        <v>1295</v>
      </c>
      <c r="O40" s="526" t="s">
        <v>458</v>
      </c>
      <c r="P40" s="520"/>
      <c r="Q40" s="521"/>
      <c r="R40" s="524" t="s">
        <v>504</v>
      </c>
      <c r="S40" s="524" t="s">
        <v>455</v>
      </c>
      <c r="T40" s="521"/>
      <c r="U40" s="521"/>
      <c r="V40" s="524" t="s">
        <v>1293</v>
      </c>
      <c r="W40" s="524" t="s">
        <v>459</v>
      </c>
      <c r="X40" s="521"/>
      <c r="Y40" s="524" t="s">
        <v>1345</v>
      </c>
      <c r="Z40" s="524" t="s">
        <v>1350</v>
      </c>
      <c r="AA40" s="524" t="s">
        <v>1351</v>
      </c>
      <c r="AB40" s="524" t="s">
        <v>1353</v>
      </c>
      <c r="AC40" s="524" t="s">
        <v>1352</v>
      </c>
      <c r="AD40" s="469" t="s">
        <v>253</v>
      </c>
      <c r="AE40" s="452"/>
      <c r="AF40" s="452"/>
    </row>
    <row r="41" spans="1:56" thickBot="1">
      <c r="G41" s="522">
        <f>SUM(G7:G36)</f>
        <v>0</v>
      </c>
      <c r="I41" s="431"/>
      <c r="J41" s="518"/>
      <c r="K41" s="518"/>
      <c r="L41" s="1843"/>
      <c r="M41" s="522">
        <f>SUM(M7:M36)</f>
        <v>0</v>
      </c>
      <c r="N41" s="522">
        <f>SUM(N7:N36)</f>
        <v>0</v>
      </c>
      <c r="O41" s="902">
        <f>SUM(O7:O36)</f>
        <v>0</v>
      </c>
      <c r="P41" s="470"/>
      <c r="R41" s="924">
        <f>SUM(R7:R36)</f>
        <v>0</v>
      </c>
      <c r="S41" s="897" t="e">
        <f>(G41-R41)/G41</f>
        <v>#DIV/0!</v>
      </c>
      <c r="T41" s="446"/>
      <c r="U41" s="446"/>
      <c r="V41" s="686" t="e">
        <f>N41/W41</f>
        <v>#DIV/0!</v>
      </c>
      <c r="W41" s="516" t="e">
        <f>W39/Y41</f>
        <v>#DIV/0!</v>
      </c>
      <c r="X41" s="446"/>
      <c r="Y41" s="516"/>
      <c r="Z41" s="958">
        <f>SUM(Z7:Z36)</f>
        <v>0</v>
      </c>
      <c r="AA41" s="516">
        <f>SUM(AA7:AA36)</f>
        <v>0</v>
      </c>
      <c r="AB41" s="516">
        <f>Z41-AA41</f>
        <v>0</v>
      </c>
      <c r="AC41" s="896" t="e">
        <f>AA41/Z41</f>
        <v>#DIV/0!</v>
      </c>
    </row>
    <row r="42" spans="1:56">
      <c r="G42" s="453"/>
      <c r="M42" s="453"/>
      <c r="N42" s="453"/>
      <c r="O42"/>
      <c r="P42" s="470"/>
      <c r="R42"/>
      <c r="S42"/>
      <c r="T42"/>
      <c r="U42"/>
    </row>
    <row r="43" spans="1:56" ht="17.25" thickBot="1"/>
    <row r="44" spans="1:56" ht="15.75">
      <c r="A44" s="1824" t="s">
        <v>668</v>
      </c>
      <c r="B44" s="1824" t="s">
        <v>330</v>
      </c>
      <c r="C44" s="1826" t="s">
        <v>311</v>
      </c>
      <c r="D44" s="1828" t="s">
        <v>331</v>
      </c>
      <c r="E44" s="1828" t="s">
        <v>332</v>
      </c>
      <c r="F44" s="1830" t="s">
        <v>194</v>
      </c>
      <c r="G44" s="1830" t="s">
        <v>386</v>
      </c>
      <c r="H44" s="1832" t="s">
        <v>360</v>
      </c>
      <c r="I44" s="1832" t="s">
        <v>361</v>
      </c>
      <c r="J44" s="1832" t="s">
        <v>510</v>
      </c>
      <c r="K44" s="1832" t="s">
        <v>1320</v>
      </c>
      <c r="L44" s="1828" t="s">
        <v>362</v>
      </c>
      <c r="M44" s="1828" t="s">
        <v>514</v>
      </c>
      <c r="N44" s="1856" t="s">
        <v>511</v>
      </c>
      <c r="O44" s="1858" t="s">
        <v>457</v>
      </c>
      <c r="P44" s="1836" t="s">
        <v>379</v>
      </c>
      <c r="Q44" s="1828" t="s">
        <v>627</v>
      </c>
      <c r="R44" s="1852" t="s">
        <v>381</v>
      </c>
      <c r="S44" s="1854" t="s">
        <v>435</v>
      </c>
      <c r="T44" s="1834" t="s">
        <v>365</v>
      </c>
      <c r="U44" s="1836" t="s">
        <v>366</v>
      </c>
      <c r="V44" s="1844" t="s">
        <v>1286</v>
      </c>
      <c r="W44" s="1846" t="s">
        <v>201</v>
      </c>
      <c r="X44" s="1846" t="s">
        <v>1318</v>
      </c>
      <c r="Y44" s="1846" t="s">
        <v>1319</v>
      </c>
      <c r="Z44" s="1849" t="s">
        <v>1285</v>
      </c>
      <c r="AA44" s="1849" t="s">
        <v>339</v>
      </c>
      <c r="AB44" s="1860" t="s">
        <v>340</v>
      </c>
      <c r="AC44" s="1861"/>
      <c r="AD44" s="1862" t="s">
        <v>371</v>
      </c>
      <c r="AE44" s="1862" t="s">
        <v>383</v>
      </c>
      <c r="AF44" s="1840" t="s">
        <v>29</v>
      </c>
    </row>
    <row r="45" spans="1:56" s="447" customFormat="1" thickBot="1">
      <c r="A45" s="1825"/>
      <c r="B45" s="1825"/>
      <c r="C45" s="1827"/>
      <c r="D45" s="1829"/>
      <c r="E45" s="1829"/>
      <c r="F45" s="1831"/>
      <c r="G45" s="1831"/>
      <c r="H45" s="1833"/>
      <c r="I45" s="1833"/>
      <c r="J45" s="1833"/>
      <c r="K45" s="1838"/>
      <c r="L45" s="1829"/>
      <c r="M45" s="1839"/>
      <c r="N45" s="1857"/>
      <c r="O45" s="1859"/>
      <c r="P45" s="1837"/>
      <c r="Q45" s="1829"/>
      <c r="R45" s="1853"/>
      <c r="S45" s="1855"/>
      <c r="T45" s="1835"/>
      <c r="U45" s="1837"/>
      <c r="V45" s="1845"/>
      <c r="W45" s="1847"/>
      <c r="X45" s="1848"/>
      <c r="Y45" s="1848"/>
      <c r="Z45" s="1850"/>
      <c r="AA45" s="1851"/>
      <c r="AB45" s="491" t="s">
        <v>350</v>
      </c>
      <c r="AC45" s="491" t="s">
        <v>351</v>
      </c>
      <c r="AD45" s="1863"/>
      <c r="AE45" s="1863"/>
      <c r="AF45" s="1841"/>
      <c r="AG45" s="446"/>
      <c r="AH45" s="446"/>
      <c r="AU45" s="446"/>
      <c r="AV45" s="446"/>
      <c r="AW45" s="446"/>
      <c r="AX45" s="446"/>
      <c r="AY45" s="446"/>
      <c r="AZ45" s="446"/>
      <c r="BA45" s="446"/>
      <c r="BB45" s="446"/>
      <c r="BC45" s="446"/>
      <c r="BD45" s="446"/>
    </row>
    <row r="46" spans="1:56" s="433" customFormat="1" ht="15.75">
      <c r="A46" s="434">
        <v>113</v>
      </c>
      <c r="B46" s="434"/>
      <c r="C46" s="434">
        <v>1</v>
      </c>
      <c r="D46" s="581"/>
      <c r="E46" s="581" t="s">
        <v>43</v>
      </c>
      <c r="F46" s="436" t="s">
        <v>44</v>
      </c>
      <c r="G46" s="926"/>
      <c r="H46" s="464"/>
      <c r="I46" s="429"/>
      <c r="J46" s="429"/>
      <c r="K46" s="429"/>
      <c r="L46" s="464"/>
      <c r="M46" s="464"/>
      <c r="N46" s="900">
        <f>M46*Q46</f>
        <v>0</v>
      </c>
      <c r="O46" s="901">
        <f t="shared" ref="O46:O75" si="8">L46*M46</f>
        <v>0</v>
      </c>
      <c r="P46" s="460"/>
      <c r="Q46" s="438">
        <f>IFERROR(LOOKUP(1,0/((成型機資料庫!$F$140:$F$145=J46)*(成型機資料庫!$G$140:$G$145=K46)),成型機資料庫!$K$140:$K$145),0)</f>
        <v>0</v>
      </c>
      <c r="R46" s="899">
        <f t="shared" ref="R46:R75" si="9">M46*Q46*P46/1000</f>
        <v>0</v>
      </c>
      <c r="S46" s="898">
        <f t="shared" ref="S46:S75" si="10">IFERROR((G46-R46)/G46,0)</f>
        <v>0</v>
      </c>
      <c r="T46" s="482">
        <f>IFERROR(LOOKUP(1,0/((成型機資料庫!$F$140:$F$145=J46)*(成型機資料庫!$G$140:$G$145=K46)),成型機資料庫!$I$140:$I$145),0)</f>
        <v>0</v>
      </c>
      <c r="U46" s="483">
        <f>IFERROR(LOOKUP(1,0/((成型機資料庫!$F$140:$F$145=J46)*(成型機資料庫!$G$140:$G$145=K46)),成型機資料庫!$J$140:$J$145),0)</f>
        <v>0</v>
      </c>
      <c r="V46" s="900">
        <f>IFERROR(LOOKUP(1,0/((成型機資料庫!$F$140:$F$145=J46)*(成型機資料庫!$G$140:$G$145=K46)),成型機資料庫!$L$140:$L$145),0)</f>
        <v>0</v>
      </c>
      <c r="W46" s="898">
        <f t="shared" ref="W46:W75" si="11">IFERROR(M46/V46,0)</f>
        <v>0</v>
      </c>
      <c r="X46" s="923">
        <f>IFERROR(T46*U46*60*AA46/Q46,0)</f>
        <v>0</v>
      </c>
      <c r="Y46" s="898">
        <f>IFERROR(M46/X46,0)</f>
        <v>0</v>
      </c>
      <c r="Z46" s="923"/>
      <c r="AA46" s="478">
        <f t="shared" ref="AA46:AA75" si="12">AB46+AC46/60</f>
        <v>0</v>
      </c>
      <c r="AB46" s="438"/>
      <c r="AC46" s="482"/>
      <c r="AD46" s="464"/>
      <c r="AE46" s="438"/>
      <c r="AF46" s="438"/>
    </row>
    <row r="47" spans="1:56" s="433" customFormat="1" ht="15.75">
      <c r="A47" s="434">
        <v>113</v>
      </c>
      <c r="B47" s="581"/>
      <c r="C47" s="581">
        <v>2</v>
      </c>
      <c r="D47" s="581"/>
      <c r="E47" s="581" t="s">
        <v>43</v>
      </c>
      <c r="F47" s="436" t="s">
        <v>44</v>
      </c>
      <c r="G47" s="926"/>
      <c r="H47" s="464"/>
      <c r="I47" s="429"/>
      <c r="J47" s="429"/>
      <c r="K47" s="429"/>
      <c r="L47" s="464"/>
      <c r="M47" s="464"/>
      <c r="N47" s="900">
        <f t="shared" ref="N47:N75" si="13">M47*Q47</f>
        <v>0</v>
      </c>
      <c r="O47" s="901">
        <f t="shared" si="8"/>
        <v>0</v>
      </c>
      <c r="P47" s="460"/>
      <c r="Q47" s="438">
        <f>IFERROR(LOOKUP(1,0/((成型機資料庫!$F$140:$F$145=J47)*(成型機資料庫!$G$140:$G$145=K47)),成型機資料庫!$K$140:$K$145),0)</f>
        <v>0</v>
      </c>
      <c r="R47" s="899">
        <f t="shared" si="9"/>
        <v>0</v>
      </c>
      <c r="S47" s="898">
        <f t="shared" si="10"/>
        <v>0</v>
      </c>
      <c r="T47" s="482">
        <f>IFERROR(LOOKUP(1,0/((成型機資料庫!$F$140:$F$145=J47)*(成型機資料庫!$G$140:$G$145=K47)),成型機資料庫!$I$140:$I$145),0)</f>
        <v>0</v>
      </c>
      <c r="U47" s="483">
        <f>IFERROR(LOOKUP(1,0/((成型機資料庫!$F$140:$F$145=J47)*(成型機資料庫!$G$140:$G$145=K47)),成型機資料庫!$J$140:$J$145),0)</f>
        <v>0</v>
      </c>
      <c r="V47" s="900">
        <f>IFERROR(LOOKUP(1,0/((成型機資料庫!$F$140:$F$145=J47)*(成型機資料庫!$G$140:$G$145=K47)),成型機資料庫!$L$140:$L$145),0)</f>
        <v>0</v>
      </c>
      <c r="W47" s="898">
        <f t="shared" si="11"/>
        <v>0</v>
      </c>
      <c r="X47" s="923">
        <f t="shared" ref="X47:X75" si="14">IFERROR(T47*U47*60*AA47/Q47,0)</f>
        <v>0</v>
      </c>
      <c r="Y47" s="898">
        <f t="shared" ref="Y47:Y75" si="15">IFERROR(M47/X47,0)</f>
        <v>0</v>
      </c>
      <c r="Z47" s="923"/>
      <c r="AA47" s="478">
        <f t="shared" si="12"/>
        <v>0</v>
      </c>
      <c r="AB47" s="438"/>
      <c r="AC47" s="482"/>
      <c r="AD47" s="464"/>
      <c r="AE47" s="438"/>
      <c r="AF47" s="438"/>
    </row>
    <row r="48" spans="1:56" s="433" customFormat="1" ht="15.75">
      <c r="A48" s="434">
        <v>113</v>
      </c>
      <c r="B48" s="581"/>
      <c r="C48" s="581">
        <v>3</v>
      </c>
      <c r="D48" s="581"/>
      <c r="E48" s="581" t="s">
        <v>43</v>
      </c>
      <c r="F48" s="436" t="s">
        <v>44</v>
      </c>
      <c r="G48" s="926"/>
      <c r="H48" s="464"/>
      <c r="I48" s="429"/>
      <c r="J48" s="429"/>
      <c r="K48" s="429"/>
      <c r="L48" s="464"/>
      <c r="M48" s="464"/>
      <c r="N48" s="900">
        <f t="shared" si="13"/>
        <v>0</v>
      </c>
      <c r="O48" s="901">
        <f t="shared" si="8"/>
        <v>0</v>
      </c>
      <c r="P48" s="460"/>
      <c r="Q48" s="438">
        <f>IFERROR(LOOKUP(1,0/((成型機資料庫!$F$140:$F$145=J48)*(成型機資料庫!$G$140:$G$145=K48)),成型機資料庫!$K$140:$K$145),0)</f>
        <v>0</v>
      </c>
      <c r="R48" s="899">
        <f t="shared" si="9"/>
        <v>0</v>
      </c>
      <c r="S48" s="898">
        <f t="shared" si="10"/>
        <v>0</v>
      </c>
      <c r="T48" s="482">
        <f>IFERROR(LOOKUP(1,0/((成型機資料庫!$F$140:$F$145=J48)*(成型機資料庫!$G$140:$G$145=K48)),成型機資料庫!$I$140:$I$145),0)</f>
        <v>0</v>
      </c>
      <c r="U48" s="483">
        <f>IFERROR(LOOKUP(1,0/((成型機資料庫!$F$140:$F$145=J48)*(成型機資料庫!$G$140:$G$145=K48)),成型機資料庫!$J$140:$J$145),0)</f>
        <v>0</v>
      </c>
      <c r="V48" s="900">
        <f>IFERROR(LOOKUP(1,0/((成型機資料庫!$F$140:$F$145=J48)*(成型機資料庫!$G$140:$G$145=K48)),成型機資料庫!$L$140:$L$145),0)</f>
        <v>0</v>
      </c>
      <c r="W48" s="898">
        <f t="shared" si="11"/>
        <v>0</v>
      </c>
      <c r="X48" s="923">
        <f t="shared" si="14"/>
        <v>0</v>
      </c>
      <c r="Y48" s="898">
        <f t="shared" si="15"/>
        <v>0</v>
      </c>
      <c r="Z48" s="923"/>
      <c r="AA48" s="478">
        <f t="shared" si="12"/>
        <v>0</v>
      </c>
      <c r="AB48" s="438"/>
      <c r="AC48" s="482"/>
      <c r="AD48" s="438"/>
      <c r="AE48" s="438"/>
      <c r="AF48" s="438"/>
    </row>
    <row r="49" spans="1:32" s="433" customFormat="1" ht="15.75">
      <c r="A49" s="434">
        <v>113</v>
      </c>
      <c r="B49" s="581"/>
      <c r="C49" s="581">
        <v>4</v>
      </c>
      <c r="D49" s="581"/>
      <c r="E49" s="581" t="s">
        <v>43</v>
      </c>
      <c r="F49" s="436" t="s">
        <v>44</v>
      </c>
      <c r="G49" s="926"/>
      <c r="H49" s="464"/>
      <c r="I49" s="429"/>
      <c r="J49" s="429"/>
      <c r="K49" s="429"/>
      <c r="L49" s="464"/>
      <c r="M49" s="464"/>
      <c r="N49" s="900">
        <f t="shared" si="13"/>
        <v>0</v>
      </c>
      <c r="O49" s="901">
        <f t="shared" si="8"/>
        <v>0</v>
      </c>
      <c r="P49" s="460"/>
      <c r="Q49" s="438">
        <f>IFERROR(LOOKUP(1,0/((成型機資料庫!$F$140:$F$145=J49)*(成型機資料庫!$G$140:$G$145=K49)),成型機資料庫!$K$140:$K$145),0)</f>
        <v>0</v>
      </c>
      <c r="R49" s="899">
        <f t="shared" si="9"/>
        <v>0</v>
      </c>
      <c r="S49" s="898">
        <f t="shared" si="10"/>
        <v>0</v>
      </c>
      <c r="T49" s="482">
        <f>IFERROR(LOOKUP(1,0/((成型機資料庫!$F$140:$F$145=J49)*(成型機資料庫!$G$140:$G$145=K49)),成型機資料庫!$I$140:$I$145),0)</f>
        <v>0</v>
      </c>
      <c r="U49" s="483">
        <f>IFERROR(LOOKUP(1,0/((成型機資料庫!$F$140:$F$145=J49)*(成型機資料庫!$G$140:$G$145=K49)),成型機資料庫!$J$140:$J$145),0)</f>
        <v>0</v>
      </c>
      <c r="V49" s="900">
        <f>IFERROR(LOOKUP(1,0/((成型機資料庫!$F$140:$F$145=J49)*(成型機資料庫!$G$140:$G$145=K49)),成型機資料庫!$L$140:$L$145),0)</f>
        <v>0</v>
      </c>
      <c r="W49" s="898">
        <f t="shared" si="11"/>
        <v>0</v>
      </c>
      <c r="X49" s="923">
        <f t="shared" si="14"/>
        <v>0</v>
      </c>
      <c r="Y49" s="898">
        <f t="shared" si="15"/>
        <v>0</v>
      </c>
      <c r="Z49" s="923"/>
      <c r="AA49" s="478">
        <f t="shared" si="12"/>
        <v>0</v>
      </c>
      <c r="AB49" s="438"/>
      <c r="AC49" s="482"/>
      <c r="AD49" s="438"/>
      <c r="AE49" s="464"/>
      <c r="AF49" s="438"/>
    </row>
    <row r="50" spans="1:32" s="433" customFormat="1" ht="15.75">
      <c r="A50" s="434">
        <v>113</v>
      </c>
      <c r="B50" s="581"/>
      <c r="C50" s="581">
        <v>5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 t="shared" si="13"/>
        <v>0</v>
      </c>
      <c r="O50" s="901">
        <f t="shared" si="8"/>
        <v>0</v>
      </c>
      <c r="P50" s="460"/>
      <c r="Q50" s="438">
        <f>IFERROR(LOOKUP(1,0/((成型機資料庫!$F$140:$F$145=J50)*(成型機資料庫!$G$140:$G$145=K50)),成型機資料庫!$K$140:$K$145),0)</f>
        <v>0</v>
      </c>
      <c r="R50" s="899">
        <f t="shared" si="9"/>
        <v>0</v>
      </c>
      <c r="S50" s="898">
        <f t="shared" si="10"/>
        <v>0</v>
      </c>
      <c r="T50" s="482">
        <f>IFERROR(LOOKUP(1,0/((成型機資料庫!$F$140:$F$145=J50)*(成型機資料庫!$G$140:$G$145=K50)),成型機資料庫!$I$140:$I$145),0)</f>
        <v>0</v>
      </c>
      <c r="U50" s="483">
        <f>IFERROR(LOOKUP(1,0/((成型機資料庫!$F$140:$F$145=J50)*(成型機資料庫!$G$140:$G$145=K50)),成型機資料庫!$J$140:$J$145),0)</f>
        <v>0</v>
      </c>
      <c r="V50" s="900">
        <f>IFERROR(LOOKUP(1,0/((成型機資料庫!$F$140:$F$145=J50)*(成型機資料庫!$G$140:$G$145=K50)),成型機資料庫!$L$140:$L$145),0)</f>
        <v>0</v>
      </c>
      <c r="W50" s="898">
        <f t="shared" si="11"/>
        <v>0</v>
      </c>
      <c r="X50" s="923">
        <f t="shared" si="14"/>
        <v>0</v>
      </c>
      <c r="Y50" s="898">
        <f t="shared" si="15"/>
        <v>0</v>
      </c>
      <c r="Z50" s="923"/>
      <c r="AA50" s="478">
        <f t="shared" si="12"/>
        <v>0</v>
      </c>
      <c r="AB50" s="438"/>
      <c r="AC50" s="482"/>
      <c r="AD50" s="438"/>
      <c r="AE50" s="438"/>
      <c r="AF50" s="438"/>
    </row>
    <row r="51" spans="1:32" s="433" customFormat="1" ht="15.75">
      <c r="A51" s="434">
        <v>113</v>
      </c>
      <c r="B51" s="581"/>
      <c r="C51" s="581">
        <v>6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 t="shared" si="13"/>
        <v>0</v>
      </c>
      <c r="O51" s="901">
        <f t="shared" si="8"/>
        <v>0</v>
      </c>
      <c r="P51" s="460"/>
      <c r="Q51" s="438">
        <f>IFERROR(LOOKUP(1,0/((成型機資料庫!$F$140:$F$145=J51)*(成型機資料庫!$G$140:$G$145=K51)),成型機資料庫!$K$140:$K$145),0)</f>
        <v>0</v>
      </c>
      <c r="R51" s="899">
        <f t="shared" si="9"/>
        <v>0</v>
      </c>
      <c r="S51" s="898">
        <f t="shared" si="10"/>
        <v>0</v>
      </c>
      <c r="T51" s="482">
        <f>IFERROR(LOOKUP(1,0/((成型機資料庫!$F$140:$F$145=J51)*(成型機資料庫!$G$140:$G$145=K51)),成型機資料庫!$I$140:$I$145),0)</f>
        <v>0</v>
      </c>
      <c r="U51" s="483">
        <f>IFERROR(LOOKUP(1,0/((成型機資料庫!$F$140:$F$145=J51)*(成型機資料庫!$G$140:$G$145=K51)),成型機資料庫!$J$140:$J$145),0)</f>
        <v>0</v>
      </c>
      <c r="V51" s="900">
        <f>IFERROR(LOOKUP(1,0/((成型機資料庫!$F$140:$F$145=J51)*(成型機資料庫!$G$140:$G$145=K51)),成型機資料庫!$L$140:$L$145),0)</f>
        <v>0</v>
      </c>
      <c r="W51" s="898">
        <f t="shared" si="11"/>
        <v>0</v>
      </c>
      <c r="X51" s="923">
        <f t="shared" si="14"/>
        <v>0</v>
      </c>
      <c r="Y51" s="898">
        <f t="shared" si="15"/>
        <v>0</v>
      </c>
      <c r="Z51" s="923"/>
      <c r="AA51" s="478">
        <f t="shared" si="12"/>
        <v>0</v>
      </c>
      <c r="AB51" s="438"/>
      <c r="AC51" s="482"/>
      <c r="AD51" s="879"/>
      <c r="AE51" s="438"/>
      <c r="AF51" s="438"/>
    </row>
    <row r="52" spans="1:32" s="433" customFormat="1" ht="15.75">
      <c r="A52" s="434">
        <v>113</v>
      </c>
      <c r="B52" s="581"/>
      <c r="C52" s="581">
        <v>7</v>
      </c>
      <c r="D52" s="581"/>
      <c r="E52" s="581" t="s">
        <v>43</v>
      </c>
      <c r="F52" s="436" t="s">
        <v>44</v>
      </c>
      <c r="G52" s="927"/>
      <c r="H52" s="464"/>
      <c r="I52" s="429"/>
      <c r="J52" s="429"/>
      <c r="K52" s="429"/>
      <c r="L52" s="464"/>
      <c r="M52" s="464"/>
      <c r="N52" s="900">
        <f t="shared" si="13"/>
        <v>0</v>
      </c>
      <c r="O52" s="901">
        <f t="shared" si="8"/>
        <v>0</v>
      </c>
      <c r="P52" s="460"/>
      <c r="Q52" s="438">
        <f>IFERROR(LOOKUP(1,0/((成型機資料庫!$F$140:$F$145=J52)*(成型機資料庫!$G$140:$G$145=K52)),成型機資料庫!$K$140:$K$145),0)</f>
        <v>0</v>
      </c>
      <c r="R52" s="899">
        <f t="shared" si="9"/>
        <v>0</v>
      </c>
      <c r="S52" s="898">
        <f t="shared" si="10"/>
        <v>0</v>
      </c>
      <c r="T52" s="482">
        <f>IFERROR(LOOKUP(1,0/((成型機資料庫!$F$140:$F$145=J52)*(成型機資料庫!$G$140:$G$145=K52)),成型機資料庫!$I$140:$I$145),0)</f>
        <v>0</v>
      </c>
      <c r="U52" s="483">
        <f>IFERROR(LOOKUP(1,0/((成型機資料庫!$F$140:$F$145=J52)*(成型機資料庫!$G$140:$G$145=K52)),成型機資料庫!$J$140:$J$145),0)</f>
        <v>0</v>
      </c>
      <c r="V52" s="900">
        <f>IFERROR(LOOKUP(1,0/((成型機資料庫!$F$140:$F$145=J52)*(成型機資料庫!$G$140:$G$145=K52)),成型機資料庫!$L$140:$L$145),0)</f>
        <v>0</v>
      </c>
      <c r="W52" s="898">
        <f t="shared" si="11"/>
        <v>0</v>
      </c>
      <c r="X52" s="923">
        <f t="shared" si="14"/>
        <v>0</v>
      </c>
      <c r="Y52" s="898">
        <f t="shared" si="15"/>
        <v>0</v>
      </c>
      <c r="Z52" s="923"/>
      <c r="AA52" s="478">
        <f t="shared" si="12"/>
        <v>0</v>
      </c>
      <c r="AB52" s="438"/>
      <c r="AC52" s="482"/>
      <c r="AD52" s="464"/>
      <c r="AE52" s="438"/>
      <c r="AF52" s="438"/>
    </row>
    <row r="53" spans="1:32" s="433" customFormat="1" ht="15.75">
      <c r="A53" s="434">
        <v>113</v>
      </c>
      <c r="B53" s="581"/>
      <c r="C53" s="581">
        <v>8</v>
      </c>
      <c r="D53" s="581"/>
      <c r="E53" s="581" t="s">
        <v>43</v>
      </c>
      <c r="F53" s="436" t="s">
        <v>44</v>
      </c>
      <c r="G53" s="927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IFERROR(LOOKUP(1,0/((成型機資料庫!$F$140:$F$145=J53)*(成型機資料庫!$G$140:$G$145=K53)),成型機資料庫!$K$140:$K$145),0)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IFERROR(LOOKUP(1,0/((成型機資料庫!$F$140:$F$145=J53)*(成型機資料庫!$G$140:$G$145=K53)),成型機資料庫!$I$140:$I$145),0)</f>
        <v>0</v>
      </c>
      <c r="U53" s="483">
        <f>IFERROR(LOOKUP(1,0/((成型機資料庫!$F$140:$F$145=J53)*(成型機資料庫!$G$140:$G$145=K53)),成型機資料庫!$J$140:$J$145),0)</f>
        <v>0</v>
      </c>
      <c r="V53" s="900">
        <f>IFERROR(LOOKUP(1,0/((成型機資料庫!$F$140:$F$145=J53)*(成型機資料庫!$G$140:$G$145=K53)),成型機資料庫!$L$140:$L$145),0)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32" s="433" customFormat="1" ht="15.75">
      <c r="A54" s="434">
        <v>113</v>
      </c>
      <c r="B54" s="581"/>
      <c r="C54" s="581">
        <v>9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IFERROR(LOOKUP(1,0/((成型機資料庫!$F$140:$F$145=J54)*(成型機資料庫!$G$140:$G$145=K54)),成型機資料庫!$K$140:$K$145),0)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IFERROR(LOOKUP(1,0/((成型機資料庫!$F$140:$F$145=J54)*(成型機資料庫!$G$140:$G$145=K54)),成型機資料庫!$I$140:$I$145),0)</f>
        <v>0</v>
      </c>
      <c r="U54" s="483">
        <f>IFERROR(LOOKUP(1,0/((成型機資料庫!$F$140:$F$145=J54)*(成型機資料庫!$G$140:$G$145=K54)),成型機資料庫!$J$140:$J$145),0)</f>
        <v>0</v>
      </c>
      <c r="V54" s="900">
        <f>IFERROR(LOOKUP(1,0/((成型機資料庫!$F$140:$F$145=J54)*(成型機資料庫!$G$140:$G$145=K54)),成型機資料庫!$L$140:$L$145),0)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64"/>
      <c r="AE54" s="438"/>
      <c r="AF54" s="438"/>
    </row>
    <row r="55" spans="1:32" s="433" customFormat="1" ht="15.75">
      <c r="A55" s="434">
        <v>113</v>
      </c>
      <c r="B55" s="581"/>
      <c r="C55" s="581">
        <v>10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IFERROR(LOOKUP(1,0/((成型機資料庫!$F$140:$F$145=J55)*(成型機資料庫!$G$140:$G$145=K55)),成型機資料庫!$K$140:$K$145),0)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IFERROR(LOOKUP(1,0/((成型機資料庫!$F$140:$F$145=J55)*(成型機資料庫!$G$140:$G$145=K55)),成型機資料庫!$I$140:$I$145),0)</f>
        <v>0</v>
      </c>
      <c r="U55" s="483">
        <f>IFERROR(LOOKUP(1,0/((成型機資料庫!$F$140:$F$145=J55)*(成型機資料庫!$G$140:$G$145=K55)),成型機資料庫!$J$140:$J$145),0)</f>
        <v>0</v>
      </c>
      <c r="V55" s="900">
        <f>IFERROR(LOOKUP(1,0/((成型機資料庫!$F$140:$F$145=J55)*(成型機資料庫!$G$140:$G$145=K55)),成型機資料庫!$L$140:$L$145),0)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38"/>
      <c r="AF55" s="438"/>
    </row>
    <row r="56" spans="1:32" s="433" customFormat="1" ht="15.75">
      <c r="A56" s="434">
        <v>113</v>
      </c>
      <c r="B56" s="581"/>
      <c r="C56" s="581">
        <v>11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IFERROR(LOOKUP(1,0/((成型機資料庫!$F$140:$F$145=J56)*(成型機資料庫!$G$140:$G$145=K56)),成型機資料庫!$K$140:$K$145),0)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IFERROR(LOOKUP(1,0/((成型機資料庫!$F$140:$F$145=J56)*(成型機資料庫!$G$140:$G$145=K56)),成型機資料庫!$I$140:$I$145),0)</f>
        <v>0</v>
      </c>
      <c r="U56" s="483">
        <f>IFERROR(LOOKUP(1,0/((成型機資料庫!$F$140:$F$145=J56)*(成型機資料庫!$G$140:$G$145=K56)),成型機資料庫!$J$140:$J$145),0)</f>
        <v>0</v>
      </c>
      <c r="V56" s="900">
        <f>IFERROR(LOOKUP(1,0/((成型機資料庫!$F$140:$F$145=J56)*(成型機資料庫!$G$140:$G$145=K56)),成型機資料庫!$L$140:$L$145),0)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64"/>
      <c r="AE56" s="438"/>
      <c r="AF56" s="438"/>
    </row>
    <row r="57" spans="1:32" s="433" customFormat="1" ht="15.75">
      <c r="A57" s="434">
        <v>113</v>
      </c>
      <c r="B57" s="581"/>
      <c r="C57" s="581">
        <v>12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IFERROR(LOOKUP(1,0/((成型機資料庫!$F$140:$F$145=J57)*(成型機資料庫!$G$140:$G$145=K57)),成型機資料庫!$K$140:$K$145),0)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IFERROR(LOOKUP(1,0/((成型機資料庫!$F$140:$F$145=J57)*(成型機資料庫!$G$140:$G$145=K57)),成型機資料庫!$I$140:$I$145),0)</f>
        <v>0</v>
      </c>
      <c r="U57" s="483">
        <f>IFERROR(LOOKUP(1,0/((成型機資料庫!$F$140:$F$145=J57)*(成型機資料庫!$G$140:$G$145=K57)),成型機資料庫!$J$140:$J$145),0)</f>
        <v>0</v>
      </c>
      <c r="V57" s="900">
        <f>IFERROR(LOOKUP(1,0/((成型機資料庫!$F$140:$F$145=J57)*(成型機資料庫!$G$140:$G$145=K57)),成型機資料庫!$L$140:$L$145),0)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38"/>
      <c r="AE57" s="438"/>
      <c r="AF57" s="438"/>
    </row>
    <row r="58" spans="1:32" s="433" customFormat="1" ht="15.75">
      <c r="A58" s="434">
        <v>113</v>
      </c>
      <c r="B58" s="581"/>
      <c r="C58" s="581">
        <v>13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IFERROR(LOOKUP(1,0/((成型機資料庫!$F$140:$F$145=J58)*(成型機資料庫!$G$140:$G$145=K58)),成型機資料庫!$K$140:$K$145),0)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IFERROR(LOOKUP(1,0/((成型機資料庫!$F$140:$F$145=J58)*(成型機資料庫!$G$140:$G$145=K58)),成型機資料庫!$I$140:$I$145),0)</f>
        <v>0</v>
      </c>
      <c r="U58" s="483">
        <f>IFERROR(LOOKUP(1,0/((成型機資料庫!$F$140:$F$145=J58)*(成型機資料庫!$G$140:$G$145=K58)),成型機資料庫!$J$140:$J$145),0)</f>
        <v>0</v>
      </c>
      <c r="V58" s="900">
        <f>IFERROR(LOOKUP(1,0/((成型機資料庫!$F$140:$F$145=J58)*(成型機資料庫!$G$140:$G$145=K58)),成型機資料庫!$L$140:$L$145),0)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14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IFERROR(LOOKUP(1,0/((成型機資料庫!$F$140:$F$145=J59)*(成型機資料庫!$G$140:$G$145=K59)),成型機資料庫!$K$140:$K$145),0)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IFERROR(LOOKUP(1,0/((成型機資料庫!$F$140:$F$145=J59)*(成型機資料庫!$G$140:$G$145=K59)),成型機資料庫!$I$140:$I$145),0)</f>
        <v>0</v>
      </c>
      <c r="U59" s="483">
        <f>IFERROR(LOOKUP(1,0/((成型機資料庫!$F$140:$F$145=J59)*(成型機資料庫!$G$140:$G$145=K59)),成型機資料庫!$J$140:$J$145),0)</f>
        <v>0</v>
      </c>
      <c r="V59" s="900">
        <f>IFERROR(LOOKUP(1,0/((成型機資料庫!$F$140:$F$145=J59)*(成型機資料庫!$G$140:$G$145=K59)),成型機資料庫!$L$140:$L$145),0)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32" s="433" customFormat="1" ht="15.75">
      <c r="A60" s="434">
        <v>113</v>
      </c>
      <c r="B60" s="581"/>
      <c r="C60" s="581">
        <v>15</v>
      </c>
      <c r="D60" s="581"/>
      <c r="E60" s="581" t="s">
        <v>43</v>
      </c>
      <c r="F60" s="436" t="s">
        <v>44</v>
      </c>
      <c r="G60" s="927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IFERROR(LOOKUP(1,0/((成型機資料庫!$F$140:$F$145=J60)*(成型機資料庫!$G$140:$G$145=K60)),成型機資料庫!$K$140:$K$145),0)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IFERROR(LOOKUP(1,0/((成型機資料庫!$F$140:$F$145=J60)*(成型機資料庫!$G$140:$G$145=K60)),成型機資料庫!$I$140:$I$145),0)</f>
        <v>0</v>
      </c>
      <c r="U60" s="483">
        <f>IFERROR(LOOKUP(1,0/((成型機資料庫!$F$140:$F$145=J60)*(成型機資料庫!$G$140:$G$145=K60)),成型機資料庫!$J$140:$J$145),0)</f>
        <v>0</v>
      </c>
      <c r="V60" s="900">
        <f>IFERROR(LOOKUP(1,0/((成型機資料庫!$F$140:$F$145=J60)*(成型機資料庫!$G$140:$G$145=K60)),成型機資料庫!$L$140:$L$145),0)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38"/>
      <c r="AE60" s="438"/>
      <c r="AF60" s="438"/>
    </row>
    <row r="61" spans="1:32" s="433" customFormat="1" ht="15.75">
      <c r="A61" s="434">
        <v>113</v>
      </c>
      <c r="B61" s="581"/>
      <c r="C61" s="581">
        <v>16</v>
      </c>
      <c r="D61" s="581"/>
      <c r="E61" s="581" t="s">
        <v>43</v>
      </c>
      <c r="F61" s="436" t="s">
        <v>44</v>
      </c>
      <c r="G61" s="927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IFERROR(LOOKUP(1,0/((成型機資料庫!$F$140:$F$145=J61)*(成型機資料庫!$G$140:$G$145=K61)),成型機資料庫!$K$140:$K$145),0)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IFERROR(LOOKUP(1,0/((成型機資料庫!$F$140:$F$145=J61)*(成型機資料庫!$G$140:$G$145=K61)),成型機資料庫!$I$140:$I$145),0)</f>
        <v>0</v>
      </c>
      <c r="U61" s="483">
        <f>IFERROR(LOOKUP(1,0/((成型機資料庫!$F$140:$F$145=J61)*(成型機資料庫!$G$140:$G$145=K61)),成型機資料庫!$J$140:$J$145),0)</f>
        <v>0</v>
      </c>
      <c r="V61" s="900">
        <f>IFERROR(LOOKUP(1,0/((成型機資料庫!$F$140:$F$145=J61)*(成型機資料庫!$G$140:$G$145=K61)),成型機資料庫!$L$140:$L$145),0)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64"/>
      <c r="AF61" s="438"/>
    </row>
    <row r="62" spans="1:32" s="433" customFormat="1" ht="15.75">
      <c r="A62" s="434">
        <v>113</v>
      </c>
      <c r="B62" s="581"/>
      <c r="C62" s="581">
        <v>17</v>
      </c>
      <c r="D62" s="581"/>
      <c r="E62" s="581" t="s">
        <v>43</v>
      </c>
      <c r="F62" s="436" t="s">
        <v>44</v>
      </c>
      <c r="G62" s="927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IFERROR(LOOKUP(1,0/((成型機資料庫!$F$140:$F$145=J62)*(成型機資料庫!$G$140:$G$145=K62)),成型機資料庫!$K$140:$K$145),0)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IFERROR(LOOKUP(1,0/((成型機資料庫!$F$140:$F$145=J62)*(成型機資料庫!$G$140:$G$145=K62)),成型機資料庫!$I$140:$I$145),0)</f>
        <v>0</v>
      </c>
      <c r="U62" s="483">
        <f>IFERROR(LOOKUP(1,0/((成型機資料庫!$F$140:$F$145=J62)*(成型機資料庫!$G$140:$G$145=K62)),成型機資料庫!$J$140:$J$145),0)</f>
        <v>0</v>
      </c>
      <c r="V62" s="900">
        <f>IFERROR(LOOKUP(1,0/((成型機資料庫!$F$140:$F$145=J62)*(成型機資料庫!$G$140:$G$145=K62)),成型機資料庫!$L$140:$L$145),0)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32" s="433" customFormat="1" ht="15.75">
      <c r="A63" s="434">
        <v>113</v>
      </c>
      <c r="B63" s="434"/>
      <c r="C63" s="434">
        <v>18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IFERROR(LOOKUP(1,0/((成型機資料庫!$F$140:$F$145=J63)*(成型機資料庫!$G$140:$G$145=K63)),成型機資料庫!$K$140:$K$145),0)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IFERROR(LOOKUP(1,0/((成型機資料庫!$F$140:$F$145=J63)*(成型機資料庫!$G$140:$G$145=K63)),成型機資料庫!$I$140:$I$145),0)</f>
        <v>0</v>
      </c>
      <c r="U63" s="483">
        <f>IFERROR(LOOKUP(1,0/((成型機資料庫!$F$140:$F$145=J63)*(成型機資料庫!$G$140:$G$145=K63)),成型機資料庫!$J$140:$J$145),0)</f>
        <v>0</v>
      </c>
      <c r="V63" s="900">
        <f>IFERROR(LOOKUP(1,0/((成型機資料庫!$F$140:$F$145=J63)*(成型機資料庫!$G$140:$G$145=K63)),成型機資料庫!$L$140:$L$145),0)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38"/>
      <c r="AF63" s="438"/>
    </row>
    <row r="64" spans="1:32" s="433" customFormat="1" ht="15.75">
      <c r="A64" s="434">
        <v>113</v>
      </c>
      <c r="B64" s="434"/>
      <c r="C64" s="434">
        <v>19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IFERROR(LOOKUP(1,0/((成型機資料庫!$F$140:$F$145=J64)*(成型機資料庫!$G$140:$G$145=K64)),成型機資料庫!$K$140:$K$145),0)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IFERROR(LOOKUP(1,0/((成型機資料庫!$F$140:$F$145=J64)*(成型機資料庫!$G$140:$G$145=K64)),成型機資料庫!$I$140:$I$145),0)</f>
        <v>0</v>
      </c>
      <c r="U64" s="483">
        <f>IFERROR(LOOKUP(1,0/((成型機資料庫!$F$140:$F$145=J64)*(成型機資料庫!$G$140:$G$145=K64)),成型機資料庫!$J$140:$J$145),0)</f>
        <v>0</v>
      </c>
      <c r="V64" s="900">
        <f>IFERROR(LOOKUP(1,0/((成型機資料庫!$F$140:$F$145=J64)*(成型機資料庫!$G$140:$G$145=K64)),成型機資料庫!$L$140:$L$145),0)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434"/>
      <c r="C65" s="434">
        <v>20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IFERROR(LOOKUP(1,0/((成型機資料庫!$F$140:$F$145=J65)*(成型機資料庫!$G$140:$G$145=K65)),成型機資料庫!$K$140:$K$145),0)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IFERROR(LOOKUP(1,0/((成型機資料庫!$F$140:$F$145=J65)*(成型機資料庫!$G$140:$G$145=K65)),成型機資料庫!$I$140:$I$145),0)</f>
        <v>0</v>
      </c>
      <c r="U65" s="483">
        <f>IFERROR(LOOKUP(1,0/((成型機資料庫!$F$140:$F$145=J65)*(成型機資料庫!$G$140:$G$145=K65)),成型機資料庫!$J$140:$J$145),0)</f>
        <v>0</v>
      </c>
      <c r="V65" s="900">
        <f>IFERROR(LOOKUP(1,0/((成型機資料庫!$F$140:$F$145=J65)*(成型機資料庫!$G$140:$G$145=K65)),成型機資料庫!$L$140:$L$145),0)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434"/>
      <c r="C66" s="434">
        <v>21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IFERROR(LOOKUP(1,0/((成型機資料庫!$F$140:$F$145=J66)*(成型機資料庫!$G$140:$G$145=K66)),成型機資料庫!$K$140:$K$145),0)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IFERROR(LOOKUP(1,0/((成型機資料庫!$F$140:$F$145=J66)*(成型機資料庫!$G$140:$G$145=K66)),成型機資料庫!$I$140:$I$145),0)</f>
        <v>0</v>
      </c>
      <c r="U66" s="483">
        <f>IFERROR(LOOKUP(1,0/((成型機資料庫!$F$140:$F$145=J66)*(成型機資料庫!$G$140:$G$145=K66)),成型機資料庫!$J$140:$J$145),0)</f>
        <v>0</v>
      </c>
      <c r="V66" s="900">
        <f>IFERROR(LOOKUP(1,0/((成型機資料庫!$F$140:$F$145=J66)*(成型機資料庫!$G$140:$G$145=K66)),成型機資料庫!$L$140:$L$145),0)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22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IFERROR(LOOKUP(1,0/((成型機資料庫!$F$140:$F$145=J67)*(成型機資料庫!$G$140:$G$145=K67)),成型機資料庫!$K$140:$K$145),0)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IFERROR(LOOKUP(1,0/((成型機資料庫!$F$140:$F$145=J67)*(成型機資料庫!$G$140:$G$145=K67)),成型機資料庫!$I$140:$I$145),0)</f>
        <v>0</v>
      </c>
      <c r="U67" s="483">
        <f>IFERROR(LOOKUP(1,0/((成型機資料庫!$F$140:$F$145=J67)*(成型機資料庫!$G$140:$G$145=K67)),成型機資料庫!$J$140:$J$145),0)</f>
        <v>0</v>
      </c>
      <c r="V67" s="900">
        <f>IFERROR(LOOKUP(1,0/((成型機資料庫!$F$140:$F$145=J67)*(成型機資料庫!$G$140:$G$145=K67)),成型機資料庫!$L$140:$L$145),0)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23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IFERROR(LOOKUP(1,0/((成型機資料庫!$F$140:$F$145=J68)*(成型機資料庫!$G$140:$G$145=K68)),成型機資料庫!$K$140:$K$145),0)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IFERROR(LOOKUP(1,0/((成型機資料庫!$F$140:$F$145=J68)*(成型機資料庫!$G$140:$G$145=K68)),成型機資料庫!$I$140:$I$145),0)</f>
        <v>0</v>
      </c>
      <c r="U68" s="483">
        <f>IFERROR(LOOKUP(1,0/((成型機資料庫!$F$140:$F$145=J68)*(成型機資料庫!$G$140:$G$145=K68)),成型機資料庫!$J$140:$J$145),0)</f>
        <v>0</v>
      </c>
      <c r="V68" s="900">
        <f>IFERROR(LOOKUP(1,0/((成型機資料庫!$F$140:$F$145=J68)*(成型機資料庫!$G$140:$G$145=K68)),成型機資料庫!$L$140:$L$145),0)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64"/>
      <c r="AF68" s="438"/>
    </row>
    <row r="69" spans="1:32" s="433" customFormat="1" ht="15.75">
      <c r="A69" s="434">
        <v>113</v>
      </c>
      <c r="B69" s="434"/>
      <c r="C69" s="434">
        <v>24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IFERROR(LOOKUP(1,0/((成型機資料庫!$F$140:$F$145=J69)*(成型機資料庫!$G$140:$G$145=K69)),成型機資料庫!$K$140:$K$145),0)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IFERROR(LOOKUP(1,0/((成型機資料庫!$F$140:$F$145=J69)*(成型機資料庫!$G$140:$G$145=K69)),成型機資料庫!$I$140:$I$145),0)</f>
        <v>0</v>
      </c>
      <c r="U69" s="483">
        <f>IFERROR(LOOKUP(1,0/((成型機資料庫!$F$140:$F$145=J69)*(成型機資料庫!$G$140:$G$145=K69)),成型機資料庫!$J$140:$J$145),0)</f>
        <v>0</v>
      </c>
      <c r="V69" s="900">
        <f>IFERROR(LOOKUP(1,0/((成型機資料庫!$F$140:$F$145=J69)*(成型機資料庫!$G$140:$G$145=K69)),成型機資料庫!$L$140:$L$145),0)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25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IFERROR(LOOKUP(1,0/((成型機資料庫!$F$140:$F$145=J70)*(成型機資料庫!$G$140:$G$145=K70)),成型機資料庫!$K$140:$K$145),0)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IFERROR(LOOKUP(1,0/((成型機資料庫!$F$140:$F$145=J70)*(成型機資料庫!$G$140:$G$145=K70)),成型機資料庫!$I$140:$I$145),0)</f>
        <v>0</v>
      </c>
      <c r="U70" s="483">
        <f>IFERROR(LOOKUP(1,0/((成型機資料庫!$F$140:$F$145=J70)*(成型機資料庫!$G$140:$G$145=K70)),成型機資料庫!$J$140:$J$145),0)</f>
        <v>0</v>
      </c>
      <c r="V70" s="900">
        <f>IFERROR(LOOKUP(1,0/((成型機資料庫!$F$140:$F$145=J70)*(成型機資料庫!$G$140:$G$145=K70)),成型機資料庫!$L$140:$L$145),0)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64"/>
      <c r="AF70" s="438"/>
    </row>
    <row r="71" spans="1:32" s="433" customFormat="1" ht="15.75">
      <c r="A71" s="434">
        <v>113</v>
      </c>
      <c r="B71" s="434"/>
      <c r="C71" s="434">
        <v>26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IFERROR(LOOKUP(1,0/((成型機資料庫!$F$140:$F$145=J71)*(成型機資料庫!$G$140:$G$145=K71)),成型機資料庫!$K$140:$K$145),0)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IFERROR(LOOKUP(1,0/((成型機資料庫!$F$140:$F$145=J71)*(成型機資料庫!$G$140:$G$145=K71)),成型機資料庫!$I$140:$I$145),0)</f>
        <v>0</v>
      </c>
      <c r="U71" s="483">
        <f>IFERROR(LOOKUP(1,0/((成型機資料庫!$F$140:$F$145=J71)*(成型機資料庫!$G$140:$G$145=K71)),成型機資料庫!$J$140:$J$145),0)</f>
        <v>0</v>
      </c>
      <c r="V71" s="900">
        <f>IFERROR(LOOKUP(1,0/((成型機資料庫!$F$140:$F$145=J71)*(成型機資料庫!$G$140:$G$145=K71)),成型機資料庫!$L$140:$L$145),0)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38"/>
      <c r="AE71" s="464"/>
      <c r="AF71" s="438"/>
    </row>
    <row r="72" spans="1:32" s="433" customFormat="1" ht="15.75">
      <c r="A72" s="434">
        <v>113</v>
      </c>
      <c r="B72" s="434"/>
      <c r="C72" s="434">
        <v>27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IFERROR(LOOKUP(1,0/((成型機資料庫!$F$140:$F$145=J72)*(成型機資料庫!$G$140:$G$145=K72)),成型機資料庫!$K$140:$K$145),0)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IFERROR(LOOKUP(1,0/((成型機資料庫!$F$140:$F$145=J72)*(成型機資料庫!$G$140:$G$145=K72)),成型機資料庫!$I$140:$I$145),0)</f>
        <v>0</v>
      </c>
      <c r="U72" s="483">
        <f>IFERROR(LOOKUP(1,0/((成型機資料庫!$F$140:$F$145=J72)*(成型機資料庫!$G$140:$G$145=K72)),成型機資料庫!$J$140:$J$145),0)</f>
        <v>0</v>
      </c>
      <c r="V72" s="900">
        <f>IFERROR(LOOKUP(1,0/((成型機資料庫!$F$140:$F$145=J72)*(成型機資料庫!$G$140:$G$145=K72)),成型機資料庫!$L$140:$L$145),0)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581"/>
      <c r="C73" s="581">
        <v>28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IFERROR(LOOKUP(1,0/((成型機資料庫!$F$140:$F$145=J73)*(成型機資料庫!$G$140:$G$145=K73)),成型機資料庫!$K$140:$K$145),0)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IFERROR(LOOKUP(1,0/((成型機資料庫!$F$140:$F$145=J73)*(成型機資料庫!$G$140:$G$145=K73)),成型機資料庫!$I$140:$I$145),0)</f>
        <v>0</v>
      </c>
      <c r="U73" s="483">
        <f>IFERROR(LOOKUP(1,0/((成型機資料庫!$F$140:$F$145=J73)*(成型機資料庫!$G$140:$G$145=K73)),成型機資料庫!$J$140:$J$145),0)</f>
        <v>0</v>
      </c>
      <c r="V73" s="900">
        <f>IFERROR(LOOKUP(1,0/((成型機資料庫!$F$140:$F$145=J73)*(成型機資料庫!$G$140:$G$145=K73)),成型機資料庫!$L$140:$L$145),0)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581"/>
      <c r="C74" s="581">
        <v>29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IFERROR(LOOKUP(1,0/((成型機資料庫!$F$140:$F$145=J74)*(成型機資料庫!$G$140:$G$145=K74)),成型機資料庫!$K$140:$K$145),0)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IFERROR(LOOKUP(1,0/((成型機資料庫!$F$140:$F$145=J74)*(成型機資料庫!$G$140:$G$145=K74)),成型機資料庫!$I$140:$I$145),0)</f>
        <v>0</v>
      </c>
      <c r="U74" s="483">
        <f>IFERROR(LOOKUP(1,0/((成型機資料庫!$F$140:$F$145=J74)*(成型機資料庫!$G$140:$G$145=K74)),成型機資料庫!$J$140:$J$145),0)</f>
        <v>0</v>
      </c>
      <c r="V74" s="900">
        <f>IFERROR(LOOKUP(1,0/((成型機資料庫!$F$140:$F$145=J74)*(成型機資料庫!$G$140:$G$145=K74)),成型機資料庫!$L$140:$L$145),0)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64"/>
      <c r="AF74" s="438"/>
    </row>
    <row r="75" spans="1:32" s="433" customFormat="1" ht="15.75">
      <c r="A75" s="434">
        <v>113</v>
      </c>
      <c r="B75" s="581"/>
      <c r="C75" s="581">
        <v>30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IFERROR(LOOKUP(1,0/((成型機資料庫!$F$140:$F$145=J75)*(成型機資料庫!$G$140:$G$145=K75)),成型機資料庫!$K$140:$K$145),0)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IFERROR(LOOKUP(1,0/((成型機資料庫!$F$140:$F$145=J75)*(成型機資料庫!$G$140:$G$145=K75)),成型機資料庫!$I$140:$I$145),0)</f>
        <v>0</v>
      </c>
      <c r="U75" s="483">
        <f>IFERROR(LOOKUP(1,0/((成型機資料庫!$F$140:$F$145=J75)*(成型機資料庫!$G$140:$G$145=K75)),成型機資料庫!$J$140:$J$145),0)</f>
        <v>0</v>
      </c>
      <c r="V75" s="900">
        <f>IFERROR(LOOKUP(1,0/((成型機資料庫!$F$140:$F$145=J75)*(成型機資料庫!$G$140:$G$145=K75)),成型機資料庫!$L$140:$L$145),0)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46"/>
      <c r="B76" s="456"/>
      <c r="C76" s="456"/>
      <c r="D76" s="456"/>
      <c r="E76" s="456"/>
      <c r="F76" s="448"/>
      <c r="G76" s="951"/>
      <c r="H76" s="452"/>
      <c r="I76" s="430"/>
      <c r="J76" s="469"/>
      <c r="K76" s="469"/>
      <c r="L76" s="452"/>
      <c r="M76" s="452"/>
      <c r="N76" s="945"/>
      <c r="O76" s="946"/>
      <c r="P76" s="868"/>
      <c r="Q76" s="467"/>
      <c r="R76" s="948"/>
      <c r="S76" s="936"/>
      <c r="T76" s="936"/>
      <c r="U76" s="936"/>
      <c r="V76" s="945"/>
      <c r="W76" s="936"/>
      <c r="X76" s="947"/>
      <c r="Y76" s="936"/>
      <c r="Z76" s="947"/>
      <c r="AA76" s="488"/>
      <c r="AB76" s="439"/>
      <c r="AC76" s="471"/>
      <c r="AD76" s="452"/>
      <c r="AE76" s="439"/>
      <c r="AF76" s="439"/>
    </row>
    <row r="77" spans="1:32" s="433" customFormat="1" ht="15.75">
      <c r="A77" s="446"/>
      <c r="B77" s="456"/>
      <c r="C77" s="456"/>
      <c r="D77" s="456"/>
      <c r="E77" s="456"/>
      <c r="F77" s="448"/>
      <c r="G77" s="951"/>
      <c r="H77" s="452"/>
      <c r="I77" s="430"/>
      <c r="J77" s="469"/>
      <c r="K77" s="469"/>
      <c r="L77" s="452"/>
      <c r="M77" s="452"/>
      <c r="N77" s="945"/>
      <c r="O77" s="946"/>
      <c r="P77" s="868"/>
      <c r="Q77" s="467"/>
      <c r="R77" s="948"/>
      <c r="S77" s="936"/>
      <c r="T77" s="936"/>
      <c r="U77" s="936"/>
      <c r="V77" s="945"/>
      <c r="W77" s="936"/>
      <c r="X77" s="947"/>
      <c r="Y77" s="936"/>
      <c r="Z77" s="947"/>
      <c r="AA77" s="488"/>
      <c r="AB77" s="439"/>
      <c r="AC77" s="471"/>
      <c r="AD77" s="452"/>
      <c r="AE77" s="439"/>
      <c r="AF77" s="439"/>
    </row>
    <row r="78" spans="1:32" s="433" customFormat="1" thickBot="1">
      <c r="A78" s="446"/>
      <c r="B78" s="446"/>
      <c r="C78" s="446"/>
      <c r="D78" s="446"/>
      <c r="E78" s="446"/>
      <c r="F78" s="448"/>
      <c r="G78" s="448"/>
      <c r="H78" s="430"/>
      <c r="I78" s="430"/>
      <c r="J78" s="430"/>
      <c r="K78" s="430"/>
      <c r="L78" s="439"/>
      <c r="M78" s="452"/>
      <c r="N78" s="452"/>
      <c r="O78" s="457"/>
      <c r="P78" s="466"/>
      <c r="Q78" s="467"/>
      <c r="R78" s="486"/>
      <c r="S78" s="457"/>
      <c r="T78" s="457"/>
      <c r="U78" s="457"/>
      <c r="V78" s="458"/>
      <c r="W78" s="487">
        <f>SUM(W46:W75)</f>
        <v>0</v>
      </c>
      <c r="X78" s="487"/>
      <c r="Y78" s="487"/>
      <c r="Z78" s="487"/>
      <c r="AA78" s="488"/>
      <c r="AB78" s="489"/>
      <c r="AC78" s="489"/>
      <c r="AD78" s="469" t="s">
        <v>46</v>
      </c>
      <c r="AE78" s="439"/>
      <c r="AF78" s="439"/>
    </row>
    <row r="79" spans="1:32" s="469" customFormat="1" ht="31.5">
      <c r="A79" s="479"/>
      <c r="B79" s="479"/>
      <c r="C79" s="479"/>
      <c r="D79" s="479"/>
      <c r="E79" s="479"/>
      <c r="F79" s="452"/>
      <c r="G79" s="524" t="s">
        <v>503</v>
      </c>
      <c r="H79" s="517"/>
      <c r="I79" s="518"/>
      <c r="L79" s="1842" t="s">
        <v>1349</v>
      </c>
      <c r="M79" s="525" t="s">
        <v>1294</v>
      </c>
      <c r="N79" s="525" t="s">
        <v>1295</v>
      </c>
      <c r="O79" s="526" t="s">
        <v>458</v>
      </c>
      <c r="P79" s="520"/>
      <c r="Q79" s="521"/>
      <c r="R79" s="524" t="s">
        <v>504</v>
      </c>
      <c r="S79" s="524" t="s">
        <v>455</v>
      </c>
      <c r="T79" s="521"/>
      <c r="U79" s="521"/>
      <c r="V79" s="524" t="s">
        <v>1293</v>
      </c>
      <c r="W79" s="524" t="s">
        <v>459</v>
      </c>
      <c r="X79" s="521"/>
      <c r="Y79" s="524" t="s">
        <v>1345</v>
      </c>
      <c r="Z79" s="524" t="s">
        <v>1350</v>
      </c>
      <c r="AA79" s="524" t="s">
        <v>1351</v>
      </c>
      <c r="AB79" s="524" t="s">
        <v>1353</v>
      </c>
      <c r="AC79" s="524" t="s">
        <v>1352</v>
      </c>
      <c r="AD79" s="469" t="s">
        <v>253</v>
      </c>
      <c r="AE79" s="452"/>
      <c r="AF79" s="452"/>
    </row>
    <row r="80" spans="1:32" thickBot="1">
      <c r="G80" s="522">
        <f>SUM(G46:G75)</f>
        <v>0</v>
      </c>
      <c r="I80" s="431"/>
      <c r="J80" s="518"/>
      <c r="K80" s="518"/>
      <c r="L80" s="1843"/>
      <c r="M80" s="522">
        <f>SUM(M46:M75)</f>
        <v>0</v>
      </c>
      <c r="N80" s="522">
        <f>SUM(N46:N75)</f>
        <v>0</v>
      </c>
      <c r="O80" s="902">
        <f>SUM(O46:O75)</f>
        <v>0</v>
      </c>
      <c r="P80" s="470"/>
      <c r="R80" s="924">
        <f>SUM(R46:R75)</f>
        <v>0</v>
      </c>
      <c r="S80" s="897" t="e">
        <f>(G80-R80)/G80</f>
        <v>#DIV/0!</v>
      </c>
      <c r="T80" s="446"/>
      <c r="U80" s="446"/>
      <c r="V80" s="686" t="e">
        <f>N80/W80</f>
        <v>#DIV/0!</v>
      </c>
      <c r="W80" s="516" t="e">
        <f>W78/Y80</f>
        <v>#DIV/0!</v>
      </c>
      <c r="X80" s="446"/>
      <c r="Y80" s="516"/>
      <c r="Z80" s="958">
        <f>SUM(Z46:Z75)</f>
        <v>0</v>
      </c>
      <c r="AA80" s="516">
        <f>SUM(AA46:AA75)</f>
        <v>0</v>
      </c>
      <c r="AB80" s="516">
        <f>Z80-AA80</f>
        <v>0</v>
      </c>
      <c r="AC80" s="896" t="e">
        <f>AA80/Z80</f>
        <v>#DIV/0!</v>
      </c>
    </row>
    <row r="81" spans="15:15">
      <c r="O81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44:AF45"/>
    <mergeCell ref="L79:L80"/>
    <mergeCell ref="X44:X45"/>
    <mergeCell ref="Y44:Y45"/>
    <mergeCell ref="Z44:Z45"/>
    <mergeCell ref="AA44:AA45"/>
    <mergeCell ref="AB44:AC44"/>
    <mergeCell ref="AD44:AD45"/>
    <mergeCell ref="R44:R45"/>
    <mergeCell ref="S44:S45"/>
    <mergeCell ref="T44:T45"/>
    <mergeCell ref="U44:U45"/>
    <mergeCell ref="V44:V45"/>
    <mergeCell ref="W44:W45"/>
    <mergeCell ref="L44:L45"/>
    <mergeCell ref="P44:P45"/>
    <mergeCell ref="AB2:AC2"/>
    <mergeCell ref="AD2:AD3"/>
    <mergeCell ref="AE2:AE3"/>
    <mergeCell ref="M44:M45"/>
    <mergeCell ref="N44:N45"/>
    <mergeCell ref="O44:O45"/>
    <mergeCell ref="Q44:Q45"/>
    <mergeCell ref="AE44:AE45"/>
    <mergeCell ref="AF2:AF3"/>
    <mergeCell ref="L40:L41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4:A45"/>
    <mergeCell ref="B44:B45"/>
    <mergeCell ref="C44:C45"/>
    <mergeCell ref="D44:D45"/>
    <mergeCell ref="E44:E45"/>
    <mergeCell ref="K44:K45"/>
    <mergeCell ref="F44:F45"/>
    <mergeCell ref="G44:G45"/>
    <mergeCell ref="H44:H45"/>
    <mergeCell ref="I44:I45"/>
    <mergeCell ref="J44:J45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3">
    <cfRule type="cellIs" dxfId="620" priority="3" stopIfTrue="1" operator="equal">
      <formula>"未開機"</formula>
    </cfRule>
  </conditionalFormatting>
  <conditionalFormatting sqref="R46:U77">
    <cfRule type="expression" dxfId="619" priority="1" stopIfTrue="1">
      <formula>R46=0</formula>
    </cfRule>
  </conditionalFormatting>
  <conditionalFormatting sqref="W7:W38">
    <cfRule type="cellIs" dxfId="618" priority="34" stopIfTrue="1" operator="between">
      <formula>0.851</formula>
      <formula>1</formula>
    </cfRule>
    <cfRule type="cellIs" dxfId="617" priority="33" stopIfTrue="1" operator="lessThan">
      <formula>0.7</formula>
    </cfRule>
    <cfRule type="expression" dxfId="616" priority="32" stopIfTrue="1">
      <formula>W7=0</formula>
    </cfRule>
    <cfRule type="expression" dxfId="615" priority="36" stopIfTrue="1">
      <formula>W7=0</formula>
    </cfRule>
    <cfRule type="cellIs" dxfId="614" priority="35" stopIfTrue="1" operator="between">
      <formula>0.7</formula>
      <formula>0.85</formula>
    </cfRule>
  </conditionalFormatting>
  <conditionalFormatting sqref="W46:W77">
    <cfRule type="expression" dxfId="613" priority="15" stopIfTrue="1">
      <formula>W46=0</formula>
    </cfRule>
    <cfRule type="cellIs" dxfId="612" priority="16" stopIfTrue="1" operator="lessThan">
      <formula>0.7</formula>
    </cfRule>
    <cfRule type="cellIs" dxfId="611" priority="17" stopIfTrue="1" operator="between">
      <formula>0.851</formula>
      <formula>1</formula>
    </cfRule>
    <cfRule type="cellIs" dxfId="610" priority="18" stopIfTrue="1" operator="between">
      <formula>0.7</formula>
      <formula>0.85</formula>
    </cfRule>
    <cfRule type="expression" dxfId="609" priority="19" stopIfTrue="1">
      <formula>W46=0</formula>
    </cfRule>
  </conditionalFormatting>
  <conditionalFormatting sqref="W4:Y5 S4:U4 S5 T5:U36 R7:S36 Z7:Z38 R37:U38">
    <cfRule type="expression" dxfId="608" priority="40" stopIfTrue="1">
      <formula>R4=0</formula>
    </cfRule>
  </conditionalFormatting>
  <conditionalFormatting sqref="W4:Y5">
    <cfRule type="cellIs" dxfId="607" priority="37" stopIfTrue="1" operator="lessThan">
      <formula>0.7</formula>
    </cfRule>
    <cfRule type="cellIs" dxfId="606" priority="38" stopIfTrue="1" operator="between">
      <formula>0.851</formula>
      <formula>1</formula>
    </cfRule>
    <cfRule type="cellIs" dxfId="605" priority="39" stopIfTrue="1" operator="between">
      <formula>0.7</formula>
      <formula>0.85</formula>
    </cfRule>
  </conditionalFormatting>
  <conditionalFormatting sqref="X8:X38">
    <cfRule type="cellIs" dxfId="604" priority="22" stopIfTrue="1" operator="lessThan">
      <formula>0.7</formula>
    </cfRule>
    <cfRule type="cellIs" dxfId="603" priority="23" stopIfTrue="1" operator="between">
      <formula>0.851</formula>
      <formula>1</formula>
    </cfRule>
    <cfRule type="cellIs" dxfId="602" priority="24" stopIfTrue="1" operator="between">
      <formula>0.7</formula>
      <formula>0.85</formula>
    </cfRule>
    <cfRule type="expression" dxfId="601" priority="25" stopIfTrue="1">
      <formula>X8=0</formula>
    </cfRule>
    <cfRule type="expression" dxfId="600" priority="21" stopIfTrue="1">
      <formula>X8=0</formula>
    </cfRule>
  </conditionalFormatting>
  <conditionalFormatting sqref="X47:X77">
    <cfRule type="expression" dxfId="599" priority="4" stopIfTrue="1">
      <formula>X47=0</formula>
    </cfRule>
    <cfRule type="cellIs" dxfId="598" priority="5" stopIfTrue="1" operator="lessThan">
      <formula>0.7</formula>
    </cfRule>
    <cfRule type="cellIs" dxfId="597" priority="6" stopIfTrue="1" operator="between">
      <formula>0.851</formula>
      <formula>1</formula>
    </cfRule>
    <cfRule type="cellIs" dxfId="596" priority="7" stopIfTrue="1" operator="between">
      <formula>0.7</formula>
      <formula>0.85</formula>
    </cfRule>
    <cfRule type="expression" dxfId="595" priority="8" stopIfTrue="1">
      <formula>X47=0</formula>
    </cfRule>
  </conditionalFormatting>
  <conditionalFormatting sqref="X7:Y7 Y8:Y38">
    <cfRule type="expression" dxfId="594" priority="27" stopIfTrue="1">
      <formula>X7=0</formula>
    </cfRule>
    <cfRule type="cellIs" dxfId="593" priority="28" stopIfTrue="1" operator="lessThan">
      <formula>0.7</formula>
    </cfRule>
    <cfRule type="cellIs" dxfId="592" priority="29" stopIfTrue="1" operator="between">
      <formula>0.851</formula>
      <formula>1</formula>
    </cfRule>
    <cfRule type="cellIs" dxfId="591" priority="30" stopIfTrue="1" operator="between">
      <formula>0.7</formula>
      <formula>0.85</formula>
    </cfRule>
    <cfRule type="expression" dxfId="590" priority="31" stopIfTrue="1">
      <formula>X7=0</formula>
    </cfRule>
  </conditionalFormatting>
  <conditionalFormatting sqref="X46:Y46 Y47:Y77">
    <cfRule type="expression" dxfId="589" priority="10" stopIfTrue="1">
      <formula>X46=0</formula>
    </cfRule>
    <cfRule type="expression" dxfId="588" priority="14" stopIfTrue="1">
      <formula>X46=0</formula>
    </cfRule>
    <cfRule type="cellIs" dxfId="587" priority="13" stopIfTrue="1" operator="between">
      <formula>0.7</formula>
      <formula>0.85</formula>
    </cfRule>
    <cfRule type="cellIs" dxfId="586" priority="12" stopIfTrue="1" operator="between">
      <formula>0.851</formula>
      <formula>1</formula>
    </cfRule>
    <cfRule type="cellIs" dxfId="585" priority="11" stopIfTrue="1" operator="lessThan">
      <formula>0.7</formula>
    </cfRule>
  </conditionalFormatting>
  <conditionalFormatting sqref="Y7:Y38">
    <cfRule type="cellIs" dxfId="584" priority="26" stopIfTrue="1" operator="greaterThan">
      <formula>1</formula>
    </cfRule>
  </conditionalFormatting>
  <conditionalFormatting sqref="Y46:Y77">
    <cfRule type="cellIs" dxfId="583" priority="9" stopIfTrue="1" operator="greaterThan">
      <formula>1</formula>
    </cfRule>
  </conditionalFormatting>
  <conditionalFormatting sqref="Z46:Z77">
    <cfRule type="expression" dxfId="582" priority="20" stopIfTrue="1">
      <formula>Z46=0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61535F5-EC01-4DC6-A190-107BDB0868E4}">
          <x14:formula1>
            <xm:f>規格清單!$H$22:$H$23</xm:f>
          </x14:formula1>
          <xm:sqref>J46:J75 J4:J36</xm:sqref>
        </x14:dataValidation>
        <x14:dataValidation type="list" allowBlank="1" showInputMessage="1" showErrorMessage="1" xr:uid="{7D582553-7F09-4F50-92C5-D26515CB708C}">
          <x14:formula1>
            <xm:f>成型機資料庫!$A$9:$A$11</xm:f>
          </x14:formula1>
          <xm:sqref>K4:K36 K46:K75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223F-7491-40BA-A38D-F31F8A78AFB6}">
  <dimension ref="A1:BD85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472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6" t="s">
        <v>42</v>
      </c>
      <c r="G4" s="464"/>
      <c r="H4" s="464" t="s">
        <v>1421</v>
      </c>
      <c r="I4" s="429" t="s">
        <v>470</v>
      </c>
      <c r="J4" s="429" t="s">
        <v>1489</v>
      </c>
      <c r="K4" s="429" t="s">
        <v>1301</v>
      </c>
      <c r="L4" s="464">
        <v>1700</v>
      </c>
      <c r="M4" s="464"/>
      <c r="N4" s="464"/>
      <c r="O4" s="443">
        <f>L4*M4</f>
        <v>0</v>
      </c>
      <c r="P4" s="461">
        <v>18</v>
      </c>
      <c r="Q4" s="438">
        <f>IFERROR(LOOKUP(1,0/((成型機資料庫!$F$146:$F$163=J4)*(成型機資料庫!$G$146:$G$163=K4)),成型機資料庫!$K$146:$K$163),0)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IFERROR(LOOKUP(1,0/((成型機資料庫!$F$146:$F$163=J4)*(成型機資料庫!$G$146:$G$163=K4)),成型機資料庫!$I$146:$I$163),0)</f>
        <v>12</v>
      </c>
      <c r="U4" s="483">
        <f>IFERROR(LOOKUP(1,0/((成型機資料庫!$F$146:$F$163=J4)*(成型機資料庫!$G$146:$G$163=K4)),成型機資料庫!$J$146:$J$163),0)</f>
        <v>9.1999999999999993</v>
      </c>
      <c r="V4" s="900">
        <f>IFERROR(LOOKUP(1,0/((成型機資料庫!$F$146:$F$163=J4)*(成型機資料庫!$G$146:$G$163=K4)),成型機資料庫!$L$146:$L$163),0)</f>
        <v>72.86399999999999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6" t="s">
        <v>59</v>
      </c>
      <c r="G5" s="464"/>
      <c r="H5" s="464" t="s">
        <v>695</v>
      </c>
      <c r="I5" s="429" t="s">
        <v>464</v>
      </c>
      <c r="J5" s="429" t="s">
        <v>1491</v>
      </c>
      <c r="K5" s="429" t="s">
        <v>1301</v>
      </c>
      <c r="L5" s="464">
        <v>216</v>
      </c>
      <c r="M5" s="464"/>
      <c r="N5" s="464"/>
      <c r="O5" s="443">
        <f t="shared" ref="O5:O10" si="0">L5*M5</f>
        <v>0</v>
      </c>
      <c r="P5" s="461">
        <v>3.5</v>
      </c>
      <c r="Q5" s="438">
        <f>IFERROR(LOOKUP(1,0/((成型機資料庫!$F$146:$F$163=J5)*(成型機資料庫!$G$146:$G$163=K5)),成型機資料庫!$K$146:$K$163),0)</f>
        <v>1000</v>
      </c>
      <c r="R5" s="477"/>
      <c r="S5" s="898"/>
      <c r="T5" s="482">
        <f>IFERROR(LOOKUP(1,0/((成型機資料庫!$F$146:$F$163=J5)*(成型機資料庫!$G$146:$G$163=K5)),成型機資料庫!$I$146:$I$163),0)</f>
        <v>30</v>
      </c>
      <c r="U5" s="483">
        <f>IFERROR(LOOKUP(1,0/((成型機資料庫!$F$146:$F$163=J5)*(成型機資料庫!$G$146:$G$163=K5)),成型機資料庫!$J$146:$J$163),0)</f>
        <v>13.3</v>
      </c>
      <c r="V5" s="900">
        <f>IFERROR(LOOKUP(1,0/((成型機資料庫!$F$146:$F$163=J5)*(成型機資料庫!$G$146:$G$163=K5)),成型機資料庫!$L$146:$L$163),0)</f>
        <v>263.33999999999997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6" t="s">
        <v>59</v>
      </c>
      <c r="G6" s="464"/>
      <c r="H6" s="464" t="s">
        <v>963</v>
      </c>
      <c r="I6" s="429" t="s">
        <v>1377</v>
      </c>
      <c r="J6" s="429" t="s">
        <v>1493</v>
      </c>
      <c r="K6" s="429" t="s">
        <v>1301</v>
      </c>
      <c r="L6" s="464">
        <v>216</v>
      </c>
      <c r="M6" s="464"/>
      <c r="N6" s="464"/>
      <c r="O6" s="443">
        <f t="shared" si="0"/>
        <v>0</v>
      </c>
      <c r="P6" s="461">
        <v>5.6</v>
      </c>
      <c r="Q6" s="438">
        <f>IFERROR(LOOKUP(1,0/((成型機資料庫!$F$146:$F$163=J6)*(成型機資料庫!$G$146:$G$163=K6)),成型機資料庫!$K$146:$K$163),0)</f>
        <v>600</v>
      </c>
      <c r="R6" s="477"/>
      <c r="S6" s="898"/>
      <c r="T6" s="482">
        <f>IFERROR(LOOKUP(1,0/((成型機資料庫!$F$146:$F$163=J6)*(成型機資料庫!$G$146:$G$163=K6)),成型機資料庫!$I$146:$I$163),0)</f>
        <v>30</v>
      </c>
      <c r="U6" s="483">
        <f>IFERROR(LOOKUP(1,0/((成型機資料庫!$F$146:$F$163=J6)*(成型機資料庫!$G$146:$G$163=K6)),成型機資料庫!$J$146:$J$163),0)</f>
        <v>13.3</v>
      </c>
      <c r="V6" s="900">
        <f>IFERROR(LOOKUP(1,0/((成型機資料庫!$F$146:$F$163=J6)*(成型機資料庫!$G$146:$G$163=K6)),成型機資料庫!$L$146:$L$163),0)</f>
        <v>438.9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6" t="s">
        <v>59</v>
      </c>
      <c r="G7" s="464"/>
      <c r="H7" s="464" t="s">
        <v>727</v>
      </c>
      <c r="I7" s="530" t="s">
        <v>1378</v>
      </c>
      <c r="J7" s="530" t="s">
        <v>1494</v>
      </c>
      <c r="K7" s="429" t="s">
        <v>1301</v>
      </c>
      <c r="L7" s="438">
        <v>115</v>
      </c>
      <c r="M7" s="464"/>
      <c r="N7" s="464"/>
      <c r="O7" s="443">
        <f t="shared" si="0"/>
        <v>0</v>
      </c>
      <c r="P7" s="461">
        <v>7</v>
      </c>
      <c r="Q7" s="438">
        <f>IFERROR(LOOKUP(1,0/((成型機資料庫!$F$146:$F$163=J7)*(成型機資料庫!$G$146:$G$163=K7)),成型機資料庫!$K$146:$K$163),0)</f>
        <v>600</v>
      </c>
      <c r="R7" s="477"/>
      <c r="S7" s="898"/>
      <c r="T7" s="482">
        <f>IFERROR(LOOKUP(1,0/((成型機資料庫!$F$146:$F$163=J7)*(成型機資料庫!$G$146:$G$163=K7)),成型機資料庫!$I$146:$I$163),0)</f>
        <v>24</v>
      </c>
      <c r="U7" s="483">
        <f>IFERROR(LOOKUP(1,0/((成型機資料庫!$F$146:$F$163=J7)*(成型機資料庫!$G$146:$G$163=K7)),成型機資料庫!$J$146:$J$163),0)</f>
        <v>8.8000000000000007</v>
      </c>
      <c r="V7" s="900">
        <f>IFERROR(LOOKUP(1,0/((成型機資料庫!$F$146:$F$163=J7)*(成型機資料庫!$G$146:$G$163=K7)),成型機資料庫!$L$146:$L$163),0)</f>
        <v>232.32000000000005</v>
      </c>
      <c r="W7" s="898"/>
      <c r="X7" s="898"/>
      <c r="Y7" s="898"/>
      <c r="Z7" s="485"/>
      <c r="AA7" s="478">
        <f t="shared" ref="AA7:AA40" si="1">AB7+AC7/60</f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6" t="s">
        <v>59</v>
      </c>
      <c r="G8" s="464"/>
      <c r="H8" s="464" t="s">
        <v>727</v>
      </c>
      <c r="I8" s="530" t="s">
        <v>1422</v>
      </c>
      <c r="J8" s="530" t="s">
        <v>1495</v>
      </c>
      <c r="K8" s="429" t="s">
        <v>1301</v>
      </c>
      <c r="L8" s="438">
        <v>115</v>
      </c>
      <c r="M8" s="464"/>
      <c r="N8" s="464"/>
      <c r="O8" s="443">
        <f t="shared" si="0"/>
        <v>0</v>
      </c>
      <c r="P8" s="461">
        <v>8.1999999999999993</v>
      </c>
      <c r="Q8" s="438">
        <f>IFERROR(LOOKUP(1,0/((成型機資料庫!$F$146:$F$163=J8)*(成型機資料庫!$G$146:$G$163=K8)),成型機資料庫!$K$146:$K$163),0)</f>
        <v>600</v>
      </c>
      <c r="R8" s="477"/>
      <c r="S8" s="898"/>
      <c r="T8" s="482">
        <f>IFERROR(LOOKUP(1,0/((成型機資料庫!$F$146:$F$163=J8)*(成型機資料庫!$G$146:$G$163=K8)),成型機資料庫!$I$146:$I$163),0)</f>
        <v>24</v>
      </c>
      <c r="U8" s="483">
        <f>IFERROR(LOOKUP(1,0/((成型機資料庫!$F$146:$F$163=J8)*(成型機資料庫!$G$146:$G$163=K8)),成型機資料庫!$J$146:$J$163),0)</f>
        <v>8.8000000000000007</v>
      </c>
      <c r="V8" s="900">
        <f>IFERROR(LOOKUP(1,0/((成型機資料庫!$F$146:$F$163=J8)*(成型機資料庫!$G$146:$G$163=K8)),成型機資料庫!$L$146:$L$163),0)</f>
        <v>232.32000000000005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6" t="s">
        <v>59</v>
      </c>
      <c r="G9" s="464"/>
      <c r="H9" s="464" t="s">
        <v>938</v>
      </c>
      <c r="I9" s="429" t="s">
        <v>466</v>
      </c>
      <c r="J9" s="429" t="s">
        <v>1497</v>
      </c>
      <c r="K9" s="429" t="s">
        <v>1301</v>
      </c>
      <c r="L9" s="438">
        <v>174</v>
      </c>
      <c r="M9" s="464"/>
      <c r="N9" s="464"/>
      <c r="O9" s="443">
        <f t="shared" si="0"/>
        <v>0</v>
      </c>
      <c r="P9" s="461">
        <v>4.5</v>
      </c>
      <c r="Q9" s="438">
        <f>IFERROR(LOOKUP(1,0/((成型機資料庫!$F$146:$F$163=J9)*(成型機資料庫!$G$146:$G$163=K9)),成型機資料庫!$K$146:$K$163),0)</f>
        <v>600</v>
      </c>
      <c r="R9" s="477"/>
      <c r="S9" s="898"/>
      <c r="T9" s="482">
        <f>IFERROR(LOOKUP(1,0/((成型機資料庫!$F$146:$F$163=J9)*(成型機資料庫!$G$146:$G$163=K9)),成型機資料庫!$I$146:$I$163),0)</f>
        <v>24</v>
      </c>
      <c r="U9" s="483">
        <f>IFERROR(LOOKUP(1,0/((成型機資料庫!$F$146:$F$163=J9)*(成型機資料庫!$G$146:$G$163=K9)),成型機資料庫!$J$146:$J$163),0)</f>
        <v>12</v>
      </c>
      <c r="V9" s="900">
        <f>IFERROR(LOOKUP(1,0/((成型機資料庫!$F$146:$F$163=J9)*(成型機資料庫!$G$146:$G$163=K9)),成型機資料庫!$L$146:$L$163),0)</f>
        <v>316.8</v>
      </c>
      <c r="W9" s="898"/>
      <c r="X9" s="898"/>
      <c r="Y9" s="898"/>
      <c r="Z9" s="485"/>
      <c r="AA9" s="478">
        <f t="shared" si="1"/>
        <v>0</v>
      </c>
      <c r="AB9" s="438"/>
      <c r="AC9" s="482"/>
      <c r="AD9" s="536"/>
      <c r="AE9" s="438"/>
      <c r="AF9" s="438"/>
    </row>
    <row r="10" spans="1:56" s="439" customFormat="1" thickBot="1">
      <c r="A10" s="496"/>
      <c r="B10" s="496"/>
      <c r="C10" s="496"/>
      <c r="D10" s="496"/>
      <c r="E10" s="496"/>
      <c r="F10" s="497"/>
      <c r="G10" s="500"/>
      <c r="H10" s="500"/>
      <c r="I10" s="498"/>
      <c r="J10" s="498"/>
      <c r="K10" s="498"/>
      <c r="L10" s="500"/>
      <c r="M10" s="500"/>
      <c r="N10" s="500"/>
      <c r="O10" s="501">
        <f t="shared" si="0"/>
        <v>0</v>
      </c>
      <c r="P10" s="528"/>
      <c r="Q10" s="499">
        <f>IFERROR(LOOKUP(1,0/((成型機資料庫!$F$146:$F$163=J10)*(成型機資料庫!$G$146:$G$163=K10)),成型機資料庫!$K$146:$K$163),0)</f>
        <v>0</v>
      </c>
      <c r="R10" s="502"/>
      <c r="S10" s="503"/>
      <c r="T10" s="509">
        <f>IFERROR(LOOKUP(1,0/((成型機資料庫!$F$146:$F$163=J10)*(成型機資料庫!$G$146:$G$163=K10)),成型機資料庫!$I$146:$I$163),0)</f>
        <v>0</v>
      </c>
      <c r="U10" s="505">
        <f>IFERROR(LOOKUP(1,0/((成型機資料庫!$F$146:$F$163=J10)*(成型機資料庫!$G$146:$G$163=K10)),成型機資料庫!$J$146:$J$163),0)</f>
        <v>0</v>
      </c>
      <c r="V10" s="991">
        <f>IFERROR(LOOKUP(1,0/((成型機資料庫!$F$146:$F$163=J10)*(成型機資料庫!$G$146:$G$163=K10)),成型機資料庫!$L$146:$L$163),0)</f>
        <v>0</v>
      </c>
      <c r="W10" s="507"/>
      <c r="X10" s="507"/>
      <c r="Y10" s="507"/>
      <c r="Z10" s="507"/>
      <c r="AA10" s="478">
        <f t="shared" si="1"/>
        <v>0</v>
      </c>
      <c r="AB10" s="499"/>
      <c r="AC10" s="509"/>
      <c r="AD10" s="529"/>
      <c r="AE10" s="499"/>
      <c r="AF10" s="499"/>
    </row>
    <row r="11" spans="1:56" s="433" customFormat="1" ht="15.75">
      <c r="A11" s="935">
        <v>113</v>
      </c>
      <c r="B11" s="935"/>
      <c r="C11" s="935">
        <v>1</v>
      </c>
      <c r="D11" s="889"/>
      <c r="E11" s="889" t="s">
        <v>0</v>
      </c>
      <c r="F11" s="962" t="s">
        <v>44</v>
      </c>
      <c r="G11" s="999"/>
      <c r="H11" s="532"/>
      <c r="I11" s="964"/>
      <c r="J11" s="964"/>
      <c r="K11" s="964"/>
      <c r="L11" s="532"/>
      <c r="M11" s="532"/>
      <c r="N11" s="927">
        <f>M11*Q11</f>
        <v>0</v>
      </c>
      <c r="O11" s="995">
        <f t="shared" ref="O11:O40" si="2">L11*M11</f>
        <v>0</v>
      </c>
      <c r="P11" s="1000"/>
      <c r="Q11" s="480">
        <f>IFERROR(LOOKUP(1,0/((成型機資料庫!$F$146:$F$163=J11)*(成型機資料庫!$G$146:$G$163=K11)),成型機資料庫!$K$146:$K$163),0)</f>
        <v>0</v>
      </c>
      <c r="R11" s="997">
        <f t="shared" ref="R11:R40" si="3">M11*Q11*P11/1000</f>
        <v>0</v>
      </c>
      <c r="S11" s="996">
        <f t="shared" ref="S11:S40" si="4">IFERROR((G11-R11)/G11,0)</f>
        <v>0</v>
      </c>
      <c r="T11" s="968">
        <f>IFERROR(LOOKUP(1,0/((成型機資料庫!$F$146:$F$163=J11)*(成型機資料庫!$G$146:$G$163=K11)),成型機資料庫!$I$146:$I$163),0)</f>
        <v>0</v>
      </c>
      <c r="U11" s="967">
        <f>IFERROR(LOOKUP(1,0/((成型機資料庫!$F$146:$F$163=J11)*(成型機資料庫!$G$146:$G$163=K11)),成型機資料庫!$J$146:$J$163),0)</f>
        <v>0</v>
      </c>
      <c r="V11" s="927">
        <f>IFERROR(LOOKUP(1,0/((成型機資料庫!$F$146:$F$163=J11)*(成型機資料庫!$G$146:$G$163=K11)),成型機資料庫!$L$146:$L$163),0)</f>
        <v>0</v>
      </c>
      <c r="W11" s="996">
        <f t="shared" ref="W11:W40" si="5">IFERROR(M11/V11,0)</f>
        <v>0</v>
      </c>
      <c r="X11" s="987">
        <f>IFERROR(T11*U11*60*AA11/Q11,0)</f>
        <v>0</v>
      </c>
      <c r="Y11" s="996">
        <f>IFERROR(M11/X11,0)</f>
        <v>0</v>
      </c>
      <c r="Z11" s="987"/>
      <c r="AA11" s="495">
        <f t="shared" si="1"/>
        <v>0</v>
      </c>
      <c r="AB11" s="480"/>
      <c r="AC11" s="968"/>
      <c r="AD11" s="532"/>
      <c r="AE11" s="480"/>
      <c r="AF11" s="480"/>
    </row>
    <row r="12" spans="1:56" s="433" customFormat="1" ht="15.75">
      <c r="A12" s="434">
        <v>113</v>
      </c>
      <c r="B12" s="581"/>
      <c r="C12" s="581">
        <v>2</v>
      </c>
      <c r="D12" s="581"/>
      <c r="E12" s="581" t="s">
        <v>0</v>
      </c>
      <c r="F12" s="962" t="s">
        <v>44</v>
      </c>
      <c r="G12" s="926"/>
      <c r="H12" s="464"/>
      <c r="I12" s="429"/>
      <c r="J12" s="429"/>
      <c r="K12" s="429"/>
      <c r="L12" s="464"/>
      <c r="M12" s="464"/>
      <c r="N12" s="900">
        <f t="shared" ref="N12:N40" si="6">M12*Q12</f>
        <v>0</v>
      </c>
      <c r="O12" s="901">
        <f t="shared" si="2"/>
        <v>0</v>
      </c>
      <c r="P12" s="460"/>
      <c r="Q12" s="438">
        <f>IFERROR(LOOKUP(1,0/((成型機資料庫!$F$146:$F$163=J12)*(成型機資料庫!$G$146:$G$163=K12)),成型機資料庫!$K$146:$K$163),0)</f>
        <v>0</v>
      </c>
      <c r="R12" s="899">
        <f t="shared" si="3"/>
        <v>0</v>
      </c>
      <c r="S12" s="898">
        <f t="shared" si="4"/>
        <v>0</v>
      </c>
      <c r="T12" s="482">
        <f>IFERROR(LOOKUP(1,0/((成型機資料庫!$F$146:$F$163=J12)*(成型機資料庫!$G$146:$G$163=K12)),成型機資料庫!$I$146:$I$163),0)</f>
        <v>0</v>
      </c>
      <c r="U12" s="483">
        <f>IFERROR(LOOKUP(1,0/((成型機資料庫!$F$146:$F$163=J12)*(成型機資料庫!$G$146:$G$163=K12)),成型機資料庫!$J$146:$J$163),0)</f>
        <v>0</v>
      </c>
      <c r="V12" s="900">
        <f>IFERROR(LOOKUP(1,0/((成型機資料庫!$F$146:$F$163=J12)*(成型機資料庫!$G$146:$G$163=K12)),成型機資料庫!$L$146:$L$163),0)</f>
        <v>0</v>
      </c>
      <c r="W12" s="898">
        <f t="shared" si="5"/>
        <v>0</v>
      </c>
      <c r="X12" s="923">
        <f t="shared" ref="X12:X40" si="7">IFERROR(T12*U12*60*AA12/Q12,0)</f>
        <v>0</v>
      </c>
      <c r="Y12" s="898">
        <f t="shared" ref="Y12:Y40" si="8">IFERROR(M12/X12,0)</f>
        <v>0</v>
      </c>
      <c r="Z12" s="923"/>
      <c r="AA12" s="478">
        <f t="shared" si="1"/>
        <v>0</v>
      </c>
      <c r="AB12" s="438"/>
      <c r="AC12" s="482"/>
      <c r="AD12" s="464"/>
      <c r="AE12" s="438"/>
      <c r="AF12" s="438"/>
    </row>
    <row r="13" spans="1:56" s="433" customFormat="1" ht="15.75">
      <c r="A13" s="434">
        <v>113</v>
      </c>
      <c r="B13" s="581"/>
      <c r="C13" s="581">
        <v>3</v>
      </c>
      <c r="D13" s="581"/>
      <c r="E13" s="581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si="6"/>
        <v>0</v>
      </c>
      <c r="O13" s="901">
        <f t="shared" si="2"/>
        <v>0</v>
      </c>
      <c r="P13" s="460"/>
      <c r="Q13" s="438">
        <f>IFERROR(LOOKUP(1,0/((成型機資料庫!$F$146:$F$163=J13)*(成型機資料庫!$G$146:$G$163=K13)),成型機資料庫!$K$146:$K$163),0)</f>
        <v>0</v>
      </c>
      <c r="R13" s="899">
        <f t="shared" si="3"/>
        <v>0</v>
      </c>
      <c r="S13" s="898">
        <f t="shared" si="4"/>
        <v>0</v>
      </c>
      <c r="T13" s="482">
        <f>IFERROR(LOOKUP(1,0/((成型機資料庫!$F$146:$F$163=J13)*(成型機資料庫!$G$146:$G$163=K13)),成型機資料庫!$I$146:$I$163),0)</f>
        <v>0</v>
      </c>
      <c r="U13" s="483">
        <f>IFERROR(LOOKUP(1,0/((成型機資料庫!$F$146:$F$163=J13)*(成型機資料庫!$G$146:$G$163=K13)),成型機資料庫!$J$146:$J$163),0)</f>
        <v>0</v>
      </c>
      <c r="V13" s="900">
        <f>IFERROR(LOOKUP(1,0/((成型機資料庫!$F$146:$F$163=J13)*(成型機資料庫!$G$146:$G$163=K13)),成型機資料庫!$L$146:$L$163),0)</f>
        <v>0</v>
      </c>
      <c r="W13" s="898">
        <f t="shared" si="5"/>
        <v>0</v>
      </c>
      <c r="X13" s="923">
        <f t="shared" si="7"/>
        <v>0</v>
      </c>
      <c r="Y13" s="898">
        <f t="shared" si="8"/>
        <v>0</v>
      </c>
      <c r="Z13" s="923"/>
      <c r="AA13" s="478">
        <f t="shared" si="1"/>
        <v>0</v>
      </c>
      <c r="AB13" s="438"/>
      <c r="AC13" s="482"/>
      <c r="AD13" s="438"/>
      <c r="AE13" s="438"/>
      <c r="AF13" s="438"/>
    </row>
    <row r="14" spans="1:56" s="433" customFormat="1" ht="15.75">
      <c r="A14" s="434">
        <v>113</v>
      </c>
      <c r="B14" s="581"/>
      <c r="C14" s="581">
        <v>4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6"/>
        <v>0</v>
      </c>
      <c r="O14" s="901">
        <f t="shared" si="2"/>
        <v>0</v>
      </c>
      <c r="P14" s="460"/>
      <c r="Q14" s="438">
        <f>IFERROR(LOOKUP(1,0/((成型機資料庫!$F$146:$F$163=J14)*(成型機資料庫!$G$146:$G$163=K14)),成型機資料庫!$K$146:$K$163),0)</f>
        <v>0</v>
      </c>
      <c r="R14" s="899">
        <f t="shared" si="3"/>
        <v>0</v>
      </c>
      <c r="S14" s="898">
        <f t="shared" si="4"/>
        <v>0</v>
      </c>
      <c r="T14" s="482">
        <f>IFERROR(LOOKUP(1,0/((成型機資料庫!$F$146:$F$163=J14)*(成型機資料庫!$G$146:$G$163=K14)),成型機資料庫!$I$146:$I$163),0)</f>
        <v>0</v>
      </c>
      <c r="U14" s="483">
        <f>IFERROR(LOOKUP(1,0/((成型機資料庫!$F$146:$F$163=J14)*(成型機資料庫!$G$146:$G$163=K14)),成型機資料庫!$J$146:$J$163),0)</f>
        <v>0</v>
      </c>
      <c r="V14" s="900">
        <f>IFERROR(LOOKUP(1,0/((成型機資料庫!$F$146:$F$163=J14)*(成型機資料庫!$G$146:$G$163=K14)),成型機資料庫!$L$146:$L$163),0)</f>
        <v>0</v>
      </c>
      <c r="W14" s="898">
        <f t="shared" si="5"/>
        <v>0</v>
      </c>
      <c r="X14" s="923">
        <f t="shared" si="7"/>
        <v>0</v>
      </c>
      <c r="Y14" s="898">
        <f t="shared" si="8"/>
        <v>0</v>
      </c>
      <c r="Z14" s="923"/>
      <c r="AA14" s="478">
        <f t="shared" si="1"/>
        <v>0</v>
      </c>
      <c r="AB14" s="438"/>
      <c r="AC14" s="482"/>
      <c r="AD14" s="438"/>
      <c r="AE14" s="464"/>
      <c r="AF14" s="438"/>
    </row>
    <row r="15" spans="1:56" s="433" customFormat="1" ht="15.75">
      <c r="A15" s="434">
        <v>113</v>
      </c>
      <c r="B15" s="581"/>
      <c r="C15" s="581">
        <v>5</v>
      </c>
      <c r="D15" s="581"/>
      <c r="E15" s="889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6"/>
        <v>0</v>
      </c>
      <c r="O15" s="901">
        <f t="shared" si="2"/>
        <v>0</v>
      </c>
      <c r="P15" s="460"/>
      <c r="Q15" s="438">
        <f>IFERROR(LOOKUP(1,0/((成型機資料庫!$F$146:$F$163=J15)*(成型機資料庫!$G$146:$G$163=K15)),成型機資料庫!$K$146:$K$163),0)</f>
        <v>0</v>
      </c>
      <c r="R15" s="899">
        <f t="shared" si="3"/>
        <v>0</v>
      </c>
      <c r="S15" s="898">
        <f t="shared" si="4"/>
        <v>0</v>
      </c>
      <c r="T15" s="482">
        <f>IFERROR(LOOKUP(1,0/((成型機資料庫!$F$146:$F$163=J15)*(成型機資料庫!$G$146:$G$163=K15)),成型機資料庫!$I$146:$I$163),0)</f>
        <v>0</v>
      </c>
      <c r="U15" s="483">
        <f>IFERROR(LOOKUP(1,0/((成型機資料庫!$F$146:$F$163=J15)*(成型機資料庫!$G$146:$G$163=K15)),成型機資料庫!$J$146:$J$163),0)</f>
        <v>0</v>
      </c>
      <c r="V15" s="900">
        <f>IFERROR(LOOKUP(1,0/((成型機資料庫!$F$146:$F$163=J15)*(成型機資料庫!$G$146:$G$163=K15)),成型機資料庫!$L$146:$L$163),0)</f>
        <v>0</v>
      </c>
      <c r="W15" s="898">
        <f t="shared" si="5"/>
        <v>0</v>
      </c>
      <c r="X15" s="923">
        <f t="shared" si="7"/>
        <v>0</v>
      </c>
      <c r="Y15" s="898">
        <f t="shared" si="8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6</v>
      </c>
      <c r="D16" s="581"/>
      <c r="E16" s="889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6"/>
        <v>0</v>
      </c>
      <c r="O16" s="901">
        <f t="shared" si="2"/>
        <v>0</v>
      </c>
      <c r="P16" s="460"/>
      <c r="Q16" s="438">
        <f>IFERROR(LOOKUP(1,0/((成型機資料庫!$F$146:$F$163=J16)*(成型機資料庫!$G$146:$G$163=K16)),成型機資料庫!$K$146:$K$163),0)</f>
        <v>0</v>
      </c>
      <c r="R16" s="899">
        <f t="shared" si="3"/>
        <v>0</v>
      </c>
      <c r="S16" s="898">
        <f t="shared" si="4"/>
        <v>0</v>
      </c>
      <c r="T16" s="482">
        <f>IFERROR(LOOKUP(1,0/((成型機資料庫!$F$146:$F$163=J16)*(成型機資料庫!$G$146:$G$163=K16)),成型機資料庫!$I$146:$I$163),0)</f>
        <v>0</v>
      </c>
      <c r="U16" s="483">
        <f>IFERROR(LOOKUP(1,0/((成型機資料庫!$F$146:$F$163=J16)*(成型機資料庫!$G$146:$G$163=K16)),成型機資料庫!$J$146:$J$163),0)</f>
        <v>0</v>
      </c>
      <c r="V16" s="900">
        <f>IFERROR(LOOKUP(1,0/((成型機資料庫!$F$146:$F$163=J16)*(成型機資料庫!$G$146:$G$163=K16)),成型機資料庫!$L$146:$L$163),0)</f>
        <v>0</v>
      </c>
      <c r="W16" s="898">
        <f t="shared" si="5"/>
        <v>0</v>
      </c>
      <c r="X16" s="923">
        <f t="shared" si="7"/>
        <v>0</v>
      </c>
      <c r="Y16" s="898">
        <f t="shared" si="8"/>
        <v>0</v>
      </c>
      <c r="Z16" s="923"/>
      <c r="AA16" s="478">
        <f t="shared" si="1"/>
        <v>0</v>
      </c>
      <c r="AB16" s="438"/>
      <c r="AC16" s="482"/>
      <c r="AD16" s="879"/>
      <c r="AE16" s="438"/>
      <c r="AF16" s="438"/>
    </row>
    <row r="17" spans="1:32" s="433" customFormat="1" ht="15.75">
      <c r="A17" s="434">
        <v>113</v>
      </c>
      <c r="B17" s="581"/>
      <c r="C17" s="581">
        <v>7</v>
      </c>
      <c r="D17" s="581"/>
      <c r="E17" s="889" t="s">
        <v>0</v>
      </c>
      <c r="F17" s="962" t="s">
        <v>44</v>
      </c>
      <c r="G17" s="927"/>
      <c r="H17" s="464"/>
      <c r="I17" s="429"/>
      <c r="J17" s="429"/>
      <c r="K17" s="429"/>
      <c r="L17" s="464"/>
      <c r="M17" s="464"/>
      <c r="N17" s="900">
        <f t="shared" si="6"/>
        <v>0</v>
      </c>
      <c r="O17" s="901">
        <f t="shared" si="2"/>
        <v>0</v>
      </c>
      <c r="P17" s="460"/>
      <c r="Q17" s="438">
        <f>IFERROR(LOOKUP(1,0/((成型機資料庫!$F$146:$F$163=J17)*(成型機資料庫!$G$146:$G$163=K17)),成型機資料庫!$K$146:$K$163),0)</f>
        <v>0</v>
      </c>
      <c r="R17" s="899">
        <f t="shared" si="3"/>
        <v>0</v>
      </c>
      <c r="S17" s="898">
        <f t="shared" si="4"/>
        <v>0</v>
      </c>
      <c r="T17" s="482">
        <f>IFERROR(LOOKUP(1,0/((成型機資料庫!$F$146:$F$163=J17)*(成型機資料庫!$G$146:$G$163=K17)),成型機資料庫!$I$146:$I$163),0)</f>
        <v>0</v>
      </c>
      <c r="U17" s="483">
        <f>IFERROR(LOOKUP(1,0/((成型機資料庫!$F$146:$F$163=J17)*(成型機資料庫!$G$146:$G$163=K17)),成型機資料庫!$J$146:$J$163),0)</f>
        <v>0</v>
      </c>
      <c r="V17" s="900">
        <f>IFERROR(LOOKUP(1,0/((成型機資料庫!$F$146:$F$163=J17)*(成型機資料庫!$G$146:$G$163=K17)),成型機資料庫!$L$146:$L$163),0)</f>
        <v>0</v>
      </c>
      <c r="W17" s="898">
        <f t="shared" si="5"/>
        <v>0</v>
      </c>
      <c r="X17" s="923">
        <f t="shared" si="7"/>
        <v>0</v>
      </c>
      <c r="Y17" s="898">
        <f t="shared" si="8"/>
        <v>0</v>
      </c>
      <c r="Z17" s="923"/>
      <c r="AA17" s="478">
        <f t="shared" si="1"/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8</v>
      </c>
      <c r="D18" s="581"/>
      <c r="E18" s="889" t="s">
        <v>0</v>
      </c>
      <c r="F18" s="962" t="s">
        <v>44</v>
      </c>
      <c r="G18" s="927"/>
      <c r="H18" s="464"/>
      <c r="I18" s="429"/>
      <c r="J18" s="429"/>
      <c r="K18" s="429"/>
      <c r="L18" s="464"/>
      <c r="M18" s="464"/>
      <c r="N18" s="900">
        <f t="shared" si="6"/>
        <v>0</v>
      </c>
      <c r="O18" s="901">
        <f t="shared" si="2"/>
        <v>0</v>
      </c>
      <c r="P18" s="460"/>
      <c r="Q18" s="438">
        <f>IFERROR(LOOKUP(1,0/((成型機資料庫!$F$146:$F$163=J18)*(成型機資料庫!$G$146:$G$163=K18)),成型機資料庫!$K$146:$K$163),0)</f>
        <v>0</v>
      </c>
      <c r="R18" s="899">
        <f t="shared" si="3"/>
        <v>0</v>
      </c>
      <c r="S18" s="898">
        <f t="shared" si="4"/>
        <v>0</v>
      </c>
      <c r="T18" s="482">
        <f>IFERROR(LOOKUP(1,0/((成型機資料庫!$F$146:$F$163=J18)*(成型機資料庫!$G$146:$G$163=K18)),成型機資料庫!$I$146:$I$163),0)</f>
        <v>0</v>
      </c>
      <c r="U18" s="483">
        <f>IFERROR(LOOKUP(1,0/((成型機資料庫!$F$146:$F$163=J18)*(成型機資料庫!$G$146:$G$163=K18)),成型機資料庫!$J$146:$J$163),0)</f>
        <v>0</v>
      </c>
      <c r="V18" s="900">
        <f>IFERROR(LOOKUP(1,0/((成型機資料庫!$F$146:$F$163=J18)*(成型機資料庫!$G$146:$G$163=K18)),成型機資料庫!$L$146:$L$163),0)</f>
        <v>0</v>
      </c>
      <c r="W18" s="898">
        <f t="shared" si="5"/>
        <v>0</v>
      </c>
      <c r="X18" s="923">
        <f t="shared" si="7"/>
        <v>0</v>
      </c>
      <c r="Y18" s="898">
        <f t="shared" si="8"/>
        <v>0</v>
      </c>
      <c r="Z18" s="923"/>
      <c r="AA18" s="478">
        <f t="shared" si="1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9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6"/>
        <v>0</v>
      </c>
      <c r="O19" s="901">
        <f t="shared" si="2"/>
        <v>0</v>
      </c>
      <c r="P19" s="460"/>
      <c r="Q19" s="438">
        <f>IFERROR(LOOKUP(1,0/((成型機資料庫!$F$146:$F$163=J19)*(成型機資料庫!$G$146:$G$163=K19)),成型機資料庫!$K$146:$K$163),0)</f>
        <v>0</v>
      </c>
      <c r="R19" s="899">
        <f t="shared" si="3"/>
        <v>0</v>
      </c>
      <c r="S19" s="898">
        <f t="shared" si="4"/>
        <v>0</v>
      </c>
      <c r="T19" s="482">
        <f>IFERROR(LOOKUP(1,0/((成型機資料庫!$F$146:$F$163=J19)*(成型機資料庫!$G$146:$G$163=K19)),成型機資料庫!$I$146:$I$163),0)</f>
        <v>0</v>
      </c>
      <c r="U19" s="483">
        <f>IFERROR(LOOKUP(1,0/((成型機資料庫!$F$146:$F$163=J19)*(成型機資料庫!$G$146:$G$163=K19)),成型機資料庫!$J$146:$J$163),0)</f>
        <v>0</v>
      </c>
      <c r="V19" s="900">
        <f>IFERROR(LOOKUP(1,0/((成型機資料庫!$F$146:$F$163=J19)*(成型機資料庫!$G$146:$G$163=K19)),成型機資料庫!$L$146:$L$163),0)</f>
        <v>0</v>
      </c>
      <c r="W19" s="898">
        <f t="shared" si="5"/>
        <v>0</v>
      </c>
      <c r="X19" s="923">
        <f t="shared" si="7"/>
        <v>0</v>
      </c>
      <c r="Y19" s="898">
        <f t="shared" si="8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10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6"/>
        <v>0</v>
      </c>
      <c r="O20" s="901">
        <f t="shared" si="2"/>
        <v>0</v>
      </c>
      <c r="P20" s="460"/>
      <c r="Q20" s="438">
        <f>IFERROR(LOOKUP(1,0/((成型機資料庫!$F$146:$F$163=J20)*(成型機資料庫!$G$146:$G$163=K20)),成型機資料庫!$K$146:$K$163),0)</f>
        <v>0</v>
      </c>
      <c r="R20" s="899">
        <f t="shared" si="3"/>
        <v>0</v>
      </c>
      <c r="S20" s="898">
        <f t="shared" si="4"/>
        <v>0</v>
      </c>
      <c r="T20" s="482">
        <f>IFERROR(LOOKUP(1,0/((成型機資料庫!$F$146:$F$163=J20)*(成型機資料庫!$G$146:$G$163=K20)),成型機資料庫!$I$146:$I$163),0)</f>
        <v>0</v>
      </c>
      <c r="U20" s="483">
        <f>IFERROR(LOOKUP(1,0/((成型機資料庫!$F$146:$F$163=J20)*(成型機資料庫!$G$146:$G$163=K20)),成型機資料庫!$J$146:$J$163),0)</f>
        <v>0</v>
      </c>
      <c r="V20" s="900">
        <f>IFERROR(LOOKUP(1,0/((成型機資料庫!$F$146:$F$163=J20)*(成型機資料庫!$G$146:$G$163=K20)),成型機資料庫!$L$146:$L$163),0)</f>
        <v>0</v>
      </c>
      <c r="W20" s="898">
        <f t="shared" si="5"/>
        <v>0</v>
      </c>
      <c r="X20" s="923">
        <f t="shared" si="7"/>
        <v>0</v>
      </c>
      <c r="Y20" s="898">
        <f t="shared" si="8"/>
        <v>0</v>
      </c>
      <c r="Z20" s="923"/>
      <c r="AA20" s="478">
        <f t="shared" si="1"/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11</v>
      </c>
      <c r="D21" s="581"/>
      <c r="E21" s="581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6"/>
        <v>0</v>
      </c>
      <c r="O21" s="901">
        <f t="shared" si="2"/>
        <v>0</v>
      </c>
      <c r="P21" s="460"/>
      <c r="Q21" s="438">
        <f>IFERROR(LOOKUP(1,0/((成型機資料庫!$F$146:$F$163=J21)*(成型機資料庫!$G$146:$G$163=K21)),成型機資料庫!$K$146:$K$163),0)</f>
        <v>0</v>
      </c>
      <c r="R21" s="899">
        <f t="shared" si="3"/>
        <v>0</v>
      </c>
      <c r="S21" s="898">
        <f t="shared" si="4"/>
        <v>0</v>
      </c>
      <c r="T21" s="482">
        <f>IFERROR(LOOKUP(1,0/((成型機資料庫!$F$146:$F$163=J21)*(成型機資料庫!$G$146:$G$163=K21)),成型機資料庫!$I$146:$I$163),0)</f>
        <v>0</v>
      </c>
      <c r="U21" s="483">
        <f>IFERROR(LOOKUP(1,0/((成型機資料庫!$F$146:$F$163=J21)*(成型機資料庫!$G$146:$G$163=K21)),成型機資料庫!$J$146:$J$163),0)</f>
        <v>0</v>
      </c>
      <c r="V21" s="900">
        <f>IFERROR(LOOKUP(1,0/((成型機資料庫!$F$146:$F$163=J21)*(成型機資料庫!$G$146:$G$163=K21)),成型機資料庫!$L$146:$L$163),0)</f>
        <v>0</v>
      </c>
      <c r="W21" s="898">
        <f t="shared" si="5"/>
        <v>0</v>
      </c>
      <c r="X21" s="923">
        <f t="shared" si="7"/>
        <v>0</v>
      </c>
      <c r="Y21" s="898">
        <f t="shared" si="8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12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6"/>
        <v>0</v>
      </c>
      <c r="O22" s="901">
        <f t="shared" si="2"/>
        <v>0</v>
      </c>
      <c r="P22" s="460"/>
      <c r="Q22" s="438">
        <f>IFERROR(LOOKUP(1,0/((成型機資料庫!$F$146:$F$163=J22)*(成型機資料庫!$G$146:$G$163=K22)),成型機資料庫!$K$146:$K$163),0)</f>
        <v>0</v>
      </c>
      <c r="R22" s="899">
        <f t="shared" si="3"/>
        <v>0</v>
      </c>
      <c r="S22" s="898">
        <f t="shared" si="4"/>
        <v>0</v>
      </c>
      <c r="T22" s="482">
        <f>IFERROR(LOOKUP(1,0/((成型機資料庫!$F$146:$F$163=J22)*(成型機資料庫!$G$146:$G$163=K22)),成型機資料庫!$I$146:$I$163),0)</f>
        <v>0</v>
      </c>
      <c r="U22" s="483">
        <f>IFERROR(LOOKUP(1,0/((成型機資料庫!$F$146:$F$163=J22)*(成型機資料庫!$G$146:$G$163=K22)),成型機資料庫!$J$146:$J$163),0)</f>
        <v>0</v>
      </c>
      <c r="V22" s="900">
        <f>IFERROR(LOOKUP(1,0/((成型機資料庫!$F$146:$F$163=J22)*(成型機資料庫!$G$146:$G$163=K22)),成型機資料庫!$L$146:$L$163),0)</f>
        <v>0</v>
      </c>
      <c r="W22" s="898">
        <f t="shared" si="5"/>
        <v>0</v>
      </c>
      <c r="X22" s="923">
        <f t="shared" si="7"/>
        <v>0</v>
      </c>
      <c r="Y22" s="898">
        <f t="shared" si="8"/>
        <v>0</v>
      </c>
      <c r="Z22" s="923"/>
      <c r="AA22" s="478">
        <f t="shared" si="1"/>
        <v>0</v>
      </c>
      <c r="AB22" s="438"/>
      <c r="AC22" s="482"/>
      <c r="AD22" s="438"/>
      <c r="AE22" s="438"/>
      <c r="AF22" s="438"/>
    </row>
    <row r="23" spans="1:32" s="433" customFormat="1" ht="15.75">
      <c r="A23" s="434">
        <v>113</v>
      </c>
      <c r="B23" s="581"/>
      <c r="C23" s="581">
        <v>13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6"/>
        <v>0</v>
      </c>
      <c r="O23" s="901">
        <f t="shared" si="2"/>
        <v>0</v>
      </c>
      <c r="P23" s="460"/>
      <c r="Q23" s="438">
        <f>IFERROR(LOOKUP(1,0/((成型機資料庫!$F$146:$F$163=J23)*(成型機資料庫!$G$146:$G$163=K23)),成型機資料庫!$K$146:$K$163),0)</f>
        <v>0</v>
      </c>
      <c r="R23" s="899">
        <f t="shared" si="3"/>
        <v>0</v>
      </c>
      <c r="S23" s="898">
        <f t="shared" si="4"/>
        <v>0</v>
      </c>
      <c r="T23" s="482">
        <f>IFERROR(LOOKUP(1,0/((成型機資料庫!$F$146:$F$163=J23)*(成型機資料庫!$G$146:$G$163=K23)),成型機資料庫!$I$146:$I$163),0)</f>
        <v>0</v>
      </c>
      <c r="U23" s="483">
        <f>IFERROR(LOOKUP(1,0/((成型機資料庫!$F$146:$F$163=J23)*(成型機資料庫!$G$146:$G$163=K23)),成型機資料庫!$J$146:$J$163),0)</f>
        <v>0</v>
      </c>
      <c r="V23" s="900">
        <f>IFERROR(LOOKUP(1,0/((成型機資料庫!$F$146:$F$163=J23)*(成型機資料庫!$G$146:$G$163=K23)),成型機資料庫!$L$146:$L$163),0)</f>
        <v>0</v>
      </c>
      <c r="W23" s="898">
        <f t="shared" si="5"/>
        <v>0</v>
      </c>
      <c r="X23" s="923">
        <f t="shared" si="7"/>
        <v>0</v>
      </c>
      <c r="Y23" s="898">
        <f t="shared" si="8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14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6"/>
        <v>0</v>
      </c>
      <c r="O24" s="901">
        <f t="shared" si="2"/>
        <v>0</v>
      </c>
      <c r="P24" s="460"/>
      <c r="Q24" s="438">
        <f>IFERROR(LOOKUP(1,0/((成型機資料庫!$F$146:$F$163=J24)*(成型機資料庫!$G$146:$G$163=K24)),成型機資料庫!$K$146:$K$163),0)</f>
        <v>0</v>
      </c>
      <c r="R24" s="899">
        <f t="shared" si="3"/>
        <v>0</v>
      </c>
      <c r="S24" s="898">
        <f t="shared" si="4"/>
        <v>0</v>
      </c>
      <c r="T24" s="482">
        <f>IFERROR(LOOKUP(1,0/((成型機資料庫!$F$146:$F$163=J24)*(成型機資料庫!$G$146:$G$163=K24)),成型機資料庫!$I$146:$I$163),0)</f>
        <v>0</v>
      </c>
      <c r="U24" s="483">
        <f>IFERROR(LOOKUP(1,0/((成型機資料庫!$F$146:$F$163=J24)*(成型機資料庫!$G$146:$G$163=K24)),成型機資料庫!$J$146:$J$163),0)</f>
        <v>0</v>
      </c>
      <c r="V24" s="900">
        <f>IFERROR(LOOKUP(1,0/((成型機資料庫!$F$146:$F$163=J24)*(成型機資料庫!$G$146:$G$163=K24)),成型機資料庫!$L$146:$L$163),0)</f>
        <v>0</v>
      </c>
      <c r="W24" s="898">
        <f t="shared" si="5"/>
        <v>0</v>
      </c>
      <c r="X24" s="923">
        <f t="shared" si="7"/>
        <v>0</v>
      </c>
      <c r="Y24" s="898">
        <f t="shared" si="8"/>
        <v>0</v>
      </c>
      <c r="Z24" s="923"/>
      <c r="AA24" s="478">
        <f t="shared" si="1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581"/>
      <c r="C25" s="581">
        <v>15</v>
      </c>
      <c r="D25" s="581"/>
      <c r="E25" s="889" t="s">
        <v>0</v>
      </c>
      <c r="F25" s="962" t="s">
        <v>44</v>
      </c>
      <c r="G25" s="927"/>
      <c r="H25" s="464"/>
      <c r="I25" s="429"/>
      <c r="J25" s="429"/>
      <c r="K25" s="429"/>
      <c r="L25" s="464"/>
      <c r="M25" s="464"/>
      <c r="N25" s="900">
        <f t="shared" si="6"/>
        <v>0</v>
      </c>
      <c r="O25" s="901">
        <f t="shared" si="2"/>
        <v>0</v>
      </c>
      <c r="P25" s="460"/>
      <c r="Q25" s="438">
        <f>IFERROR(LOOKUP(1,0/((成型機資料庫!$F$146:$F$163=J25)*(成型機資料庫!$G$146:$G$163=K25)),成型機資料庫!$K$146:$K$163),0)</f>
        <v>0</v>
      </c>
      <c r="R25" s="899">
        <f t="shared" si="3"/>
        <v>0</v>
      </c>
      <c r="S25" s="898">
        <f t="shared" si="4"/>
        <v>0</v>
      </c>
      <c r="T25" s="482">
        <f>IFERROR(LOOKUP(1,0/((成型機資料庫!$F$146:$F$163=J25)*(成型機資料庫!$G$146:$G$163=K25)),成型機資料庫!$I$146:$I$163),0)</f>
        <v>0</v>
      </c>
      <c r="U25" s="483">
        <f>IFERROR(LOOKUP(1,0/((成型機資料庫!$F$146:$F$163=J25)*(成型機資料庫!$G$146:$G$163=K25)),成型機資料庫!$J$146:$J$163),0)</f>
        <v>0</v>
      </c>
      <c r="V25" s="900">
        <f>IFERROR(LOOKUP(1,0/((成型機資料庫!$F$146:$F$163=J25)*(成型機資料庫!$G$146:$G$163=K25)),成型機資料庫!$L$146:$L$163),0)</f>
        <v>0</v>
      </c>
      <c r="W25" s="898">
        <f t="shared" si="5"/>
        <v>0</v>
      </c>
      <c r="X25" s="923">
        <f t="shared" si="7"/>
        <v>0</v>
      </c>
      <c r="Y25" s="898">
        <f t="shared" si="8"/>
        <v>0</v>
      </c>
      <c r="Z25" s="923"/>
      <c r="AA25" s="478">
        <f t="shared" si="1"/>
        <v>0</v>
      </c>
      <c r="AB25" s="438"/>
      <c r="AC25" s="482"/>
      <c r="AD25" s="438"/>
      <c r="AE25" s="438"/>
      <c r="AF25" s="438"/>
    </row>
    <row r="26" spans="1:32" s="433" customFormat="1" ht="15.75">
      <c r="A26" s="434">
        <v>113</v>
      </c>
      <c r="B26" s="581"/>
      <c r="C26" s="581">
        <v>16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6"/>
        <v>0</v>
      </c>
      <c r="O26" s="901">
        <f t="shared" si="2"/>
        <v>0</v>
      </c>
      <c r="P26" s="460"/>
      <c r="Q26" s="438">
        <f>IFERROR(LOOKUP(1,0/((成型機資料庫!$F$146:$F$163=J26)*(成型機資料庫!$G$146:$G$163=K26)),成型機資料庫!$K$146:$K$163),0)</f>
        <v>0</v>
      </c>
      <c r="R26" s="899">
        <f t="shared" si="3"/>
        <v>0</v>
      </c>
      <c r="S26" s="898">
        <f t="shared" si="4"/>
        <v>0</v>
      </c>
      <c r="T26" s="482">
        <f>IFERROR(LOOKUP(1,0/((成型機資料庫!$F$146:$F$163=J26)*(成型機資料庫!$G$146:$G$163=K26)),成型機資料庫!$I$146:$I$163),0)</f>
        <v>0</v>
      </c>
      <c r="U26" s="483">
        <f>IFERROR(LOOKUP(1,0/((成型機資料庫!$F$146:$F$163=J26)*(成型機資料庫!$G$146:$G$163=K26)),成型機資料庫!$J$146:$J$163),0)</f>
        <v>0</v>
      </c>
      <c r="V26" s="900">
        <f>IFERROR(LOOKUP(1,0/((成型機資料庫!$F$146:$F$163=J26)*(成型機資料庫!$G$146:$G$163=K26)),成型機資料庫!$L$146:$L$163),0)</f>
        <v>0</v>
      </c>
      <c r="W26" s="898">
        <f t="shared" si="5"/>
        <v>0</v>
      </c>
      <c r="X26" s="923">
        <f t="shared" si="7"/>
        <v>0</v>
      </c>
      <c r="Y26" s="898">
        <f t="shared" si="8"/>
        <v>0</v>
      </c>
      <c r="Z26" s="923"/>
      <c r="AA26" s="478">
        <f t="shared" si="1"/>
        <v>0</v>
      </c>
      <c r="AB26" s="438"/>
      <c r="AC26" s="482"/>
      <c r="AD26" s="464"/>
      <c r="AE26" s="464"/>
      <c r="AF26" s="438"/>
    </row>
    <row r="27" spans="1:32" s="433" customFormat="1" ht="15.75">
      <c r="A27" s="434">
        <v>113</v>
      </c>
      <c r="B27" s="581"/>
      <c r="C27" s="581">
        <v>17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6"/>
        <v>0</v>
      </c>
      <c r="O27" s="901">
        <f t="shared" si="2"/>
        <v>0</v>
      </c>
      <c r="P27" s="460"/>
      <c r="Q27" s="438">
        <f>IFERROR(LOOKUP(1,0/((成型機資料庫!$F$146:$F$163=J27)*(成型機資料庫!$G$146:$G$163=K27)),成型機資料庫!$K$146:$K$163),0)</f>
        <v>0</v>
      </c>
      <c r="R27" s="899">
        <f t="shared" si="3"/>
        <v>0</v>
      </c>
      <c r="S27" s="898">
        <f t="shared" si="4"/>
        <v>0</v>
      </c>
      <c r="T27" s="482">
        <f>IFERROR(LOOKUP(1,0/((成型機資料庫!$F$146:$F$163=J27)*(成型機資料庫!$G$146:$G$163=K27)),成型機資料庫!$I$146:$I$163),0)</f>
        <v>0</v>
      </c>
      <c r="U27" s="483">
        <f>IFERROR(LOOKUP(1,0/((成型機資料庫!$F$146:$F$163=J27)*(成型機資料庫!$G$146:$G$163=K27)),成型機資料庫!$J$146:$J$163),0)</f>
        <v>0</v>
      </c>
      <c r="V27" s="900">
        <f>IFERROR(LOOKUP(1,0/((成型機資料庫!$F$146:$F$163=J27)*(成型機資料庫!$G$146:$G$163=K27)),成型機資料庫!$L$146:$L$163),0)</f>
        <v>0</v>
      </c>
      <c r="W27" s="898">
        <f t="shared" si="5"/>
        <v>0</v>
      </c>
      <c r="X27" s="923">
        <f t="shared" si="7"/>
        <v>0</v>
      </c>
      <c r="Y27" s="898">
        <f t="shared" si="8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18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6"/>
        <v>0</v>
      </c>
      <c r="O28" s="901">
        <f t="shared" si="2"/>
        <v>0</v>
      </c>
      <c r="P28" s="460"/>
      <c r="Q28" s="438">
        <f>IFERROR(LOOKUP(1,0/((成型機資料庫!$F$146:$F$163=J28)*(成型機資料庫!$G$146:$G$163=K28)),成型機資料庫!$K$146:$K$163),0)</f>
        <v>0</v>
      </c>
      <c r="R28" s="899">
        <f t="shared" si="3"/>
        <v>0</v>
      </c>
      <c r="S28" s="898">
        <f t="shared" si="4"/>
        <v>0</v>
      </c>
      <c r="T28" s="482">
        <f>IFERROR(LOOKUP(1,0/((成型機資料庫!$F$146:$F$163=J28)*(成型機資料庫!$G$146:$G$163=K28)),成型機資料庫!$I$146:$I$163),0)</f>
        <v>0</v>
      </c>
      <c r="U28" s="483">
        <f>IFERROR(LOOKUP(1,0/((成型機資料庫!$F$146:$F$163=J28)*(成型機資料庫!$G$146:$G$163=K28)),成型機資料庫!$J$146:$J$163),0)</f>
        <v>0</v>
      </c>
      <c r="V28" s="900">
        <f>IFERROR(LOOKUP(1,0/((成型機資料庫!$F$146:$F$163=J28)*(成型機資料庫!$G$146:$G$163=K28)),成型機資料庫!$L$146:$L$163),0)</f>
        <v>0</v>
      </c>
      <c r="W28" s="898">
        <f t="shared" si="5"/>
        <v>0</v>
      </c>
      <c r="X28" s="923">
        <f t="shared" si="7"/>
        <v>0</v>
      </c>
      <c r="Y28" s="898">
        <f t="shared" si="8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19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6"/>
        <v>0</v>
      </c>
      <c r="O29" s="901">
        <f t="shared" si="2"/>
        <v>0</v>
      </c>
      <c r="P29" s="460"/>
      <c r="Q29" s="438">
        <f>IFERROR(LOOKUP(1,0/((成型機資料庫!$F$146:$F$163=J29)*(成型機資料庫!$G$146:$G$163=K29)),成型機資料庫!$K$146:$K$163),0)</f>
        <v>0</v>
      </c>
      <c r="R29" s="899">
        <f t="shared" si="3"/>
        <v>0</v>
      </c>
      <c r="S29" s="898">
        <f t="shared" si="4"/>
        <v>0</v>
      </c>
      <c r="T29" s="482">
        <f>IFERROR(LOOKUP(1,0/((成型機資料庫!$F$146:$F$163=J29)*(成型機資料庫!$G$146:$G$163=K29)),成型機資料庫!$I$146:$I$163),0)</f>
        <v>0</v>
      </c>
      <c r="U29" s="483">
        <f>IFERROR(LOOKUP(1,0/((成型機資料庫!$F$146:$F$163=J29)*(成型機資料庫!$G$146:$G$163=K29)),成型機資料庫!$J$146:$J$163),0)</f>
        <v>0</v>
      </c>
      <c r="V29" s="900">
        <f>IFERROR(LOOKUP(1,0/((成型機資料庫!$F$146:$F$163=J29)*(成型機資料庫!$G$146:$G$163=K29)),成型機資料庫!$L$146:$L$163),0)</f>
        <v>0</v>
      </c>
      <c r="W29" s="898">
        <f t="shared" si="5"/>
        <v>0</v>
      </c>
      <c r="X29" s="923">
        <f t="shared" si="7"/>
        <v>0</v>
      </c>
      <c r="Y29" s="898">
        <f t="shared" si="8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20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6"/>
        <v>0</v>
      </c>
      <c r="O30" s="901">
        <f t="shared" si="2"/>
        <v>0</v>
      </c>
      <c r="P30" s="460"/>
      <c r="Q30" s="438">
        <f>IFERROR(LOOKUP(1,0/((成型機資料庫!$F$146:$F$163=J30)*(成型機資料庫!$G$146:$G$163=K30)),成型機資料庫!$K$146:$K$163),0)</f>
        <v>0</v>
      </c>
      <c r="R30" s="899">
        <f t="shared" si="3"/>
        <v>0</v>
      </c>
      <c r="S30" s="898">
        <f t="shared" si="4"/>
        <v>0</v>
      </c>
      <c r="T30" s="482">
        <f>IFERROR(LOOKUP(1,0/((成型機資料庫!$F$146:$F$163=J30)*(成型機資料庫!$G$146:$G$163=K30)),成型機資料庫!$I$146:$I$163),0)</f>
        <v>0</v>
      </c>
      <c r="U30" s="483">
        <f>IFERROR(LOOKUP(1,0/((成型機資料庫!$F$146:$F$163=J30)*(成型機資料庫!$G$146:$G$163=K30)),成型機資料庫!$J$146:$J$163),0)</f>
        <v>0</v>
      </c>
      <c r="V30" s="900">
        <f>IFERROR(LOOKUP(1,0/((成型機資料庫!$F$146:$F$163=J30)*(成型機資料庫!$G$146:$G$163=K30)),成型機資料庫!$L$146:$L$163),0)</f>
        <v>0</v>
      </c>
      <c r="W30" s="898">
        <f t="shared" si="5"/>
        <v>0</v>
      </c>
      <c r="X30" s="923">
        <f t="shared" si="7"/>
        <v>0</v>
      </c>
      <c r="Y30" s="898">
        <f t="shared" si="8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21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6"/>
        <v>0</v>
      </c>
      <c r="O31" s="901">
        <f t="shared" si="2"/>
        <v>0</v>
      </c>
      <c r="P31" s="460"/>
      <c r="Q31" s="438">
        <f>IFERROR(LOOKUP(1,0/((成型機資料庫!$F$146:$F$163=J31)*(成型機資料庫!$G$146:$G$163=K31)),成型機資料庫!$K$146:$K$163),0)</f>
        <v>0</v>
      </c>
      <c r="R31" s="899">
        <f t="shared" si="3"/>
        <v>0</v>
      </c>
      <c r="S31" s="898">
        <f t="shared" si="4"/>
        <v>0</v>
      </c>
      <c r="T31" s="482">
        <f>IFERROR(LOOKUP(1,0/((成型機資料庫!$F$146:$F$163=J31)*(成型機資料庫!$G$146:$G$163=K31)),成型機資料庫!$I$146:$I$163),0)</f>
        <v>0</v>
      </c>
      <c r="U31" s="483">
        <f>IFERROR(LOOKUP(1,0/((成型機資料庫!$F$146:$F$163=J31)*(成型機資料庫!$G$146:$G$163=K31)),成型機資料庫!$J$146:$J$163),0)</f>
        <v>0</v>
      </c>
      <c r="V31" s="900">
        <f>IFERROR(LOOKUP(1,0/((成型機資料庫!$F$146:$F$163=J31)*(成型機資料庫!$G$146:$G$163=K31)),成型機資料庫!$L$146:$L$163),0)</f>
        <v>0</v>
      </c>
      <c r="W31" s="898">
        <f t="shared" si="5"/>
        <v>0</v>
      </c>
      <c r="X31" s="923">
        <f t="shared" si="7"/>
        <v>0</v>
      </c>
      <c r="Y31" s="898">
        <f t="shared" si="8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22</v>
      </c>
      <c r="D32" s="581"/>
      <c r="E32" s="889" t="s">
        <v>0</v>
      </c>
      <c r="F32" s="962" t="s">
        <v>44</v>
      </c>
      <c r="G32" s="927"/>
      <c r="H32" s="464"/>
      <c r="I32" s="429"/>
      <c r="J32" s="429"/>
      <c r="K32" s="429"/>
      <c r="L32" s="464"/>
      <c r="M32" s="464"/>
      <c r="N32" s="900">
        <f t="shared" si="6"/>
        <v>0</v>
      </c>
      <c r="O32" s="901">
        <f t="shared" si="2"/>
        <v>0</v>
      </c>
      <c r="P32" s="460"/>
      <c r="Q32" s="438">
        <f>IFERROR(LOOKUP(1,0/((成型機資料庫!$F$146:$F$163=J32)*(成型機資料庫!$G$146:$G$163=K32)),成型機資料庫!$K$146:$K$163),0)</f>
        <v>0</v>
      </c>
      <c r="R32" s="899">
        <f t="shared" si="3"/>
        <v>0</v>
      </c>
      <c r="S32" s="898">
        <f t="shared" si="4"/>
        <v>0</v>
      </c>
      <c r="T32" s="482">
        <f>IFERROR(LOOKUP(1,0/((成型機資料庫!$F$146:$F$163=J32)*(成型機資料庫!$G$146:$G$163=K32)),成型機資料庫!$I$146:$I$163),0)</f>
        <v>0</v>
      </c>
      <c r="U32" s="483">
        <f>IFERROR(LOOKUP(1,0/((成型機資料庫!$F$146:$F$163=J32)*(成型機資料庫!$G$146:$G$163=K32)),成型機資料庫!$J$146:$J$163),0)</f>
        <v>0</v>
      </c>
      <c r="V32" s="900">
        <f>IFERROR(LOOKUP(1,0/((成型機資料庫!$F$146:$F$163=J32)*(成型機資料庫!$G$146:$G$163=K32)),成型機資料庫!$L$146:$L$163),0)</f>
        <v>0</v>
      </c>
      <c r="W32" s="898">
        <f t="shared" si="5"/>
        <v>0</v>
      </c>
      <c r="X32" s="923">
        <f t="shared" si="7"/>
        <v>0</v>
      </c>
      <c r="Y32" s="898">
        <f t="shared" si="8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23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6"/>
        <v>0</v>
      </c>
      <c r="O33" s="901">
        <f t="shared" si="2"/>
        <v>0</v>
      </c>
      <c r="P33" s="460"/>
      <c r="Q33" s="438">
        <f>IFERROR(LOOKUP(1,0/((成型機資料庫!$F$146:$F$163=J33)*(成型機資料庫!$G$146:$G$163=K33)),成型機資料庫!$K$146:$K$163),0)</f>
        <v>0</v>
      </c>
      <c r="R33" s="899">
        <f t="shared" si="3"/>
        <v>0</v>
      </c>
      <c r="S33" s="898">
        <f t="shared" si="4"/>
        <v>0</v>
      </c>
      <c r="T33" s="482">
        <f>IFERROR(LOOKUP(1,0/((成型機資料庫!$F$146:$F$163=J33)*(成型機資料庫!$G$146:$G$163=K33)),成型機資料庫!$I$146:$I$163),0)</f>
        <v>0</v>
      </c>
      <c r="U33" s="483">
        <f>IFERROR(LOOKUP(1,0/((成型機資料庫!$F$146:$F$163=J33)*(成型機資料庫!$G$146:$G$163=K33)),成型機資料庫!$J$146:$J$163),0)</f>
        <v>0</v>
      </c>
      <c r="V33" s="900">
        <f>IFERROR(LOOKUP(1,0/((成型機資料庫!$F$146:$F$163=J33)*(成型機資料庫!$G$146:$G$163=K33)),成型機資料庫!$L$146:$L$163),0)</f>
        <v>0</v>
      </c>
      <c r="W33" s="898">
        <f t="shared" si="5"/>
        <v>0</v>
      </c>
      <c r="X33" s="923">
        <f t="shared" si="7"/>
        <v>0</v>
      </c>
      <c r="Y33" s="898">
        <f t="shared" si="8"/>
        <v>0</v>
      </c>
      <c r="Z33" s="923"/>
      <c r="AA33" s="478">
        <f t="shared" si="1"/>
        <v>0</v>
      </c>
      <c r="AB33" s="438"/>
      <c r="AC33" s="482"/>
      <c r="AD33" s="464"/>
      <c r="AE33" s="464"/>
      <c r="AF33" s="438"/>
    </row>
    <row r="34" spans="1:32" s="433" customFormat="1" ht="15.75">
      <c r="A34" s="434">
        <v>113</v>
      </c>
      <c r="B34" s="434"/>
      <c r="C34" s="434">
        <v>24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6"/>
        <v>0</v>
      </c>
      <c r="O34" s="901">
        <f t="shared" si="2"/>
        <v>0</v>
      </c>
      <c r="P34" s="460"/>
      <c r="Q34" s="438">
        <f>IFERROR(LOOKUP(1,0/((成型機資料庫!$F$146:$F$163=J34)*(成型機資料庫!$G$146:$G$163=K34)),成型機資料庫!$K$146:$K$163),0)</f>
        <v>0</v>
      </c>
      <c r="R34" s="899">
        <f t="shared" si="3"/>
        <v>0</v>
      </c>
      <c r="S34" s="898">
        <f t="shared" si="4"/>
        <v>0</v>
      </c>
      <c r="T34" s="482">
        <f>IFERROR(LOOKUP(1,0/((成型機資料庫!$F$146:$F$163=J34)*(成型機資料庫!$G$146:$G$163=K34)),成型機資料庫!$I$146:$I$163),0)</f>
        <v>0</v>
      </c>
      <c r="U34" s="483">
        <f>IFERROR(LOOKUP(1,0/((成型機資料庫!$F$146:$F$163=J34)*(成型機資料庫!$G$146:$G$163=K34)),成型機資料庫!$J$146:$J$163),0)</f>
        <v>0</v>
      </c>
      <c r="V34" s="900">
        <f>IFERROR(LOOKUP(1,0/((成型機資料庫!$F$146:$F$163=J34)*(成型機資料庫!$G$146:$G$163=K34)),成型機資料庫!$L$146:$L$163),0)</f>
        <v>0</v>
      </c>
      <c r="W34" s="898">
        <f t="shared" si="5"/>
        <v>0</v>
      </c>
      <c r="X34" s="923">
        <f t="shared" si="7"/>
        <v>0</v>
      </c>
      <c r="Y34" s="898">
        <f t="shared" si="8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25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6"/>
        <v>0</v>
      </c>
      <c r="O35" s="901">
        <f t="shared" si="2"/>
        <v>0</v>
      </c>
      <c r="P35" s="460"/>
      <c r="Q35" s="438">
        <f>IFERROR(LOOKUP(1,0/((成型機資料庫!$F$146:$F$163=J35)*(成型機資料庫!$G$146:$G$163=K35)),成型機資料庫!$K$146:$K$163),0)</f>
        <v>0</v>
      </c>
      <c r="R35" s="899">
        <f t="shared" si="3"/>
        <v>0</v>
      </c>
      <c r="S35" s="898">
        <f t="shared" si="4"/>
        <v>0</v>
      </c>
      <c r="T35" s="482">
        <f>IFERROR(LOOKUP(1,0/((成型機資料庫!$F$146:$F$163=J35)*(成型機資料庫!$G$146:$G$163=K35)),成型機資料庫!$I$146:$I$163),0)</f>
        <v>0</v>
      </c>
      <c r="U35" s="483">
        <f>IFERROR(LOOKUP(1,0/((成型機資料庫!$F$146:$F$163=J35)*(成型機資料庫!$G$146:$G$163=K35)),成型機資料庫!$J$146:$J$163),0)</f>
        <v>0</v>
      </c>
      <c r="V35" s="900">
        <f>IFERROR(LOOKUP(1,0/((成型機資料庫!$F$146:$F$163=J35)*(成型機資料庫!$G$146:$G$163=K35)),成型機資料庫!$L$146:$L$163),0)</f>
        <v>0</v>
      </c>
      <c r="W35" s="898">
        <f t="shared" si="5"/>
        <v>0</v>
      </c>
      <c r="X35" s="923">
        <f t="shared" si="7"/>
        <v>0</v>
      </c>
      <c r="Y35" s="898">
        <f t="shared" si="8"/>
        <v>0</v>
      </c>
      <c r="Z35" s="923"/>
      <c r="AA35" s="478">
        <f t="shared" si="1"/>
        <v>0</v>
      </c>
      <c r="AB35" s="438"/>
      <c r="AC35" s="482"/>
      <c r="AD35" s="464"/>
      <c r="AE35" s="464"/>
      <c r="AF35" s="438"/>
    </row>
    <row r="36" spans="1:32" s="433" customFormat="1" ht="15.75">
      <c r="A36" s="434">
        <v>113</v>
      </c>
      <c r="B36" s="434"/>
      <c r="C36" s="434">
        <v>26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6"/>
        <v>0</v>
      </c>
      <c r="O36" s="901">
        <f t="shared" si="2"/>
        <v>0</v>
      </c>
      <c r="P36" s="460"/>
      <c r="Q36" s="438">
        <f>IFERROR(LOOKUP(1,0/((成型機資料庫!$F$146:$F$163=J36)*(成型機資料庫!$G$146:$G$163=K36)),成型機資料庫!$K$146:$K$163),0)</f>
        <v>0</v>
      </c>
      <c r="R36" s="899">
        <f t="shared" si="3"/>
        <v>0</v>
      </c>
      <c r="S36" s="898">
        <f t="shared" si="4"/>
        <v>0</v>
      </c>
      <c r="T36" s="482">
        <f>IFERROR(LOOKUP(1,0/((成型機資料庫!$F$146:$F$163=J36)*(成型機資料庫!$G$146:$G$163=K36)),成型機資料庫!$I$146:$I$163),0)</f>
        <v>0</v>
      </c>
      <c r="U36" s="483">
        <f>IFERROR(LOOKUP(1,0/((成型機資料庫!$F$146:$F$163=J36)*(成型機資料庫!$G$146:$G$163=K36)),成型機資料庫!$J$146:$J$163),0)</f>
        <v>0</v>
      </c>
      <c r="V36" s="900">
        <f>IFERROR(LOOKUP(1,0/((成型機資料庫!$F$146:$F$163=J36)*(成型機資料庫!$G$146:$G$163=K36)),成型機資料庫!$L$146:$L$163),0)</f>
        <v>0</v>
      </c>
      <c r="W36" s="898">
        <f t="shared" si="5"/>
        <v>0</v>
      </c>
      <c r="X36" s="923">
        <f t="shared" si="7"/>
        <v>0</v>
      </c>
      <c r="Y36" s="898">
        <f t="shared" si="8"/>
        <v>0</v>
      </c>
      <c r="Z36" s="923"/>
      <c r="AA36" s="478">
        <f t="shared" si="1"/>
        <v>0</v>
      </c>
      <c r="AB36" s="438"/>
      <c r="AC36" s="482"/>
      <c r="AD36" s="438"/>
      <c r="AE36" s="464"/>
      <c r="AF36" s="438"/>
    </row>
    <row r="37" spans="1:32" s="433" customFormat="1" ht="15.75">
      <c r="A37" s="434">
        <v>113</v>
      </c>
      <c r="B37" s="434"/>
      <c r="C37" s="434">
        <v>27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6"/>
        <v>0</v>
      </c>
      <c r="O37" s="901">
        <f t="shared" si="2"/>
        <v>0</v>
      </c>
      <c r="P37" s="460"/>
      <c r="Q37" s="438">
        <f>IFERROR(LOOKUP(1,0/((成型機資料庫!$F$146:$F$163=J37)*(成型機資料庫!$G$146:$G$163=K37)),成型機資料庫!$K$146:$K$163),0)</f>
        <v>0</v>
      </c>
      <c r="R37" s="899">
        <f t="shared" si="3"/>
        <v>0</v>
      </c>
      <c r="S37" s="898">
        <f t="shared" si="4"/>
        <v>0</v>
      </c>
      <c r="T37" s="482">
        <f>IFERROR(LOOKUP(1,0/((成型機資料庫!$F$146:$F$163=J37)*(成型機資料庫!$G$146:$G$163=K37)),成型機資料庫!$I$146:$I$163),0)</f>
        <v>0</v>
      </c>
      <c r="U37" s="483">
        <f>IFERROR(LOOKUP(1,0/((成型機資料庫!$F$146:$F$163=J37)*(成型機資料庫!$G$146:$G$163=K37)),成型機資料庫!$J$146:$J$163),0)</f>
        <v>0</v>
      </c>
      <c r="V37" s="900">
        <f>IFERROR(LOOKUP(1,0/((成型機資料庫!$F$146:$F$163=J37)*(成型機資料庫!$G$146:$G$163=K37)),成型機資料庫!$L$146:$L$163),0)</f>
        <v>0</v>
      </c>
      <c r="W37" s="898">
        <f t="shared" si="5"/>
        <v>0</v>
      </c>
      <c r="X37" s="923">
        <f t="shared" si="7"/>
        <v>0</v>
      </c>
      <c r="Y37" s="898">
        <f t="shared" si="8"/>
        <v>0</v>
      </c>
      <c r="Z37" s="923"/>
      <c r="AA37" s="478">
        <f t="shared" si="1"/>
        <v>0</v>
      </c>
      <c r="AB37" s="438"/>
      <c r="AC37" s="482"/>
      <c r="AD37" s="464"/>
      <c r="AE37" s="438"/>
      <c r="AF37" s="438"/>
    </row>
    <row r="38" spans="1:32" s="433" customFormat="1" ht="15.75">
      <c r="A38" s="434">
        <v>113</v>
      </c>
      <c r="B38" s="581"/>
      <c r="C38" s="581">
        <v>28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6"/>
        <v>0</v>
      </c>
      <c r="O38" s="901">
        <f t="shared" si="2"/>
        <v>0</v>
      </c>
      <c r="P38" s="460"/>
      <c r="Q38" s="438">
        <f>IFERROR(LOOKUP(1,0/((成型機資料庫!$F$146:$F$163=J38)*(成型機資料庫!$G$146:$G$163=K38)),成型機資料庫!$K$146:$K$163),0)</f>
        <v>0</v>
      </c>
      <c r="R38" s="899">
        <f t="shared" si="3"/>
        <v>0</v>
      </c>
      <c r="S38" s="898">
        <f t="shared" si="4"/>
        <v>0</v>
      </c>
      <c r="T38" s="482">
        <f>IFERROR(LOOKUP(1,0/((成型機資料庫!$F$146:$F$163=J38)*(成型機資料庫!$G$146:$G$163=K38)),成型機資料庫!$I$146:$I$163),0)</f>
        <v>0</v>
      </c>
      <c r="U38" s="483">
        <f>IFERROR(LOOKUP(1,0/((成型機資料庫!$F$146:$F$163=J38)*(成型機資料庫!$G$146:$G$163=K38)),成型機資料庫!$J$146:$J$163),0)</f>
        <v>0</v>
      </c>
      <c r="V38" s="900">
        <f>IFERROR(LOOKUP(1,0/((成型機資料庫!$F$146:$F$163=J38)*(成型機資料庫!$G$146:$G$163=K38)),成型機資料庫!$L$146:$L$163),0)</f>
        <v>0</v>
      </c>
      <c r="W38" s="898">
        <f t="shared" si="5"/>
        <v>0</v>
      </c>
      <c r="X38" s="923">
        <f t="shared" si="7"/>
        <v>0</v>
      </c>
      <c r="Y38" s="898">
        <f t="shared" si="8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581"/>
      <c r="C39" s="581">
        <v>29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6"/>
        <v>0</v>
      </c>
      <c r="O39" s="901">
        <f t="shared" si="2"/>
        <v>0</v>
      </c>
      <c r="P39" s="460"/>
      <c r="Q39" s="438">
        <f>IFERROR(LOOKUP(1,0/((成型機資料庫!$F$146:$F$163=J39)*(成型機資料庫!$G$146:$G$163=K39)),成型機資料庫!$K$146:$K$163),0)</f>
        <v>0</v>
      </c>
      <c r="R39" s="899">
        <f t="shared" si="3"/>
        <v>0</v>
      </c>
      <c r="S39" s="898">
        <f t="shared" si="4"/>
        <v>0</v>
      </c>
      <c r="T39" s="482">
        <f>IFERROR(LOOKUP(1,0/((成型機資料庫!$F$146:$F$163=J39)*(成型機資料庫!$G$146:$G$163=K39)),成型機資料庫!$I$146:$I$163),0)</f>
        <v>0</v>
      </c>
      <c r="U39" s="483">
        <f>IFERROR(LOOKUP(1,0/((成型機資料庫!$F$146:$F$163=J39)*(成型機資料庫!$G$146:$G$163=K39)),成型機資料庫!$J$146:$J$163),0)</f>
        <v>0</v>
      </c>
      <c r="V39" s="900">
        <f>IFERROR(LOOKUP(1,0/((成型機資料庫!$F$146:$F$163=J39)*(成型機資料庫!$G$146:$G$163=K39)),成型機資料庫!$L$146:$L$163),0)</f>
        <v>0</v>
      </c>
      <c r="W39" s="898">
        <f t="shared" si="5"/>
        <v>0</v>
      </c>
      <c r="X39" s="923">
        <f t="shared" si="7"/>
        <v>0</v>
      </c>
      <c r="Y39" s="898">
        <f t="shared" si="8"/>
        <v>0</v>
      </c>
      <c r="Z39" s="923"/>
      <c r="AA39" s="478">
        <f t="shared" si="1"/>
        <v>0</v>
      </c>
      <c r="AB39" s="438"/>
      <c r="AC39" s="482"/>
      <c r="AD39" s="464"/>
      <c r="AE39" s="464"/>
      <c r="AF39" s="438"/>
    </row>
    <row r="40" spans="1:32" s="433" customFormat="1" ht="15.75">
      <c r="A40" s="434">
        <v>113</v>
      </c>
      <c r="B40" s="581"/>
      <c r="C40" s="581">
        <v>30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6"/>
        <v>0</v>
      </c>
      <c r="O40" s="901">
        <f t="shared" si="2"/>
        <v>0</v>
      </c>
      <c r="P40" s="460"/>
      <c r="Q40" s="438">
        <f>IFERROR(LOOKUP(1,0/((成型機資料庫!$F$146:$F$163=J40)*(成型機資料庫!$G$146:$G$163=K40)),成型機資料庫!$K$146:$K$163),0)</f>
        <v>0</v>
      </c>
      <c r="R40" s="899">
        <f t="shared" si="3"/>
        <v>0</v>
      </c>
      <c r="S40" s="898">
        <f t="shared" si="4"/>
        <v>0</v>
      </c>
      <c r="T40" s="482">
        <f>IFERROR(LOOKUP(1,0/((成型機資料庫!$F$146:$F$163=J40)*(成型機資料庫!$G$146:$G$163=K40)),成型機資料庫!$I$146:$I$163),0)</f>
        <v>0</v>
      </c>
      <c r="U40" s="483">
        <f>IFERROR(LOOKUP(1,0/((成型機資料庫!$F$146:$F$163=J40)*(成型機資料庫!$G$146:$G$163=K40)),成型機資料庫!$J$146:$J$163),0)</f>
        <v>0</v>
      </c>
      <c r="V40" s="900">
        <f>IFERROR(LOOKUP(1,0/((成型機資料庫!$F$146:$F$163=J40)*(成型機資料庫!$G$146:$G$163=K40)),成型機資料庫!$L$146:$L$163),0)</f>
        <v>0</v>
      </c>
      <c r="W40" s="898">
        <f t="shared" si="5"/>
        <v>0</v>
      </c>
      <c r="X40" s="923">
        <f t="shared" si="7"/>
        <v>0</v>
      </c>
      <c r="Y40" s="898">
        <f t="shared" si="8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46"/>
      <c r="B41" s="456"/>
      <c r="C41" s="456"/>
      <c r="D41" s="456"/>
      <c r="E41" s="456"/>
      <c r="F41" s="448"/>
      <c r="G41" s="951"/>
      <c r="H41" s="452"/>
      <c r="I41" s="430"/>
      <c r="J41" s="430"/>
      <c r="K41" s="430"/>
      <c r="L41" s="452"/>
      <c r="M41" s="452"/>
      <c r="N41" s="945"/>
      <c r="O41" s="946"/>
      <c r="P41" s="868"/>
      <c r="Q41" s="467"/>
      <c r="R41" s="948"/>
      <c r="S41" s="936"/>
      <c r="T41" s="936"/>
      <c r="U41" s="936"/>
      <c r="V41" s="945"/>
      <c r="W41" s="936"/>
      <c r="X41" s="947"/>
      <c r="Y41" s="936"/>
      <c r="Z41" s="947"/>
      <c r="AA41" s="488"/>
      <c r="AB41" s="439"/>
      <c r="AC41" s="471"/>
      <c r="AD41" s="452"/>
      <c r="AE41" s="439"/>
      <c r="AF41" s="439"/>
    </row>
    <row r="42" spans="1:32" s="433" customFormat="1" ht="15.75">
      <c r="A42" s="446"/>
      <c r="B42" s="456"/>
      <c r="C42" s="456"/>
      <c r="D42" s="456"/>
      <c r="E42" s="456"/>
      <c r="F42" s="448"/>
      <c r="G42" s="951"/>
      <c r="H42" s="452"/>
      <c r="I42" s="430"/>
      <c r="J42" s="430"/>
      <c r="K42" s="430"/>
      <c r="L42" s="452"/>
      <c r="M42" s="452"/>
      <c r="N42" s="945"/>
      <c r="O42" s="946"/>
      <c r="P42" s="868"/>
      <c r="Q42" s="467"/>
      <c r="R42" s="948"/>
      <c r="S42" s="936"/>
      <c r="T42" s="936"/>
      <c r="U42" s="936"/>
      <c r="V42" s="945"/>
      <c r="W42" s="936"/>
      <c r="X42" s="947"/>
      <c r="Y42" s="936"/>
      <c r="Z42" s="947"/>
      <c r="AA42" s="488"/>
      <c r="AB42" s="439"/>
      <c r="AC42" s="471"/>
      <c r="AD42" s="452"/>
      <c r="AE42" s="439"/>
      <c r="AF42" s="439"/>
    </row>
    <row r="43" spans="1:32" s="433" customFormat="1" thickBot="1">
      <c r="A43" s="446"/>
      <c r="B43" s="446"/>
      <c r="C43" s="446"/>
      <c r="D43" s="446"/>
      <c r="E43" s="446"/>
      <c r="F43" s="448"/>
      <c r="G43" s="448"/>
      <c r="H43" s="430"/>
      <c r="I43" s="430"/>
      <c r="J43" s="430"/>
      <c r="K43" s="430"/>
      <c r="L43" s="439"/>
      <c r="M43" s="452"/>
      <c r="N43" s="452"/>
      <c r="O43" s="457"/>
      <c r="P43" s="466"/>
      <c r="Q43" s="467"/>
      <c r="R43" s="486"/>
      <c r="S43" s="457"/>
      <c r="T43" s="457"/>
      <c r="U43" s="457"/>
      <c r="V43" s="458"/>
      <c r="W43" s="487">
        <f>SUM(W11:W40)</f>
        <v>0</v>
      </c>
      <c r="X43" s="487"/>
      <c r="Y43" s="487"/>
      <c r="Z43" s="487"/>
      <c r="AA43" s="488"/>
      <c r="AB43" s="489"/>
      <c r="AC43" s="489"/>
      <c r="AD43" s="469" t="s">
        <v>46</v>
      </c>
      <c r="AE43" s="439"/>
      <c r="AF43" s="439"/>
    </row>
    <row r="44" spans="1:32" s="469" customFormat="1" ht="31.5">
      <c r="A44" s="479"/>
      <c r="B44" s="479"/>
      <c r="C44" s="479"/>
      <c r="D44" s="479"/>
      <c r="E44" s="479"/>
      <c r="F44" s="452"/>
      <c r="G44" s="524" t="s">
        <v>503</v>
      </c>
      <c r="H44" s="517"/>
      <c r="I44" s="518"/>
      <c r="L44" s="1842" t="s">
        <v>1348</v>
      </c>
      <c r="M44" s="525" t="s">
        <v>1294</v>
      </c>
      <c r="N44" s="525" t="s">
        <v>1295</v>
      </c>
      <c r="O44" s="526" t="s">
        <v>458</v>
      </c>
      <c r="P44" s="520"/>
      <c r="Q44" s="521"/>
      <c r="R44" s="524" t="s">
        <v>504</v>
      </c>
      <c r="S44" s="524" t="s">
        <v>455</v>
      </c>
      <c r="T44" s="521"/>
      <c r="U44" s="521"/>
      <c r="V44" s="524" t="s">
        <v>1293</v>
      </c>
      <c r="W44" s="524" t="s">
        <v>459</v>
      </c>
      <c r="X44" s="521"/>
      <c r="Y44" s="524" t="s">
        <v>1345</v>
      </c>
      <c r="Z44" s="524" t="s">
        <v>1350</v>
      </c>
      <c r="AA44" s="524" t="s">
        <v>1351</v>
      </c>
      <c r="AB44" s="524" t="s">
        <v>1353</v>
      </c>
      <c r="AC44" s="524" t="s">
        <v>1352</v>
      </c>
      <c r="AD44" s="469" t="s">
        <v>253</v>
      </c>
      <c r="AE44" s="452"/>
      <c r="AF44" s="452"/>
    </row>
    <row r="45" spans="1:32" thickBot="1">
      <c r="G45" s="522">
        <f>SUM(G11:G40)</f>
        <v>0</v>
      </c>
      <c r="I45" s="431"/>
      <c r="J45" s="518"/>
      <c r="K45" s="518"/>
      <c r="L45" s="1843"/>
      <c r="M45" s="522">
        <f>SUM(M11:M40)</f>
        <v>0</v>
      </c>
      <c r="N45" s="522">
        <f>SUM(N11:N40)</f>
        <v>0</v>
      </c>
      <c r="O45" s="902">
        <f>SUM(O11:O40)</f>
        <v>0</v>
      </c>
      <c r="P45" s="470"/>
      <c r="R45" s="924">
        <f>SUM(R11:R40)</f>
        <v>0</v>
      </c>
      <c r="S45" s="897" t="e">
        <f>(G45-R45)/G45</f>
        <v>#DIV/0!</v>
      </c>
      <c r="T45" s="446"/>
      <c r="U45" s="446"/>
      <c r="V45" s="686" t="e">
        <f>N45/W45</f>
        <v>#DIV/0!</v>
      </c>
      <c r="W45" s="516" t="e">
        <f>W43/Y45</f>
        <v>#DIV/0!</v>
      </c>
      <c r="X45" s="446"/>
      <c r="Y45" s="516"/>
      <c r="Z45" s="958">
        <f>SUM(Z11:Z40)</f>
        <v>0</v>
      </c>
      <c r="AA45" s="516">
        <f>SUM(AA11:AA40)</f>
        <v>0</v>
      </c>
      <c r="AB45" s="516">
        <f>Z45-AA45</f>
        <v>0</v>
      </c>
      <c r="AC45" s="896" t="e">
        <f>AA45/Z45</f>
        <v>#DIV/0!</v>
      </c>
    </row>
    <row r="46" spans="1:32">
      <c r="G46" s="453"/>
      <c r="M46" s="453"/>
      <c r="N46" s="453"/>
      <c r="O46"/>
      <c r="P46" s="470"/>
      <c r="R46"/>
      <c r="S46"/>
      <c r="T46"/>
      <c r="U46"/>
    </row>
    <row r="47" spans="1:32" ht="17.25" thickBot="1"/>
    <row r="48" spans="1:32" ht="15.75">
      <c r="A48" s="1824" t="s">
        <v>668</v>
      </c>
      <c r="B48" s="1824" t="s">
        <v>330</v>
      </c>
      <c r="C48" s="1826" t="s">
        <v>311</v>
      </c>
      <c r="D48" s="1828" t="s">
        <v>331</v>
      </c>
      <c r="E48" s="1828" t="s">
        <v>332</v>
      </c>
      <c r="F48" s="1830" t="s">
        <v>194</v>
      </c>
      <c r="G48" s="1830" t="s">
        <v>386</v>
      </c>
      <c r="H48" s="1832" t="s">
        <v>360</v>
      </c>
      <c r="I48" s="1832" t="s">
        <v>361</v>
      </c>
      <c r="J48" s="1832" t="s">
        <v>510</v>
      </c>
      <c r="K48" s="1832" t="s">
        <v>1320</v>
      </c>
      <c r="L48" s="1828" t="s">
        <v>362</v>
      </c>
      <c r="M48" s="1828" t="s">
        <v>514</v>
      </c>
      <c r="N48" s="1856" t="s">
        <v>511</v>
      </c>
      <c r="O48" s="1858" t="s">
        <v>457</v>
      </c>
      <c r="P48" s="1836" t="s">
        <v>379</v>
      </c>
      <c r="Q48" s="1828" t="s">
        <v>627</v>
      </c>
      <c r="R48" s="1852" t="s">
        <v>381</v>
      </c>
      <c r="S48" s="1854" t="s">
        <v>435</v>
      </c>
      <c r="T48" s="1834" t="s">
        <v>365</v>
      </c>
      <c r="U48" s="1836" t="s">
        <v>366</v>
      </c>
      <c r="V48" s="1844" t="s">
        <v>1286</v>
      </c>
      <c r="W48" s="1846" t="s">
        <v>201</v>
      </c>
      <c r="X48" s="1846" t="s">
        <v>1318</v>
      </c>
      <c r="Y48" s="1846" t="s">
        <v>1319</v>
      </c>
      <c r="Z48" s="1849" t="s">
        <v>1285</v>
      </c>
      <c r="AA48" s="1849" t="s">
        <v>339</v>
      </c>
      <c r="AB48" s="1860" t="s">
        <v>340</v>
      </c>
      <c r="AC48" s="1861"/>
      <c r="AD48" s="1862" t="s">
        <v>371</v>
      </c>
      <c r="AE48" s="1862" t="s">
        <v>383</v>
      </c>
      <c r="AF48" s="1840" t="s">
        <v>29</v>
      </c>
    </row>
    <row r="49" spans="1:56" s="447" customFormat="1" thickBot="1">
      <c r="A49" s="1825"/>
      <c r="B49" s="1825"/>
      <c r="C49" s="1827"/>
      <c r="D49" s="1829"/>
      <c r="E49" s="1829"/>
      <c r="F49" s="1831"/>
      <c r="G49" s="1831"/>
      <c r="H49" s="1833"/>
      <c r="I49" s="1833"/>
      <c r="J49" s="1833"/>
      <c r="K49" s="1838"/>
      <c r="L49" s="1829"/>
      <c r="M49" s="1839"/>
      <c r="N49" s="1857"/>
      <c r="O49" s="1859"/>
      <c r="P49" s="1837"/>
      <c r="Q49" s="1829"/>
      <c r="R49" s="1853"/>
      <c r="S49" s="1855"/>
      <c r="T49" s="1835"/>
      <c r="U49" s="1837"/>
      <c r="V49" s="1845"/>
      <c r="W49" s="1847"/>
      <c r="X49" s="1848"/>
      <c r="Y49" s="1848"/>
      <c r="Z49" s="1850"/>
      <c r="AA49" s="1851"/>
      <c r="AB49" s="491" t="s">
        <v>350</v>
      </c>
      <c r="AC49" s="491" t="s">
        <v>351</v>
      </c>
      <c r="AD49" s="1863"/>
      <c r="AE49" s="1863"/>
      <c r="AF49" s="1841"/>
      <c r="AG49" s="446"/>
      <c r="AH49" s="446"/>
      <c r="AU49" s="446"/>
      <c r="AV49" s="446"/>
      <c r="AW49" s="446"/>
      <c r="AX49" s="446"/>
      <c r="AY49" s="446"/>
      <c r="AZ49" s="446"/>
      <c r="BA49" s="446"/>
      <c r="BB49" s="446"/>
      <c r="BC49" s="446"/>
      <c r="BD49" s="446"/>
    </row>
    <row r="50" spans="1:56" s="433" customFormat="1" ht="15.75">
      <c r="A50" s="434">
        <v>113</v>
      </c>
      <c r="B50" s="434"/>
      <c r="C50" s="434">
        <v>1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>M50*Q50</f>
        <v>0</v>
      </c>
      <c r="O50" s="901">
        <f t="shared" ref="O50:O79" si="9">L50*M50</f>
        <v>0</v>
      </c>
      <c r="P50" s="460"/>
      <c r="Q50" s="438">
        <f>IFERROR(LOOKUP(1,0/((成型機資料庫!$F$146:$F$163=J50)*(成型機資料庫!$G$146:$G$163=K50)),成型機資料庫!$K$146:$K$163),0)</f>
        <v>0</v>
      </c>
      <c r="R50" s="899">
        <f t="shared" ref="R50:R79" si="10">M50*Q50*P50/1000</f>
        <v>0</v>
      </c>
      <c r="S50" s="898">
        <f t="shared" ref="S50:S79" si="11">IFERROR((G50-R50)/G50,0)</f>
        <v>0</v>
      </c>
      <c r="T50" s="482">
        <f>IFERROR(LOOKUP(1,0/((成型機資料庫!$F$146:$F$163=J50)*(成型機資料庫!$G$146:$G$163=K50)),成型機資料庫!$I$146:$I$163),0)</f>
        <v>0</v>
      </c>
      <c r="U50" s="483">
        <f>IFERROR(LOOKUP(1,0/((成型機資料庫!$F$146:$F$163=J50)*(成型機資料庫!$G$146:$G$163=K50)),成型機資料庫!$J$146:$J$163),0)</f>
        <v>0</v>
      </c>
      <c r="V50" s="900">
        <f>IFERROR(LOOKUP(1,0/((成型機資料庫!$F$146:$F$163=J50)*(成型機資料庫!$G$146:$G$163=K50)),成型機資料庫!$L$146:$L$163),0)</f>
        <v>0</v>
      </c>
      <c r="W50" s="898">
        <f t="shared" ref="W50:W79" si="12">IFERROR(M50/V50,0)</f>
        <v>0</v>
      </c>
      <c r="X50" s="923">
        <f>IFERROR(T50*U50*60*AA50/Q50,0)</f>
        <v>0</v>
      </c>
      <c r="Y50" s="898">
        <f>IFERROR(M50/X50,0)</f>
        <v>0</v>
      </c>
      <c r="Z50" s="923"/>
      <c r="AA50" s="478">
        <f t="shared" ref="AA50:AA79" si="13">AB50+AC50/60</f>
        <v>0</v>
      </c>
      <c r="AB50" s="438"/>
      <c r="AC50" s="482"/>
      <c r="AD50" s="464"/>
      <c r="AE50" s="438"/>
      <c r="AF50" s="438"/>
    </row>
    <row r="51" spans="1:56" s="433" customFormat="1" ht="15.75">
      <c r="A51" s="434">
        <v>113</v>
      </c>
      <c r="B51" s="581"/>
      <c r="C51" s="581">
        <v>2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 t="shared" ref="N51:N79" si="14">M51*Q51</f>
        <v>0</v>
      </c>
      <c r="O51" s="901">
        <f t="shared" si="9"/>
        <v>0</v>
      </c>
      <c r="P51" s="460"/>
      <c r="Q51" s="438">
        <f>IFERROR(LOOKUP(1,0/((成型機資料庫!$F$146:$F$163=J51)*(成型機資料庫!$G$146:$G$163=K51)),成型機資料庫!$K$146:$K$163),0)</f>
        <v>0</v>
      </c>
      <c r="R51" s="899">
        <f t="shared" si="10"/>
        <v>0</v>
      </c>
      <c r="S51" s="898">
        <f t="shared" si="11"/>
        <v>0</v>
      </c>
      <c r="T51" s="482">
        <f>IFERROR(LOOKUP(1,0/((成型機資料庫!$F$146:$F$163=J51)*(成型機資料庫!$G$146:$G$163=K51)),成型機資料庫!$I$146:$I$163),0)</f>
        <v>0</v>
      </c>
      <c r="U51" s="483">
        <f>IFERROR(LOOKUP(1,0/((成型機資料庫!$F$146:$F$163=J51)*(成型機資料庫!$G$146:$G$163=K51)),成型機資料庫!$J$146:$J$163),0)</f>
        <v>0</v>
      </c>
      <c r="V51" s="900">
        <f>IFERROR(LOOKUP(1,0/((成型機資料庫!$F$146:$F$163=J51)*(成型機資料庫!$G$146:$G$163=K51)),成型機資料庫!$L$146:$L$163),0)</f>
        <v>0</v>
      </c>
      <c r="W51" s="898">
        <f t="shared" si="12"/>
        <v>0</v>
      </c>
      <c r="X51" s="923">
        <f t="shared" ref="X51:X79" si="15">IFERROR(T51*U51*60*AA51/Q51,0)</f>
        <v>0</v>
      </c>
      <c r="Y51" s="898">
        <f t="shared" ref="Y51:Y79" si="16">IFERROR(M51/X51,0)</f>
        <v>0</v>
      </c>
      <c r="Z51" s="923"/>
      <c r="AA51" s="478">
        <f t="shared" si="13"/>
        <v>0</v>
      </c>
      <c r="AB51" s="438"/>
      <c r="AC51" s="482"/>
      <c r="AD51" s="464"/>
      <c r="AE51" s="438"/>
      <c r="AF51" s="438"/>
    </row>
    <row r="52" spans="1:56" s="433" customFormat="1" ht="15.75">
      <c r="A52" s="434">
        <v>113</v>
      </c>
      <c r="B52" s="581"/>
      <c r="C52" s="581">
        <v>3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si="14"/>
        <v>0</v>
      </c>
      <c r="O52" s="901">
        <f t="shared" si="9"/>
        <v>0</v>
      </c>
      <c r="P52" s="460"/>
      <c r="Q52" s="438">
        <f>IFERROR(LOOKUP(1,0/((成型機資料庫!$F$146:$F$163=J52)*(成型機資料庫!$G$146:$G$163=K52)),成型機資料庫!$K$146:$K$163),0)</f>
        <v>0</v>
      </c>
      <c r="R52" s="899">
        <f t="shared" si="10"/>
        <v>0</v>
      </c>
      <c r="S52" s="898">
        <f t="shared" si="11"/>
        <v>0</v>
      </c>
      <c r="T52" s="482">
        <f>IFERROR(LOOKUP(1,0/((成型機資料庫!$F$146:$F$163=J52)*(成型機資料庫!$G$146:$G$163=K52)),成型機資料庫!$I$146:$I$163),0)</f>
        <v>0</v>
      </c>
      <c r="U52" s="483">
        <f>IFERROR(LOOKUP(1,0/((成型機資料庫!$F$146:$F$163=J52)*(成型機資料庫!$G$146:$G$163=K52)),成型機資料庫!$J$146:$J$163),0)</f>
        <v>0</v>
      </c>
      <c r="V52" s="900">
        <f>IFERROR(LOOKUP(1,0/((成型機資料庫!$F$146:$F$163=J52)*(成型機資料庫!$G$146:$G$163=K52)),成型機資料庫!$L$146:$L$163),0)</f>
        <v>0</v>
      </c>
      <c r="W52" s="898">
        <f t="shared" si="12"/>
        <v>0</v>
      </c>
      <c r="X52" s="923">
        <f t="shared" si="15"/>
        <v>0</v>
      </c>
      <c r="Y52" s="898">
        <f t="shared" si="16"/>
        <v>0</v>
      </c>
      <c r="Z52" s="923"/>
      <c r="AA52" s="478">
        <f t="shared" si="13"/>
        <v>0</v>
      </c>
      <c r="AB52" s="438"/>
      <c r="AC52" s="482"/>
      <c r="AD52" s="438"/>
      <c r="AE52" s="438"/>
      <c r="AF52" s="438"/>
    </row>
    <row r="53" spans="1:56" s="433" customFormat="1" ht="15.75">
      <c r="A53" s="434">
        <v>113</v>
      </c>
      <c r="B53" s="581"/>
      <c r="C53" s="581">
        <v>4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4"/>
        <v>0</v>
      </c>
      <c r="O53" s="901">
        <f t="shared" si="9"/>
        <v>0</v>
      </c>
      <c r="P53" s="460"/>
      <c r="Q53" s="438">
        <f>IFERROR(LOOKUP(1,0/((成型機資料庫!$F$146:$F$163=J53)*(成型機資料庫!$G$146:$G$163=K53)),成型機資料庫!$K$146:$K$163),0)</f>
        <v>0</v>
      </c>
      <c r="R53" s="899">
        <f t="shared" si="10"/>
        <v>0</v>
      </c>
      <c r="S53" s="898">
        <f t="shared" si="11"/>
        <v>0</v>
      </c>
      <c r="T53" s="482">
        <f>IFERROR(LOOKUP(1,0/((成型機資料庫!$F$146:$F$163=J53)*(成型機資料庫!$G$146:$G$163=K53)),成型機資料庫!$I$146:$I$163),0)</f>
        <v>0</v>
      </c>
      <c r="U53" s="483">
        <f>IFERROR(LOOKUP(1,0/((成型機資料庫!$F$146:$F$163=J53)*(成型機資料庫!$G$146:$G$163=K53)),成型機資料庫!$J$146:$J$163),0)</f>
        <v>0</v>
      </c>
      <c r="V53" s="900">
        <f>IFERROR(LOOKUP(1,0/((成型機資料庫!$F$146:$F$163=J53)*(成型機資料庫!$G$146:$G$163=K53)),成型機資料庫!$L$146:$L$163),0)</f>
        <v>0</v>
      </c>
      <c r="W53" s="898">
        <f t="shared" si="12"/>
        <v>0</v>
      </c>
      <c r="X53" s="923">
        <f t="shared" si="15"/>
        <v>0</v>
      </c>
      <c r="Y53" s="898">
        <f t="shared" si="16"/>
        <v>0</v>
      </c>
      <c r="Z53" s="923"/>
      <c r="AA53" s="478">
        <f t="shared" si="13"/>
        <v>0</v>
      </c>
      <c r="AB53" s="438"/>
      <c r="AC53" s="482"/>
      <c r="AD53" s="438"/>
      <c r="AE53" s="464"/>
      <c r="AF53" s="438"/>
    </row>
    <row r="54" spans="1:56" s="433" customFormat="1" ht="15.75">
      <c r="A54" s="434">
        <v>113</v>
      </c>
      <c r="B54" s="581"/>
      <c r="C54" s="581">
        <v>5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4"/>
        <v>0</v>
      </c>
      <c r="O54" s="901">
        <f t="shared" si="9"/>
        <v>0</v>
      </c>
      <c r="P54" s="460"/>
      <c r="Q54" s="438">
        <f>IFERROR(LOOKUP(1,0/((成型機資料庫!$F$146:$F$163=J54)*(成型機資料庫!$G$146:$G$163=K54)),成型機資料庫!$K$146:$K$163),0)</f>
        <v>0</v>
      </c>
      <c r="R54" s="899">
        <f t="shared" si="10"/>
        <v>0</v>
      </c>
      <c r="S54" s="898">
        <f t="shared" si="11"/>
        <v>0</v>
      </c>
      <c r="T54" s="482">
        <f>IFERROR(LOOKUP(1,0/((成型機資料庫!$F$146:$F$163=J54)*(成型機資料庫!$G$146:$G$163=K54)),成型機資料庫!$I$146:$I$163),0)</f>
        <v>0</v>
      </c>
      <c r="U54" s="483">
        <f>IFERROR(LOOKUP(1,0/((成型機資料庫!$F$146:$F$163=J54)*(成型機資料庫!$G$146:$G$163=K54)),成型機資料庫!$J$146:$J$163),0)</f>
        <v>0</v>
      </c>
      <c r="V54" s="900">
        <f>IFERROR(LOOKUP(1,0/((成型機資料庫!$F$146:$F$163=J54)*(成型機資料庫!$G$146:$G$163=K54)),成型機資料庫!$L$146:$L$163),0)</f>
        <v>0</v>
      </c>
      <c r="W54" s="898">
        <f t="shared" si="12"/>
        <v>0</v>
      </c>
      <c r="X54" s="923">
        <f t="shared" si="15"/>
        <v>0</v>
      </c>
      <c r="Y54" s="898">
        <f t="shared" si="16"/>
        <v>0</v>
      </c>
      <c r="Z54" s="923"/>
      <c r="AA54" s="478">
        <f t="shared" si="13"/>
        <v>0</v>
      </c>
      <c r="AB54" s="438"/>
      <c r="AC54" s="482"/>
      <c r="AD54" s="438"/>
      <c r="AE54" s="438"/>
      <c r="AF54" s="438"/>
    </row>
    <row r="55" spans="1:56" s="433" customFormat="1" ht="15.75">
      <c r="A55" s="434">
        <v>113</v>
      </c>
      <c r="B55" s="581"/>
      <c r="C55" s="581">
        <v>6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4"/>
        <v>0</v>
      </c>
      <c r="O55" s="901">
        <f t="shared" si="9"/>
        <v>0</v>
      </c>
      <c r="P55" s="460"/>
      <c r="Q55" s="438">
        <f>IFERROR(LOOKUP(1,0/((成型機資料庫!$F$146:$F$163=J55)*(成型機資料庫!$G$146:$G$163=K55)),成型機資料庫!$K$146:$K$163),0)</f>
        <v>0</v>
      </c>
      <c r="R55" s="899">
        <f t="shared" si="10"/>
        <v>0</v>
      </c>
      <c r="S55" s="898">
        <f t="shared" si="11"/>
        <v>0</v>
      </c>
      <c r="T55" s="482">
        <f>IFERROR(LOOKUP(1,0/((成型機資料庫!$F$146:$F$163=J55)*(成型機資料庫!$G$146:$G$163=K55)),成型機資料庫!$I$146:$I$163),0)</f>
        <v>0</v>
      </c>
      <c r="U55" s="483">
        <f>IFERROR(LOOKUP(1,0/((成型機資料庫!$F$146:$F$163=J55)*(成型機資料庫!$G$146:$G$163=K55)),成型機資料庫!$J$146:$J$163),0)</f>
        <v>0</v>
      </c>
      <c r="V55" s="900">
        <f>IFERROR(LOOKUP(1,0/((成型機資料庫!$F$146:$F$163=J55)*(成型機資料庫!$G$146:$G$163=K55)),成型機資料庫!$L$146:$L$163),0)</f>
        <v>0</v>
      </c>
      <c r="W55" s="898">
        <f t="shared" si="12"/>
        <v>0</v>
      </c>
      <c r="X55" s="923">
        <f t="shared" si="15"/>
        <v>0</v>
      </c>
      <c r="Y55" s="898">
        <f t="shared" si="16"/>
        <v>0</v>
      </c>
      <c r="Z55" s="923"/>
      <c r="AA55" s="478">
        <f t="shared" si="13"/>
        <v>0</v>
      </c>
      <c r="AB55" s="438"/>
      <c r="AC55" s="482"/>
      <c r="AD55" s="879"/>
      <c r="AE55" s="438"/>
      <c r="AF55" s="438"/>
    </row>
    <row r="56" spans="1:56" s="433" customFormat="1" ht="15.75">
      <c r="A56" s="434">
        <v>113</v>
      </c>
      <c r="B56" s="581"/>
      <c r="C56" s="581">
        <v>7</v>
      </c>
      <c r="D56" s="581"/>
      <c r="E56" s="581" t="s">
        <v>43</v>
      </c>
      <c r="F56" s="436" t="s">
        <v>44</v>
      </c>
      <c r="G56" s="927"/>
      <c r="H56" s="464"/>
      <c r="I56" s="429"/>
      <c r="J56" s="429"/>
      <c r="K56" s="429"/>
      <c r="L56" s="464"/>
      <c r="M56" s="464"/>
      <c r="N56" s="900">
        <f t="shared" si="14"/>
        <v>0</v>
      </c>
      <c r="O56" s="901">
        <f t="shared" si="9"/>
        <v>0</v>
      </c>
      <c r="P56" s="460"/>
      <c r="Q56" s="438">
        <f>IFERROR(LOOKUP(1,0/((成型機資料庫!$F$146:$F$163=J56)*(成型機資料庫!$G$146:$G$163=K56)),成型機資料庫!$K$146:$K$163),0)</f>
        <v>0</v>
      </c>
      <c r="R56" s="899">
        <f t="shared" si="10"/>
        <v>0</v>
      </c>
      <c r="S56" s="898">
        <f t="shared" si="11"/>
        <v>0</v>
      </c>
      <c r="T56" s="482">
        <f>IFERROR(LOOKUP(1,0/((成型機資料庫!$F$146:$F$163=J56)*(成型機資料庫!$G$146:$G$163=K56)),成型機資料庫!$I$146:$I$163),0)</f>
        <v>0</v>
      </c>
      <c r="U56" s="483">
        <f>IFERROR(LOOKUP(1,0/((成型機資料庫!$F$146:$F$163=J56)*(成型機資料庫!$G$146:$G$163=K56)),成型機資料庫!$J$146:$J$163),0)</f>
        <v>0</v>
      </c>
      <c r="V56" s="900">
        <f>IFERROR(LOOKUP(1,0/((成型機資料庫!$F$146:$F$163=J56)*(成型機資料庫!$G$146:$G$163=K56)),成型機資料庫!$L$146:$L$163),0)</f>
        <v>0</v>
      </c>
      <c r="W56" s="898">
        <f t="shared" si="12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3"/>
        <v>0</v>
      </c>
      <c r="AB56" s="438"/>
      <c r="AC56" s="482"/>
      <c r="AD56" s="464"/>
      <c r="AE56" s="438"/>
      <c r="AF56" s="438"/>
    </row>
    <row r="57" spans="1:56" s="433" customFormat="1" ht="15.75">
      <c r="A57" s="434">
        <v>113</v>
      </c>
      <c r="B57" s="581"/>
      <c r="C57" s="581">
        <v>8</v>
      </c>
      <c r="D57" s="581"/>
      <c r="E57" s="581" t="s">
        <v>43</v>
      </c>
      <c r="F57" s="436" t="s">
        <v>44</v>
      </c>
      <c r="G57" s="927"/>
      <c r="H57" s="464"/>
      <c r="I57" s="429"/>
      <c r="J57" s="429"/>
      <c r="K57" s="429"/>
      <c r="L57" s="464"/>
      <c r="M57" s="464"/>
      <c r="N57" s="900">
        <f t="shared" si="14"/>
        <v>0</v>
      </c>
      <c r="O57" s="901">
        <f t="shared" si="9"/>
        <v>0</v>
      </c>
      <c r="P57" s="460"/>
      <c r="Q57" s="438">
        <f>IFERROR(LOOKUP(1,0/((成型機資料庫!$F$146:$F$163=J57)*(成型機資料庫!$G$146:$G$163=K57)),成型機資料庫!$K$146:$K$163),0)</f>
        <v>0</v>
      </c>
      <c r="R57" s="899">
        <f t="shared" si="10"/>
        <v>0</v>
      </c>
      <c r="S57" s="898">
        <f t="shared" si="11"/>
        <v>0</v>
      </c>
      <c r="T57" s="482">
        <f>IFERROR(LOOKUP(1,0/((成型機資料庫!$F$146:$F$163=J57)*(成型機資料庫!$G$146:$G$163=K57)),成型機資料庫!$I$146:$I$163),0)</f>
        <v>0</v>
      </c>
      <c r="U57" s="483">
        <f>IFERROR(LOOKUP(1,0/((成型機資料庫!$F$146:$F$163=J57)*(成型機資料庫!$G$146:$G$163=K57)),成型機資料庫!$J$146:$J$163),0)</f>
        <v>0</v>
      </c>
      <c r="V57" s="900">
        <f>IFERROR(LOOKUP(1,0/((成型機資料庫!$F$146:$F$163=J57)*(成型機資料庫!$G$146:$G$163=K57)),成型機資料庫!$L$146:$L$163),0)</f>
        <v>0</v>
      </c>
      <c r="W57" s="898">
        <f t="shared" si="12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3"/>
        <v>0</v>
      </c>
      <c r="AB57" s="438"/>
      <c r="AC57" s="482"/>
      <c r="AD57" s="464"/>
      <c r="AE57" s="438"/>
      <c r="AF57" s="438"/>
    </row>
    <row r="58" spans="1:56" s="433" customFormat="1" ht="15.75">
      <c r="A58" s="434">
        <v>113</v>
      </c>
      <c r="B58" s="581"/>
      <c r="C58" s="581">
        <v>9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4"/>
        <v>0</v>
      </c>
      <c r="O58" s="901">
        <f t="shared" si="9"/>
        <v>0</v>
      </c>
      <c r="P58" s="460"/>
      <c r="Q58" s="438">
        <f>IFERROR(LOOKUP(1,0/((成型機資料庫!$F$146:$F$163=J58)*(成型機資料庫!$G$146:$G$163=K58)),成型機資料庫!$K$146:$K$163),0)</f>
        <v>0</v>
      </c>
      <c r="R58" s="899">
        <f t="shared" si="10"/>
        <v>0</v>
      </c>
      <c r="S58" s="898">
        <f t="shared" si="11"/>
        <v>0</v>
      </c>
      <c r="T58" s="482">
        <f>IFERROR(LOOKUP(1,0/((成型機資料庫!$F$146:$F$163=J58)*(成型機資料庫!$G$146:$G$163=K58)),成型機資料庫!$I$146:$I$163),0)</f>
        <v>0</v>
      </c>
      <c r="U58" s="483">
        <f>IFERROR(LOOKUP(1,0/((成型機資料庫!$F$146:$F$163=J58)*(成型機資料庫!$G$146:$G$163=K58)),成型機資料庫!$J$146:$J$163),0)</f>
        <v>0</v>
      </c>
      <c r="V58" s="900">
        <f>IFERROR(LOOKUP(1,0/((成型機資料庫!$F$146:$F$163=J58)*(成型機資料庫!$G$146:$G$163=K58)),成型機資料庫!$L$146:$L$163),0)</f>
        <v>0</v>
      </c>
      <c r="W58" s="898">
        <f t="shared" si="12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3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10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4"/>
        <v>0</v>
      </c>
      <c r="O59" s="901">
        <f t="shared" si="9"/>
        <v>0</v>
      </c>
      <c r="P59" s="460"/>
      <c r="Q59" s="438">
        <f>IFERROR(LOOKUP(1,0/((成型機資料庫!$F$146:$F$163=J59)*(成型機資料庫!$G$146:$G$163=K59)),成型機資料庫!$K$146:$K$163),0)</f>
        <v>0</v>
      </c>
      <c r="R59" s="899">
        <f t="shared" si="10"/>
        <v>0</v>
      </c>
      <c r="S59" s="898">
        <f t="shared" si="11"/>
        <v>0</v>
      </c>
      <c r="T59" s="482">
        <f>IFERROR(LOOKUP(1,0/((成型機資料庫!$F$146:$F$163=J59)*(成型機資料庫!$G$146:$G$163=K59)),成型機資料庫!$I$146:$I$163),0)</f>
        <v>0</v>
      </c>
      <c r="U59" s="483">
        <f>IFERROR(LOOKUP(1,0/((成型機資料庫!$F$146:$F$163=J59)*(成型機資料庫!$G$146:$G$163=K59)),成型機資料庫!$J$146:$J$163),0)</f>
        <v>0</v>
      </c>
      <c r="V59" s="900">
        <f>IFERROR(LOOKUP(1,0/((成型機資料庫!$F$146:$F$163=J59)*(成型機資料庫!$G$146:$G$163=K59)),成型機資料庫!$L$146:$L$163),0)</f>
        <v>0</v>
      </c>
      <c r="W59" s="898">
        <f t="shared" si="12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3"/>
        <v>0</v>
      </c>
      <c r="AB59" s="438"/>
      <c r="AC59" s="482"/>
      <c r="AD59" s="438"/>
      <c r="AE59" s="438"/>
      <c r="AF59" s="438"/>
    </row>
    <row r="60" spans="1:56" s="433" customFormat="1" ht="15.75">
      <c r="A60" s="434">
        <v>113</v>
      </c>
      <c r="B60" s="581"/>
      <c r="C60" s="581">
        <v>11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4"/>
        <v>0</v>
      </c>
      <c r="O60" s="901">
        <f t="shared" si="9"/>
        <v>0</v>
      </c>
      <c r="P60" s="460"/>
      <c r="Q60" s="438">
        <f>IFERROR(LOOKUP(1,0/((成型機資料庫!$F$146:$F$163=J60)*(成型機資料庫!$G$146:$G$163=K60)),成型機資料庫!$K$146:$K$163),0)</f>
        <v>0</v>
      </c>
      <c r="R60" s="899">
        <f t="shared" si="10"/>
        <v>0</v>
      </c>
      <c r="S60" s="898">
        <f t="shared" si="11"/>
        <v>0</v>
      </c>
      <c r="T60" s="482">
        <f>IFERROR(LOOKUP(1,0/((成型機資料庫!$F$146:$F$163=J60)*(成型機資料庫!$G$146:$G$163=K60)),成型機資料庫!$I$146:$I$163),0)</f>
        <v>0</v>
      </c>
      <c r="U60" s="483">
        <f>IFERROR(LOOKUP(1,0/((成型機資料庫!$F$146:$F$163=J60)*(成型機資料庫!$G$146:$G$163=K60)),成型機資料庫!$J$146:$J$163),0)</f>
        <v>0</v>
      </c>
      <c r="V60" s="900">
        <f>IFERROR(LOOKUP(1,0/((成型機資料庫!$F$146:$F$163=J60)*(成型機資料庫!$G$146:$G$163=K60)),成型機資料庫!$L$146:$L$163),0)</f>
        <v>0</v>
      </c>
      <c r="W60" s="898">
        <f t="shared" si="12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3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12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4"/>
        <v>0</v>
      </c>
      <c r="O61" s="901">
        <f t="shared" si="9"/>
        <v>0</v>
      </c>
      <c r="P61" s="460"/>
      <c r="Q61" s="438">
        <f>IFERROR(LOOKUP(1,0/((成型機資料庫!$F$146:$F$163=J61)*(成型機資料庫!$G$146:$G$163=K61)),成型機資料庫!$K$146:$K$163),0)</f>
        <v>0</v>
      </c>
      <c r="R61" s="899">
        <f t="shared" si="10"/>
        <v>0</v>
      </c>
      <c r="S61" s="898">
        <f t="shared" si="11"/>
        <v>0</v>
      </c>
      <c r="T61" s="482">
        <f>IFERROR(LOOKUP(1,0/((成型機資料庫!$F$146:$F$163=J61)*(成型機資料庫!$G$146:$G$163=K61)),成型機資料庫!$I$146:$I$163),0)</f>
        <v>0</v>
      </c>
      <c r="U61" s="483">
        <f>IFERROR(LOOKUP(1,0/((成型機資料庫!$F$146:$F$163=J61)*(成型機資料庫!$G$146:$G$163=K61)),成型機資料庫!$J$146:$J$163),0)</f>
        <v>0</v>
      </c>
      <c r="V61" s="900">
        <f>IFERROR(LOOKUP(1,0/((成型機資料庫!$F$146:$F$163=J61)*(成型機資料庫!$G$146:$G$163=K61)),成型機資料庫!$L$146:$L$163),0)</f>
        <v>0</v>
      </c>
      <c r="W61" s="898">
        <f t="shared" si="12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3"/>
        <v>0</v>
      </c>
      <c r="AB61" s="438"/>
      <c r="AC61" s="482"/>
      <c r="AD61" s="438"/>
      <c r="AE61" s="438"/>
      <c r="AF61" s="438"/>
    </row>
    <row r="62" spans="1:56" s="433" customFormat="1" ht="15.75">
      <c r="A62" s="434">
        <v>113</v>
      </c>
      <c r="B62" s="581"/>
      <c r="C62" s="581">
        <v>13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4"/>
        <v>0</v>
      </c>
      <c r="O62" s="901">
        <f t="shared" si="9"/>
        <v>0</v>
      </c>
      <c r="P62" s="460"/>
      <c r="Q62" s="438">
        <f>IFERROR(LOOKUP(1,0/((成型機資料庫!$F$146:$F$163=J62)*(成型機資料庫!$G$146:$G$163=K62)),成型機資料庫!$K$146:$K$163),0)</f>
        <v>0</v>
      </c>
      <c r="R62" s="899">
        <f t="shared" si="10"/>
        <v>0</v>
      </c>
      <c r="S62" s="898">
        <f t="shared" si="11"/>
        <v>0</v>
      </c>
      <c r="T62" s="482">
        <f>IFERROR(LOOKUP(1,0/((成型機資料庫!$F$146:$F$163=J62)*(成型機資料庫!$G$146:$G$163=K62)),成型機資料庫!$I$146:$I$163),0)</f>
        <v>0</v>
      </c>
      <c r="U62" s="483">
        <f>IFERROR(LOOKUP(1,0/((成型機資料庫!$F$146:$F$163=J62)*(成型機資料庫!$G$146:$G$163=K62)),成型機資料庫!$J$146:$J$163),0)</f>
        <v>0</v>
      </c>
      <c r="V62" s="900">
        <f>IFERROR(LOOKUP(1,0/((成型機資料庫!$F$146:$F$163=J62)*(成型機資料庫!$G$146:$G$163=K62)),成型機資料庫!$L$146:$L$163),0)</f>
        <v>0</v>
      </c>
      <c r="W62" s="898">
        <f t="shared" si="12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3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14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4"/>
        <v>0</v>
      </c>
      <c r="O63" s="901">
        <f t="shared" si="9"/>
        <v>0</v>
      </c>
      <c r="P63" s="460"/>
      <c r="Q63" s="438">
        <f>IFERROR(LOOKUP(1,0/((成型機資料庫!$F$146:$F$163=J63)*(成型機資料庫!$G$146:$G$163=K63)),成型機資料庫!$K$146:$K$163),0)</f>
        <v>0</v>
      </c>
      <c r="R63" s="899">
        <f t="shared" si="10"/>
        <v>0</v>
      </c>
      <c r="S63" s="898">
        <f t="shared" si="11"/>
        <v>0</v>
      </c>
      <c r="T63" s="482">
        <f>IFERROR(LOOKUP(1,0/((成型機資料庫!$F$146:$F$163=J63)*(成型機資料庫!$G$146:$G$163=K63)),成型機資料庫!$I$146:$I$163),0)</f>
        <v>0</v>
      </c>
      <c r="U63" s="483">
        <f>IFERROR(LOOKUP(1,0/((成型機資料庫!$F$146:$F$163=J63)*(成型機資料庫!$G$146:$G$163=K63)),成型機資料庫!$J$146:$J$163),0)</f>
        <v>0</v>
      </c>
      <c r="V63" s="900">
        <f>IFERROR(LOOKUP(1,0/((成型機資料庫!$F$146:$F$163=J63)*(成型機資料庫!$G$146:$G$163=K63)),成型機資料庫!$L$146:$L$163),0)</f>
        <v>0</v>
      </c>
      <c r="W63" s="898">
        <f t="shared" si="12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3"/>
        <v>0</v>
      </c>
      <c r="AB63" s="438"/>
      <c r="AC63" s="482"/>
      <c r="AD63" s="464"/>
      <c r="AE63" s="438"/>
      <c r="AF63" s="438"/>
    </row>
    <row r="64" spans="1:56" s="433" customFormat="1" ht="15.75">
      <c r="A64" s="434">
        <v>113</v>
      </c>
      <c r="B64" s="581"/>
      <c r="C64" s="581">
        <v>15</v>
      </c>
      <c r="D64" s="581"/>
      <c r="E64" s="581" t="s">
        <v>43</v>
      </c>
      <c r="F64" s="436" t="s">
        <v>44</v>
      </c>
      <c r="G64" s="927"/>
      <c r="H64" s="464"/>
      <c r="I64" s="429"/>
      <c r="J64" s="429"/>
      <c r="K64" s="429"/>
      <c r="L64" s="464"/>
      <c r="M64" s="464"/>
      <c r="N64" s="900">
        <f t="shared" si="14"/>
        <v>0</v>
      </c>
      <c r="O64" s="901">
        <f t="shared" si="9"/>
        <v>0</v>
      </c>
      <c r="P64" s="460"/>
      <c r="Q64" s="438">
        <f>IFERROR(LOOKUP(1,0/((成型機資料庫!$F$146:$F$163=J64)*(成型機資料庫!$G$146:$G$163=K64)),成型機資料庫!$K$146:$K$163),0)</f>
        <v>0</v>
      </c>
      <c r="R64" s="899">
        <f t="shared" si="10"/>
        <v>0</v>
      </c>
      <c r="S64" s="898">
        <f t="shared" si="11"/>
        <v>0</v>
      </c>
      <c r="T64" s="482">
        <f>IFERROR(LOOKUP(1,0/((成型機資料庫!$F$146:$F$163=J64)*(成型機資料庫!$G$146:$G$163=K64)),成型機資料庫!$I$146:$I$163),0)</f>
        <v>0</v>
      </c>
      <c r="U64" s="483">
        <f>IFERROR(LOOKUP(1,0/((成型機資料庫!$F$146:$F$163=J64)*(成型機資料庫!$G$146:$G$163=K64)),成型機資料庫!$J$146:$J$163),0)</f>
        <v>0</v>
      </c>
      <c r="V64" s="900">
        <f>IFERROR(LOOKUP(1,0/((成型機資料庫!$F$146:$F$163=J64)*(成型機資料庫!$G$146:$G$163=K64)),成型機資料庫!$L$146:$L$163),0)</f>
        <v>0</v>
      </c>
      <c r="W64" s="898">
        <f t="shared" si="12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3"/>
        <v>0</v>
      </c>
      <c r="AB64" s="438"/>
      <c r="AC64" s="482"/>
      <c r="AD64" s="438"/>
      <c r="AE64" s="438"/>
      <c r="AF64" s="438"/>
    </row>
    <row r="65" spans="1:32" s="433" customFormat="1" ht="15.75">
      <c r="A65" s="434">
        <v>113</v>
      </c>
      <c r="B65" s="581"/>
      <c r="C65" s="581">
        <v>16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4"/>
        <v>0</v>
      </c>
      <c r="O65" s="901">
        <f t="shared" si="9"/>
        <v>0</v>
      </c>
      <c r="P65" s="460"/>
      <c r="Q65" s="438">
        <f>IFERROR(LOOKUP(1,0/((成型機資料庫!$F$146:$F$163=J65)*(成型機資料庫!$G$146:$G$163=K65)),成型機資料庫!$K$146:$K$163),0)</f>
        <v>0</v>
      </c>
      <c r="R65" s="899">
        <f t="shared" si="10"/>
        <v>0</v>
      </c>
      <c r="S65" s="898">
        <f t="shared" si="11"/>
        <v>0</v>
      </c>
      <c r="T65" s="482">
        <f>IFERROR(LOOKUP(1,0/((成型機資料庫!$F$146:$F$163=J65)*(成型機資料庫!$G$146:$G$163=K65)),成型機資料庫!$I$146:$I$163),0)</f>
        <v>0</v>
      </c>
      <c r="U65" s="483">
        <f>IFERROR(LOOKUP(1,0/((成型機資料庫!$F$146:$F$163=J65)*(成型機資料庫!$G$146:$G$163=K65)),成型機資料庫!$J$146:$J$163),0)</f>
        <v>0</v>
      </c>
      <c r="V65" s="900">
        <f>IFERROR(LOOKUP(1,0/((成型機資料庫!$F$146:$F$163=J65)*(成型機資料庫!$G$146:$G$163=K65)),成型機資料庫!$L$146:$L$163),0)</f>
        <v>0</v>
      </c>
      <c r="W65" s="898">
        <f t="shared" si="12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3"/>
        <v>0</v>
      </c>
      <c r="AB65" s="438"/>
      <c r="AC65" s="482"/>
      <c r="AD65" s="464"/>
      <c r="AE65" s="464"/>
      <c r="AF65" s="438"/>
    </row>
    <row r="66" spans="1:32" s="433" customFormat="1" ht="15.75">
      <c r="A66" s="434">
        <v>113</v>
      </c>
      <c r="B66" s="581"/>
      <c r="C66" s="581">
        <v>17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4"/>
        <v>0</v>
      </c>
      <c r="O66" s="901">
        <f t="shared" si="9"/>
        <v>0</v>
      </c>
      <c r="P66" s="460"/>
      <c r="Q66" s="438">
        <f>IFERROR(LOOKUP(1,0/((成型機資料庫!$F$146:$F$163=J66)*(成型機資料庫!$G$146:$G$163=K66)),成型機資料庫!$K$146:$K$163),0)</f>
        <v>0</v>
      </c>
      <c r="R66" s="899">
        <f t="shared" si="10"/>
        <v>0</v>
      </c>
      <c r="S66" s="898">
        <f t="shared" si="11"/>
        <v>0</v>
      </c>
      <c r="T66" s="482">
        <f>IFERROR(LOOKUP(1,0/((成型機資料庫!$F$146:$F$163=J66)*(成型機資料庫!$G$146:$G$163=K66)),成型機資料庫!$I$146:$I$163),0)</f>
        <v>0</v>
      </c>
      <c r="U66" s="483">
        <f>IFERROR(LOOKUP(1,0/((成型機資料庫!$F$146:$F$163=J66)*(成型機資料庫!$G$146:$G$163=K66)),成型機資料庫!$J$146:$J$163),0)</f>
        <v>0</v>
      </c>
      <c r="V66" s="900">
        <f>IFERROR(LOOKUP(1,0/((成型機資料庫!$F$146:$F$163=J66)*(成型機資料庫!$G$146:$G$163=K66)),成型機資料庫!$L$146:$L$163),0)</f>
        <v>0</v>
      </c>
      <c r="W66" s="898">
        <f t="shared" si="12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3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18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4"/>
        <v>0</v>
      </c>
      <c r="O67" s="901">
        <f t="shared" si="9"/>
        <v>0</v>
      </c>
      <c r="P67" s="460"/>
      <c r="Q67" s="438">
        <f>IFERROR(LOOKUP(1,0/((成型機資料庫!$F$146:$F$163=J67)*(成型機資料庫!$G$146:$G$163=K67)),成型機資料庫!$K$146:$K$163),0)</f>
        <v>0</v>
      </c>
      <c r="R67" s="899">
        <f t="shared" si="10"/>
        <v>0</v>
      </c>
      <c r="S67" s="898">
        <f t="shared" si="11"/>
        <v>0</v>
      </c>
      <c r="T67" s="482">
        <f>IFERROR(LOOKUP(1,0/((成型機資料庫!$F$146:$F$163=J67)*(成型機資料庫!$G$146:$G$163=K67)),成型機資料庫!$I$146:$I$163),0)</f>
        <v>0</v>
      </c>
      <c r="U67" s="483">
        <f>IFERROR(LOOKUP(1,0/((成型機資料庫!$F$146:$F$163=J67)*(成型機資料庫!$G$146:$G$163=K67)),成型機資料庫!$J$146:$J$163),0)</f>
        <v>0</v>
      </c>
      <c r="V67" s="900">
        <f>IFERROR(LOOKUP(1,0/((成型機資料庫!$F$146:$F$163=J67)*(成型機資料庫!$G$146:$G$163=K67)),成型機資料庫!$L$146:$L$163),0)</f>
        <v>0</v>
      </c>
      <c r="W67" s="898">
        <f t="shared" si="12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3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19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4"/>
        <v>0</v>
      </c>
      <c r="O68" s="901">
        <f t="shared" si="9"/>
        <v>0</v>
      </c>
      <c r="P68" s="460"/>
      <c r="Q68" s="438">
        <f>IFERROR(LOOKUP(1,0/((成型機資料庫!$F$146:$F$163=J68)*(成型機資料庫!$G$146:$G$163=K68)),成型機資料庫!$K$146:$K$163),0)</f>
        <v>0</v>
      </c>
      <c r="R68" s="899">
        <f t="shared" si="10"/>
        <v>0</v>
      </c>
      <c r="S68" s="898">
        <f t="shared" si="11"/>
        <v>0</v>
      </c>
      <c r="T68" s="482">
        <f>IFERROR(LOOKUP(1,0/((成型機資料庫!$F$146:$F$163=J68)*(成型機資料庫!$G$146:$G$163=K68)),成型機資料庫!$I$146:$I$163),0)</f>
        <v>0</v>
      </c>
      <c r="U68" s="483">
        <f>IFERROR(LOOKUP(1,0/((成型機資料庫!$F$146:$F$163=J68)*(成型機資料庫!$G$146:$G$163=K68)),成型機資料庫!$J$146:$J$163),0)</f>
        <v>0</v>
      </c>
      <c r="V68" s="900">
        <f>IFERROR(LOOKUP(1,0/((成型機資料庫!$F$146:$F$163=J68)*(成型機資料庫!$G$146:$G$163=K68)),成型機資料庫!$L$146:$L$163),0)</f>
        <v>0</v>
      </c>
      <c r="W68" s="898">
        <f t="shared" si="12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3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20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4"/>
        <v>0</v>
      </c>
      <c r="O69" s="901">
        <f t="shared" si="9"/>
        <v>0</v>
      </c>
      <c r="P69" s="460"/>
      <c r="Q69" s="438">
        <f>IFERROR(LOOKUP(1,0/((成型機資料庫!$F$146:$F$163=J69)*(成型機資料庫!$G$146:$G$163=K69)),成型機資料庫!$K$146:$K$163),0)</f>
        <v>0</v>
      </c>
      <c r="R69" s="899">
        <f t="shared" si="10"/>
        <v>0</v>
      </c>
      <c r="S69" s="898">
        <f t="shared" si="11"/>
        <v>0</v>
      </c>
      <c r="T69" s="482">
        <f>IFERROR(LOOKUP(1,0/((成型機資料庫!$F$146:$F$163=J69)*(成型機資料庫!$G$146:$G$163=K69)),成型機資料庫!$I$146:$I$163),0)</f>
        <v>0</v>
      </c>
      <c r="U69" s="483">
        <f>IFERROR(LOOKUP(1,0/((成型機資料庫!$F$146:$F$163=J69)*(成型機資料庫!$G$146:$G$163=K69)),成型機資料庫!$J$146:$J$163),0)</f>
        <v>0</v>
      </c>
      <c r="V69" s="900">
        <f>IFERROR(LOOKUP(1,0/((成型機資料庫!$F$146:$F$163=J69)*(成型機資料庫!$G$146:$G$163=K69)),成型機資料庫!$L$146:$L$163),0)</f>
        <v>0</v>
      </c>
      <c r="W69" s="898">
        <f t="shared" si="12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3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21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4"/>
        <v>0</v>
      </c>
      <c r="O70" s="901">
        <f t="shared" si="9"/>
        <v>0</v>
      </c>
      <c r="P70" s="460"/>
      <c r="Q70" s="438">
        <f>IFERROR(LOOKUP(1,0/((成型機資料庫!$F$146:$F$163=J70)*(成型機資料庫!$G$146:$G$163=K70)),成型機資料庫!$K$146:$K$163),0)</f>
        <v>0</v>
      </c>
      <c r="R70" s="899">
        <f t="shared" si="10"/>
        <v>0</v>
      </c>
      <c r="S70" s="898">
        <f t="shared" si="11"/>
        <v>0</v>
      </c>
      <c r="T70" s="482">
        <f>IFERROR(LOOKUP(1,0/((成型機資料庫!$F$146:$F$163=J70)*(成型機資料庫!$G$146:$G$163=K70)),成型機資料庫!$I$146:$I$163),0)</f>
        <v>0</v>
      </c>
      <c r="U70" s="483">
        <f>IFERROR(LOOKUP(1,0/((成型機資料庫!$F$146:$F$163=J70)*(成型機資料庫!$G$146:$G$163=K70)),成型機資料庫!$J$146:$J$163),0)</f>
        <v>0</v>
      </c>
      <c r="V70" s="900">
        <f>IFERROR(LOOKUP(1,0/((成型機資料庫!$F$146:$F$163=J70)*(成型機資料庫!$G$146:$G$163=K70)),成型機資料庫!$L$146:$L$163),0)</f>
        <v>0</v>
      </c>
      <c r="W70" s="898">
        <f t="shared" si="12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3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22</v>
      </c>
      <c r="D71" s="581"/>
      <c r="E71" s="581" t="s">
        <v>43</v>
      </c>
      <c r="F71" s="436" t="s">
        <v>44</v>
      </c>
      <c r="G71" s="927"/>
      <c r="H71" s="464"/>
      <c r="I71" s="429"/>
      <c r="J71" s="429"/>
      <c r="K71" s="429"/>
      <c r="L71" s="464"/>
      <c r="M71" s="464"/>
      <c r="N71" s="900">
        <f t="shared" si="14"/>
        <v>0</v>
      </c>
      <c r="O71" s="901">
        <f t="shared" si="9"/>
        <v>0</v>
      </c>
      <c r="P71" s="460"/>
      <c r="Q71" s="438">
        <f>IFERROR(LOOKUP(1,0/((成型機資料庫!$F$146:$F$163=J71)*(成型機資料庫!$G$146:$G$163=K71)),成型機資料庫!$K$146:$K$163),0)</f>
        <v>0</v>
      </c>
      <c r="R71" s="899">
        <f t="shared" si="10"/>
        <v>0</v>
      </c>
      <c r="S71" s="898">
        <f t="shared" si="11"/>
        <v>0</v>
      </c>
      <c r="T71" s="482">
        <f>IFERROR(LOOKUP(1,0/((成型機資料庫!$F$146:$F$163=J71)*(成型機資料庫!$G$146:$G$163=K71)),成型機資料庫!$I$146:$I$163),0)</f>
        <v>0</v>
      </c>
      <c r="U71" s="483">
        <f>IFERROR(LOOKUP(1,0/((成型機資料庫!$F$146:$F$163=J71)*(成型機資料庫!$G$146:$G$163=K71)),成型機資料庫!$J$146:$J$163),0)</f>
        <v>0</v>
      </c>
      <c r="V71" s="900">
        <f>IFERROR(LOOKUP(1,0/((成型機資料庫!$F$146:$F$163=J71)*(成型機資料庫!$G$146:$G$163=K71)),成型機資料庫!$L$146:$L$163),0)</f>
        <v>0</v>
      </c>
      <c r="W71" s="898">
        <f t="shared" si="12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3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23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4"/>
        <v>0</v>
      </c>
      <c r="O72" s="901">
        <f t="shared" si="9"/>
        <v>0</v>
      </c>
      <c r="P72" s="460"/>
      <c r="Q72" s="438">
        <f>IFERROR(LOOKUP(1,0/((成型機資料庫!$F$146:$F$163=J72)*(成型機資料庫!$G$146:$G$163=K72)),成型機資料庫!$K$146:$K$163),0)</f>
        <v>0</v>
      </c>
      <c r="R72" s="899">
        <f t="shared" si="10"/>
        <v>0</v>
      </c>
      <c r="S72" s="898">
        <f t="shared" si="11"/>
        <v>0</v>
      </c>
      <c r="T72" s="482">
        <f>IFERROR(LOOKUP(1,0/((成型機資料庫!$F$146:$F$163=J72)*(成型機資料庫!$G$146:$G$163=K72)),成型機資料庫!$I$146:$I$163),0)</f>
        <v>0</v>
      </c>
      <c r="U72" s="483">
        <f>IFERROR(LOOKUP(1,0/((成型機資料庫!$F$146:$F$163=J72)*(成型機資料庫!$G$146:$G$163=K72)),成型機資料庫!$J$146:$J$163),0)</f>
        <v>0</v>
      </c>
      <c r="V72" s="900">
        <f>IFERROR(LOOKUP(1,0/((成型機資料庫!$F$146:$F$163=J72)*(成型機資料庫!$G$146:$G$163=K72)),成型機資料庫!$L$146:$L$163),0)</f>
        <v>0</v>
      </c>
      <c r="W72" s="898">
        <f t="shared" si="12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3"/>
        <v>0</v>
      </c>
      <c r="AB72" s="438"/>
      <c r="AC72" s="482"/>
      <c r="AD72" s="464"/>
      <c r="AE72" s="464"/>
      <c r="AF72" s="438"/>
    </row>
    <row r="73" spans="1:32" s="433" customFormat="1" ht="15.75">
      <c r="A73" s="434">
        <v>113</v>
      </c>
      <c r="B73" s="434"/>
      <c r="C73" s="434">
        <v>24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4"/>
        <v>0</v>
      </c>
      <c r="O73" s="901">
        <f t="shared" si="9"/>
        <v>0</v>
      </c>
      <c r="P73" s="460"/>
      <c r="Q73" s="438">
        <f>IFERROR(LOOKUP(1,0/((成型機資料庫!$F$146:$F$163=J73)*(成型機資料庫!$G$146:$G$163=K73)),成型機資料庫!$K$146:$K$163),0)</f>
        <v>0</v>
      </c>
      <c r="R73" s="899">
        <f t="shared" si="10"/>
        <v>0</v>
      </c>
      <c r="S73" s="898">
        <f t="shared" si="11"/>
        <v>0</v>
      </c>
      <c r="T73" s="482">
        <f>IFERROR(LOOKUP(1,0/((成型機資料庫!$F$146:$F$163=J73)*(成型機資料庫!$G$146:$G$163=K73)),成型機資料庫!$I$146:$I$163),0)</f>
        <v>0</v>
      </c>
      <c r="U73" s="483">
        <f>IFERROR(LOOKUP(1,0/((成型機資料庫!$F$146:$F$163=J73)*(成型機資料庫!$G$146:$G$163=K73)),成型機資料庫!$J$146:$J$163),0)</f>
        <v>0</v>
      </c>
      <c r="V73" s="900">
        <f>IFERROR(LOOKUP(1,0/((成型機資料庫!$F$146:$F$163=J73)*(成型機資料庫!$G$146:$G$163=K73)),成型機資料庫!$L$146:$L$163),0)</f>
        <v>0</v>
      </c>
      <c r="W73" s="898">
        <f t="shared" si="12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3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25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4"/>
        <v>0</v>
      </c>
      <c r="O74" s="901">
        <f t="shared" si="9"/>
        <v>0</v>
      </c>
      <c r="P74" s="460"/>
      <c r="Q74" s="438">
        <f>IFERROR(LOOKUP(1,0/((成型機資料庫!$F$146:$F$163=J74)*(成型機資料庫!$G$146:$G$163=K74)),成型機資料庫!$K$146:$K$163),0)</f>
        <v>0</v>
      </c>
      <c r="R74" s="899">
        <f t="shared" si="10"/>
        <v>0</v>
      </c>
      <c r="S74" s="898">
        <f t="shared" si="11"/>
        <v>0</v>
      </c>
      <c r="T74" s="482">
        <f>IFERROR(LOOKUP(1,0/((成型機資料庫!$F$146:$F$163=J74)*(成型機資料庫!$G$146:$G$163=K74)),成型機資料庫!$I$146:$I$163),0)</f>
        <v>0</v>
      </c>
      <c r="U74" s="483">
        <f>IFERROR(LOOKUP(1,0/((成型機資料庫!$F$146:$F$163=J74)*(成型機資料庫!$G$146:$G$163=K74)),成型機資料庫!$J$146:$J$163),0)</f>
        <v>0</v>
      </c>
      <c r="V74" s="900">
        <f>IFERROR(LOOKUP(1,0/((成型機資料庫!$F$146:$F$163=J74)*(成型機資料庫!$G$146:$G$163=K74)),成型機資料庫!$L$146:$L$163),0)</f>
        <v>0</v>
      </c>
      <c r="W74" s="898">
        <f t="shared" si="12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3"/>
        <v>0</v>
      </c>
      <c r="AB74" s="438"/>
      <c r="AC74" s="482"/>
      <c r="AD74" s="464"/>
      <c r="AE74" s="464"/>
      <c r="AF74" s="438"/>
    </row>
    <row r="75" spans="1:32" s="433" customFormat="1" ht="15.75">
      <c r="A75" s="434">
        <v>113</v>
      </c>
      <c r="B75" s="434"/>
      <c r="C75" s="434">
        <v>26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4"/>
        <v>0</v>
      </c>
      <c r="O75" s="901">
        <f t="shared" si="9"/>
        <v>0</v>
      </c>
      <c r="P75" s="460"/>
      <c r="Q75" s="438">
        <f>IFERROR(LOOKUP(1,0/((成型機資料庫!$F$146:$F$163=J75)*(成型機資料庫!$G$146:$G$163=K75)),成型機資料庫!$K$146:$K$163),0)</f>
        <v>0</v>
      </c>
      <c r="R75" s="899">
        <f t="shared" si="10"/>
        <v>0</v>
      </c>
      <c r="S75" s="898">
        <f t="shared" si="11"/>
        <v>0</v>
      </c>
      <c r="T75" s="482">
        <f>IFERROR(LOOKUP(1,0/((成型機資料庫!$F$146:$F$163=J75)*(成型機資料庫!$G$146:$G$163=K75)),成型機資料庫!$I$146:$I$163),0)</f>
        <v>0</v>
      </c>
      <c r="U75" s="483">
        <f>IFERROR(LOOKUP(1,0/((成型機資料庫!$F$146:$F$163=J75)*(成型機資料庫!$G$146:$G$163=K75)),成型機資料庫!$J$146:$J$163),0)</f>
        <v>0</v>
      </c>
      <c r="V75" s="900">
        <f>IFERROR(LOOKUP(1,0/((成型機資料庫!$F$146:$F$163=J75)*(成型機資料庫!$G$146:$G$163=K75)),成型機資料庫!$L$146:$L$163),0)</f>
        <v>0</v>
      </c>
      <c r="W75" s="898">
        <f t="shared" si="12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3"/>
        <v>0</v>
      </c>
      <c r="AB75" s="438"/>
      <c r="AC75" s="482"/>
      <c r="AD75" s="438"/>
      <c r="AE75" s="464"/>
      <c r="AF75" s="438"/>
    </row>
    <row r="76" spans="1:32" s="433" customFormat="1" ht="15.75">
      <c r="A76" s="434">
        <v>113</v>
      </c>
      <c r="B76" s="434"/>
      <c r="C76" s="434">
        <v>27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4"/>
        <v>0</v>
      </c>
      <c r="O76" s="901">
        <f t="shared" si="9"/>
        <v>0</v>
      </c>
      <c r="P76" s="460"/>
      <c r="Q76" s="438">
        <f>IFERROR(LOOKUP(1,0/((成型機資料庫!$F$146:$F$163=J76)*(成型機資料庫!$G$146:$G$163=K76)),成型機資料庫!$K$146:$K$163),0)</f>
        <v>0</v>
      </c>
      <c r="R76" s="899">
        <f t="shared" si="10"/>
        <v>0</v>
      </c>
      <c r="S76" s="898">
        <f t="shared" si="11"/>
        <v>0</v>
      </c>
      <c r="T76" s="482">
        <f>IFERROR(LOOKUP(1,0/((成型機資料庫!$F$146:$F$163=J76)*(成型機資料庫!$G$146:$G$163=K76)),成型機資料庫!$I$146:$I$163),0)</f>
        <v>0</v>
      </c>
      <c r="U76" s="483">
        <f>IFERROR(LOOKUP(1,0/((成型機資料庫!$F$146:$F$163=J76)*(成型機資料庫!$G$146:$G$163=K76)),成型機資料庫!$J$146:$J$163),0)</f>
        <v>0</v>
      </c>
      <c r="V76" s="900">
        <f>IFERROR(LOOKUP(1,0/((成型機資料庫!$F$146:$F$163=J76)*(成型機資料庫!$G$146:$G$163=K76)),成型機資料庫!$L$146:$L$163),0)</f>
        <v>0</v>
      </c>
      <c r="W76" s="898">
        <f t="shared" si="12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3"/>
        <v>0</v>
      </c>
      <c r="AB76" s="438"/>
      <c r="AC76" s="482"/>
      <c r="AD76" s="464"/>
      <c r="AE76" s="438"/>
      <c r="AF76" s="438"/>
    </row>
    <row r="77" spans="1:32" s="433" customFormat="1" ht="15.75">
      <c r="A77" s="434">
        <v>113</v>
      </c>
      <c r="B77" s="581"/>
      <c r="C77" s="581">
        <v>28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4"/>
        <v>0</v>
      </c>
      <c r="O77" s="901">
        <f t="shared" si="9"/>
        <v>0</v>
      </c>
      <c r="P77" s="460"/>
      <c r="Q77" s="438">
        <f>IFERROR(LOOKUP(1,0/((成型機資料庫!$F$146:$F$163=J77)*(成型機資料庫!$G$146:$G$163=K77)),成型機資料庫!$K$146:$K$163),0)</f>
        <v>0</v>
      </c>
      <c r="R77" s="899">
        <f t="shared" si="10"/>
        <v>0</v>
      </c>
      <c r="S77" s="898">
        <f t="shared" si="11"/>
        <v>0</v>
      </c>
      <c r="T77" s="482">
        <f>IFERROR(LOOKUP(1,0/((成型機資料庫!$F$146:$F$163=J77)*(成型機資料庫!$G$146:$G$163=K77)),成型機資料庫!$I$146:$I$163),0)</f>
        <v>0</v>
      </c>
      <c r="U77" s="483">
        <f>IFERROR(LOOKUP(1,0/((成型機資料庫!$F$146:$F$163=J77)*(成型機資料庫!$G$146:$G$163=K77)),成型機資料庫!$J$146:$J$163),0)</f>
        <v>0</v>
      </c>
      <c r="V77" s="900">
        <f>IFERROR(LOOKUP(1,0/((成型機資料庫!$F$146:$F$163=J77)*(成型機資料庫!$G$146:$G$163=K77)),成型機資料庫!$L$146:$L$163),0)</f>
        <v>0</v>
      </c>
      <c r="W77" s="898">
        <f t="shared" si="12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3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581"/>
      <c r="C78" s="581">
        <v>29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4"/>
        <v>0</v>
      </c>
      <c r="O78" s="901">
        <f t="shared" si="9"/>
        <v>0</v>
      </c>
      <c r="P78" s="460"/>
      <c r="Q78" s="438">
        <f>IFERROR(LOOKUP(1,0/((成型機資料庫!$F$146:$F$163=J78)*(成型機資料庫!$G$146:$G$163=K78)),成型機資料庫!$K$146:$K$163),0)</f>
        <v>0</v>
      </c>
      <c r="R78" s="899">
        <f t="shared" si="10"/>
        <v>0</v>
      </c>
      <c r="S78" s="898">
        <f t="shared" si="11"/>
        <v>0</v>
      </c>
      <c r="T78" s="482">
        <f>IFERROR(LOOKUP(1,0/((成型機資料庫!$F$146:$F$163=J78)*(成型機資料庫!$G$146:$G$163=K78)),成型機資料庫!$I$146:$I$163),0)</f>
        <v>0</v>
      </c>
      <c r="U78" s="483">
        <f>IFERROR(LOOKUP(1,0/((成型機資料庫!$F$146:$F$163=J78)*(成型機資料庫!$G$146:$G$163=K78)),成型機資料庫!$J$146:$J$163),0)</f>
        <v>0</v>
      </c>
      <c r="V78" s="900">
        <f>IFERROR(LOOKUP(1,0/((成型機資料庫!$F$146:$F$163=J78)*(成型機資料庫!$G$146:$G$163=K78)),成型機資料庫!$L$146:$L$163),0)</f>
        <v>0</v>
      </c>
      <c r="W78" s="898">
        <f t="shared" si="12"/>
        <v>0</v>
      </c>
      <c r="X78" s="923">
        <f t="shared" si="15"/>
        <v>0</v>
      </c>
      <c r="Y78" s="898">
        <f t="shared" si="16"/>
        <v>0</v>
      </c>
      <c r="Z78" s="923"/>
      <c r="AA78" s="478">
        <f t="shared" si="13"/>
        <v>0</v>
      </c>
      <c r="AB78" s="438"/>
      <c r="AC78" s="482"/>
      <c r="AD78" s="464"/>
      <c r="AE78" s="464"/>
      <c r="AF78" s="438"/>
    </row>
    <row r="79" spans="1:32" s="433" customFormat="1" ht="15.75">
      <c r="A79" s="434">
        <v>113</v>
      </c>
      <c r="B79" s="581"/>
      <c r="C79" s="581">
        <v>30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4"/>
        <v>0</v>
      </c>
      <c r="O79" s="901">
        <f t="shared" si="9"/>
        <v>0</v>
      </c>
      <c r="P79" s="460"/>
      <c r="Q79" s="438">
        <f>IFERROR(LOOKUP(1,0/((成型機資料庫!$F$146:$F$163=J79)*(成型機資料庫!$G$146:$G$163=K79)),成型機資料庫!$K$146:$K$163),0)</f>
        <v>0</v>
      </c>
      <c r="R79" s="899">
        <f t="shared" si="10"/>
        <v>0</v>
      </c>
      <c r="S79" s="898">
        <f t="shared" si="11"/>
        <v>0</v>
      </c>
      <c r="T79" s="482">
        <f>IFERROR(LOOKUP(1,0/((成型機資料庫!$F$146:$F$163=J79)*(成型機資料庫!$G$146:$G$163=K79)),成型機資料庫!$I$146:$I$163),0)</f>
        <v>0</v>
      </c>
      <c r="U79" s="483">
        <f>IFERROR(LOOKUP(1,0/((成型機資料庫!$F$146:$F$163=J79)*(成型機資料庫!$G$146:$G$163=K79)),成型機資料庫!$J$146:$J$163),0)</f>
        <v>0</v>
      </c>
      <c r="V79" s="900">
        <f>IFERROR(LOOKUP(1,0/((成型機資料庫!$F$146:$F$163=J79)*(成型機資料庫!$G$146:$G$163=K79)),成型機資料庫!$L$146:$L$163),0)</f>
        <v>0</v>
      </c>
      <c r="W79" s="898">
        <f t="shared" si="12"/>
        <v>0</v>
      </c>
      <c r="X79" s="923">
        <f t="shared" si="15"/>
        <v>0</v>
      </c>
      <c r="Y79" s="898">
        <f t="shared" si="16"/>
        <v>0</v>
      </c>
      <c r="Z79" s="923"/>
      <c r="AA79" s="478">
        <f t="shared" si="13"/>
        <v>0</v>
      </c>
      <c r="AB79" s="438"/>
      <c r="AC79" s="482"/>
      <c r="AD79" s="464"/>
      <c r="AE79" s="438"/>
      <c r="AF79" s="438"/>
    </row>
    <row r="80" spans="1:32" s="433" customFormat="1" ht="15.75">
      <c r="A80" s="446"/>
      <c r="B80" s="456"/>
      <c r="C80" s="456"/>
      <c r="D80" s="456"/>
      <c r="E80" s="456"/>
      <c r="F80" s="448"/>
      <c r="G80" s="951"/>
      <c r="H80" s="452"/>
      <c r="I80" s="430"/>
      <c r="J80" s="469"/>
      <c r="K80" s="469"/>
      <c r="L80" s="452"/>
      <c r="M80" s="452"/>
      <c r="N80" s="945"/>
      <c r="O80" s="946"/>
      <c r="P80" s="868"/>
      <c r="Q80" s="467"/>
      <c r="R80" s="948"/>
      <c r="S80" s="936"/>
      <c r="T80" s="936"/>
      <c r="U80" s="936"/>
      <c r="V80" s="945"/>
      <c r="W80" s="936"/>
      <c r="X80" s="947"/>
      <c r="Y80" s="936"/>
      <c r="Z80" s="947"/>
      <c r="AA80" s="488"/>
      <c r="AB80" s="439"/>
      <c r="AC80" s="471"/>
      <c r="AD80" s="452"/>
      <c r="AE80" s="439"/>
      <c r="AF80" s="439"/>
    </row>
    <row r="81" spans="1:32" s="433" customFormat="1" ht="15.75">
      <c r="A81" s="446"/>
      <c r="B81" s="456"/>
      <c r="C81" s="456"/>
      <c r="D81" s="456"/>
      <c r="E81" s="456"/>
      <c r="F81" s="448"/>
      <c r="G81" s="951"/>
      <c r="H81" s="452"/>
      <c r="I81" s="430"/>
      <c r="J81" s="469"/>
      <c r="K81" s="469"/>
      <c r="L81" s="452"/>
      <c r="M81" s="452"/>
      <c r="N81" s="945"/>
      <c r="O81" s="946"/>
      <c r="P81" s="868"/>
      <c r="Q81" s="467"/>
      <c r="R81" s="948"/>
      <c r="S81" s="936"/>
      <c r="T81" s="936"/>
      <c r="U81" s="936"/>
      <c r="V81" s="945"/>
      <c r="W81" s="936"/>
      <c r="X81" s="947"/>
      <c r="Y81" s="936"/>
      <c r="Z81" s="947"/>
      <c r="AA81" s="488"/>
      <c r="AB81" s="439"/>
      <c r="AC81" s="471"/>
      <c r="AD81" s="452"/>
      <c r="AE81" s="439"/>
      <c r="AF81" s="439"/>
    </row>
    <row r="82" spans="1:32" s="433" customFormat="1" thickBot="1">
      <c r="A82" s="446"/>
      <c r="B82" s="446"/>
      <c r="C82" s="446"/>
      <c r="D82" s="446"/>
      <c r="E82" s="446"/>
      <c r="F82" s="448"/>
      <c r="G82" s="448"/>
      <c r="H82" s="430"/>
      <c r="I82" s="430"/>
      <c r="J82" s="430"/>
      <c r="K82" s="430"/>
      <c r="L82" s="439"/>
      <c r="M82" s="452"/>
      <c r="N82" s="452"/>
      <c r="O82" s="457"/>
      <c r="P82" s="466"/>
      <c r="Q82" s="467"/>
      <c r="R82" s="486"/>
      <c r="S82" s="457"/>
      <c r="T82" s="457"/>
      <c r="U82" s="457"/>
      <c r="V82" s="458"/>
      <c r="W82" s="487">
        <f>SUM(W50:W79)</f>
        <v>0</v>
      </c>
      <c r="X82" s="487"/>
      <c r="Y82" s="487"/>
      <c r="Z82" s="487"/>
      <c r="AA82" s="488"/>
      <c r="AB82" s="489"/>
      <c r="AC82" s="489"/>
      <c r="AD82" s="469" t="s">
        <v>46</v>
      </c>
      <c r="AE82" s="439"/>
      <c r="AF82" s="439"/>
    </row>
    <row r="83" spans="1:32" s="469" customFormat="1" ht="31.5">
      <c r="A83" s="479"/>
      <c r="B83" s="479"/>
      <c r="C83" s="479"/>
      <c r="D83" s="479"/>
      <c r="E83" s="479"/>
      <c r="F83" s="452"/>
      <c r="G83" s="524" t="s">
        <v>503</v>
      </c>
      <c r="H83" s="517"/>
      <c r="I83" s="518"/>
      <c r="L83" s="1842" t="s">
        <v>1349</v>
      </c>
      <c r="M83" s="525" t="s">
        <v>1294</v>
      </c>
      <c r="N83" s="525" t="s">
        <v>1295</v>
      </c>
      <c r="O83" s="526" t="s">
        <v>458</v>
      </c>
      <c r="P83" s="520"/>
      <c r="Q83" s="521"/>
      <c r="R83" s="524" t="s">
        <v>504</v>
      </c>
      <c r="S83" s="524" t="s">
        <v>455</v>
      </c>
      <c r="T83" s="521"/>
      <c r="U83" s="521"/>
      <c r="V83" s="524" t="s">
        <v>1293</v>
      </c>
      <c r="W83" s="524" t="s">
        <v>459</v>
      </c>
      <c r="X83" s="521"/>
      <c r="Y83" s="524" t="s">
        <v>1345</v>
      </c>
      <c r="Z83" s="524" t="s">
        <v>1350</v>
      </c>
      <c r="AA83" s="524" t="s">
        <v>1351</v>
      </c>
      <c r="AB83" s="524" t="s">
        <v>1353</v>
      </c>
      <c r="AC83" s="524" t="s">
        <v>1352</v>
      </c>
      <c r="AD83" s="469" t="s">
        <v>253</v>
      </c>
      <c r="AE83" s="452"/>
      <c r="AF83" s="452"/>
    </row>
    <row r="84" spans="1:32" thickBot="1">
      <c r="G84" s="522">
        <f>SUM(G50:G79)</f>
        <v>0</v>
      </c>
      <c r="I84" s="431"/>
      <c r="J84" s="518"/>
      <c r="K84" s="518"/>
      <c r="L84" s="1843"/>
      <c r="M84" s="522">
        <f>SUM(M50:M79)</f>
        <v>0</v>
      </c>
      <c r="N84" s="522">
        <f>SUM(N50:N79)</f>
        <v>0</v>
      </c>
      <c r="O84" s="902">
        <f>SUM(O50:O79)</f>
        <v>0</v>
      </c>
      <c r="P84" s="470"/>
      <c r="R84" s="924">
        <f>SUM(R50:R79)</f>
        <v>0</v>
      </c>
      <c r="S84" s="897" t="e">
        <f>(G84-R84)/G84</f>
        <v>#DIV/0!</v>
      </c>
      <c r="T84" s="446"/>
      <c r="U84" s="446"/>
      <c r="V84" s="686" t="e">
        <f>N84/W84</f>
        <v>#DIV/0!</v>
      </c>
      <c r="W84" s="516" t="e">
        <f>W82/Y84</f>
        <v>#DIV/0!</v>
      </c>
      <c r="X84" s="446"/>
      <c r="Y84" s="516"/>
      <c r="Z84" s="958">
        <f>SUM(Z50:Z79)</f>
        <v>0</v>
      </c>
      <c r="AA84" s="516">
        <f>SUM(AA50:AA79)</f>
        <v>0</v>
      </c>
      <c r="AB84" s="516">
        <f>Z84-AA84</f>
        <v>0</v>
      </c>
      <c r="AC84" s="896" t="e">
        <f>AA84/Z84</f>
        <v>#DIV/0!</v>
      </c>
    </row>
    <row r="85" spans="1:32">
      <c r="O85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48:AF49"/>
    <mergeCell ref="L83:L84"/>
    <mergeCell ref="X48:X49"/>
    <mergeCell ref="Y48:Y49"/>
    <mergeCell ref="Z48:Z49"/>
    <mergeCell ref="AA48:AA49"/>
    <mergeCell ref="AB48:AC48"/>
    <mergeCell ref="AD48:AD49"/>
    <mergeCell ref="R48:R49"/>
    <mergeCell ref="S48:S49"/>
    <mergeCell ref="T48:T49"/>
    <mergeCell ref="U48:U49"/>
    <mergeCell ref="V48:V49"/>
    <mergeCell ref="W48:W49"/>
    <mergeCell ref="L48:L49"/>
    <mergeCell ref="P48:P49"/>
    <mergeCell ref="AB2:AC2"/>
    <mergeCell ref="AD2:AD3"/>
    <mergeCell ref="AE2:AE3"/>
    <mergeCell ref="M48:M49"/>
    <mergeCell ref="N48:N49"/>
    <mergeCell ref="O48:O49"/>
    <mergeCell ref="Q48:Q49"/>
    <mergeCell ref="AE48:AE49"/>
    <mergeCell ref="AF2:AF3"/>
    <mergeCell ref="L44:L45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8:A49"/>
    <mergeCell ref="B48:B49"/>
    <mergeCell ref="C48:C49"/>
    <mergeCell ref="D48:D49"/>
    <mergeCell ref="E48:E49"/>
    <mergeCell ref="K48:K49"/>
    <mergeCell ref="F48:F49"/>
    <mergeCell ref="G48:G49"/>
    <mergeCell ref="H48:H49"/>
    <mergeCell ref="I48:I49"/>
    <mergeCell ref="J48:J49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7">
    <cfRule type="cellIs" dxfId="581" priority="3" stopIfTrue="1" operator="equal">
      <formula>"未開機"</formula>
    </cfRule>
  </conditionalFormatting>
  <conditionalFormatting sqref="R50:U81">
    <cfRule type="expression" dxfId="580" priority="1" stopIfTrue="1">
      <formula>R50=0</formula>
    </cfRule>
  </conditionalFormatting>
  <conditionalFormatting sqref="W11:W42">
    <cfRule type="cellIs" dxfId="579" priority="34" stopIfTrue="1" operator="between">
      <formula>0.851</formula>
      <formula>1</formula>
    </cfRule>
    <cfRule type="cellIs" dxfId="578" priority="33" stopIfTrue="1" operator="lessThan">
      <formula>0.7</formula>
    </cfRule>
    <cfRule type="expression" dxfId="577" priority="32" stopIfTrue="1">
      <formula>W11=0</formula>
    </cfRule>
    <cfRule type="expression" dxfId="576" priority="36" stopIfTrue="1">
      <formula>W11=0</formula>
    </cfRule>
    <cfRule type="cellIs" dxfId="575" priority="35" stopIfTrue="1" operator="between">
      <formula>0.7</formula>
      <formula>0.85</formula>
    </cfRule>
  </conditionalFormatting>
  <conditionalFormatting sqref="W50:W81">
    <cfRule type="expression" dxfId="574" priority="15" stopIfTrue="1">
      <formula>W50=0</formula>
    </cfRule>
    <cfRule type="cellIs" dxfId="573" priority="16" stopIfTrue="1" operator="lessThan">
      <formula>0.7</formula>
    </cfRule>
    <cfRule type="cellIs" dxfId="572" priority="17" stopIfTrue="1" operator="between">
      <formula>0.851</formula>
      <formula>1</formula>
    </cfRule>
    <cfRule type="cellIs" dxfId="571" priority="18" stopIfTrue="1" operator="between">
      <formula>0.7</formula>
      <formula>0.85</formula>
    </cfRule>
    <cfRule type="expression" dxfId="570" priority="19" stopIfTrue="1">
      <formula>W50=0</formula>
    </cfRule>
  </conditionalFormatting>
  <conditionalFormatting sqref="W4:Y9 S4:U4 S5:S9 T5:U40 R11:S40 Z11:Z42 R41:U42">
    <cfRule type="expression" dxfId="569" priority="40" stopIfTrue="1">
      <formula>R4=0</formula>
    </cfRule>
  </conditionalFormatting>
  <conditionalFormatting sqref="W4:Y9">
    <cfRule type="cellIs" dxfId="568" priority="37" stopIfTrue="1" operator="lessThan">
      <formula>0.7</formula>
    </cfRule>
    <cfRule type="cellIs" dxfId="567" priority="38" stopIfTrue="1" operator="between">
      <formula>0.851</formula>
      <formula>1</formula>
    </cfRule>
    <cfRule type="cellIs" dxfId="566" priority="39" stopIfTrue="1" operator="between">
      <formula>0.7</formula>
      <formula>0.85</formula>
    </cfRule>
  </conditionalFormatting>
  <conditionalFormatting sqref="X12:X42">
    <cfRule type="cellIs" dxfId="565" priority="22" stopIfTrue="1" operator="lessThan">
      <formula>0.7</formula>
    </cfRule>
    <cfRule type="cellIs" dxfId="564" priority="23" stopIfTrue="1" operator="between">
      <formula>0.851</formula>
      <formula>1</formula>
    </cfRule>
    <cfRule type="cellIs" dxfId="563" priority="24" stopIfTrue="1" operator="between">
      <formula>0.7</formula>
      <formula>0.85</formula>
    </cfRule>
    <cfRule type="expression" dxfId="562" priority="25" stopIfTrue="1">
      <formula>X12=0</formula>
    </cfRule>
    <cfRule type="expression" dxfId="561" priority="21" stopIfTrue="1">
      <formula>X12=0</formula>
    </cfRule>
  </conditionalFormatting>
  <conditionalFormatting sqref="X51:X81">
    <cfRule type="expression" dxfId="560" priority="4" stopIfTrue="1">
      <formula>X51=0</formula>
    </cfRule>
    <cfRule type="cellIs" dxfId="559" priority="5" stopIfTrue="1" operator="lessThan">
      <formula>0.7</formula>
    </cfRule>
    <cfRule type="cellIs" dxfId="558" priority="6" stopIfTrue="1" operator="between">
      <formula>0.851</formula>
      <formula>1</formula>
    </cfRule>
    <cfRule type="cellIs" dxfId="557" priority="7" stopIfTrue="1" operator="between">
      <formula>0.7</formula>
      <formula>0.85</formula>
    </cfRule>
    <cfRule type="expression" dxfId="556" priority="8" stopIfTrue="1">
      <formula>X51=0</formula>
    </cfRule>
  </conditionalFormatting>
  <conditionalFormatting sqref="X11:Y11 Y12:Y42">
    <cfRule type="expression" dxfId="555" priority="27" stopIfTrue="1">
      <formula>X11=0</formula>
    </cfRule>
    <cfRule type="cellIs" dxfId="554" priority="28" stopIfTrue="1" operator="lessThan">
      <formula>0.7</formula>
    </cfRule>
    <cfRule type="cellIs" dxfId="553" priority="29" stopIfTrue="1" operator="between">
      <formula>0.851</formula>
      <formula>1</formula>
    </cfRule>
    <cfRule type="cellIs" dxfId="552" priority="30" stopIfTrue="1" operator="between">
      <formula>0.7</formula>
      <formula>0.85</formula>
    </cfRule>
    <cfRule type="expression" dxfId="551" priority="31" stopIfTrue="1">
      <formula>X11=0</formula>
    </cfRule>
  </conditionalFormatting>
  <conditionalFormatting sqref="X50:Y50 Y51:Y81">
    <cfRule type="expression" dxfId="550" priority="10" stopIfTrue="1">
      <formula>X50=0</formula>
    </cfRule>
    <cfRule type="expression" dxfId="549" priority="14" stopIfTrue="1">
      <formula>X50=0</formula>
    </cfRule>
    <cfRule type="cellIs" dxfId="548" priority="13" stopIfTrue="1" operator="between">
      <formula>0.7</formula>
      <formula>0.85</formula>
    </cfRule>
    <cfRule type="cellIs" dxfId="547" priority="12" stopIfTrue="1" operator="between">
      <formula>0.851</formula>
      <formula>1</formula>
    </cfRule>
    <cfRule type="cellIs" dxfId="546" priority="11" stopIfTrue="1" operator="lessThan">
      <formula>0.7</formula>
    </cfRule>
  </conditionalFormatting>
  <conditionalFormatting sqref="Y11:Y42">
    <cfRule type="cellIs" dxfId="545" priority="26" stopIfTrue="1" operator="greaterThan">
      <formula>1</formula>
    </cfRule>
  </conditionalFormatting>
  <conditionalFormatting sqref="Y50:Y81">
    <cfRule type="cellIs" dxfId="544" priority="9" stopIfTrue="1" operator="greaterThan">
      <formula>1</formula>
    </cfRule>
  </conditionalFormatting>
  <conditionalFormatting sqref="Z50:Z81">
    <cfRule type="expression" dxfId="543" priority="20" stopIfTrue="1">
      <formula>Z50=0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09F1D2-39F7-415F-9433-D6784CAF51DE}">
          <x14:formula1>
            <xm:f>成型機資料庫!$A$9:$A$11</xm:f>
          </x14:formula1>
          <xm:sqref>K4:K40 K50:K79</xm:sqref>
        </x14:dataValidation>
        <x14:dataValidation type="list" allowBlank="1" showInputMessage="1" showErrorMessage="1" xr:uid="{33FA69AA-C682-4884-A41C-D3F23555BB8B}">
          <x14:formula1>
            <xm:f>規格清單!$I$22:$I$27</xm:f>
          </x14:formula1>
          <xm:sqref>J50:J79 J4:J40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C91A-4ED9-469E-AAF9-5416E0858269}">
  <dimension ref="A1:BD83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473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943</v>
      </c>
      <c r="I4" s="429" t="s">
        <v>660</v>
      </c>
      <c r="J4" s="429" t="s">
        <v>1460</v>
      </c>
      <c r="K4" s="429" t="s">
        <v>1301</v>
      </c>
      <c r="L4" s="464">
        <v>600</v>
      </c>
      <c r="M4" s="464"/>
      <c r="N4" s="464"/>
      <c r="O4" s="443">
        <f>L4*M4</f>
        <v>0</v>
      </c>
      <c r="P4" s="461">
        <v>2.2999999999999998</v>
      </c>
      <c r="Q4" s="438">
        <f>IFERROR(LOOKUP(1,0/((成型機資料庫!$F$164:$F$175=J4)*(成型機資料庫!$G$164:$G$175=K4)),成型機資料庫!$K$164:$K$175),0)</f>
        <v>2000</v>
      </c>
      <c r="R4" s="477">
        <f>M4*Q4*P4/1000</f>
        <v>0</v>
      </c>
      <c r="S4" s="898">
        <f>IFERROR((G4-R4)/G4,0)</f>
        <v>0</v>
      </c>
      <c r="T4" s="482">
        <f>IFERROR(LOOKUP(1,0/((成型機資料庫!$F$164:$F$175=J4)*(成型機資料庫!$G$164:$G$175=K4)),成型機資料庫!$I$164:$I$175),0)</f>
        <v>56</v>
      </c>
      <c r="U4" s="483">
        <f>IFERROR(LOOKUP(1,0/((成型機資料庫!$F$164:$F$175=J4)*(成型機資料庫!$G$164:$G$175=K4)),成型機資料庫!$J$164:$J$175),0)</f>
        <v>10.7</v>
      </c>
      <c r="V4" s="900">
        <f>IFERROR(LOOKUP(1,0/((成型機資料庫!$F$164:$F$175=J4)*(成型機資料庫!$G$164:$G$175=K4)),成型機資料庫!$L$164:$L$175),0)</f>
        <v>197.73599999999996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59</v>
      </c>
      <c r="G5" s="464"/>
      <c r="H5" s="464" t="s">
        <v>1254</v>
      </c>
      <c r="I5" s="429" t="s">
        <v>469</v>
      </c>
      <c r="J5" s="429" t="s">
        <v>1461</v>
      </c>
      <c r="K5" s="429" t="s">
        <v>1301</v>
      </c>
      <c r="L5" s="464">
        <v>280</v>
      </c>
      <c r="M5" s="464"/>
      <c r="N5" s="464"/>
      <c r="O5" s="443">
        <f t="shared" ref="O5:O38" si="0">L5*M5</f>
        <v>0</v>
      </c>
      <c r="P5" s="461">
        <v>3.2</v>
      </c>
      <c r="Q5" s="438">
        <f>IFERROR(LOOKUP(1,0/((成型機資料庫!$F$164:$F$175=J5)*(成型機資料庫!$G$164:$G$175=K5)),成型機資料庫!$K$164:$K$175),0)</f>
        <v>1000</v>
      </c>
      <c r="R5" s="477"/>
      <c r="S5" s="898"/>
      <c r="T5" s="482">
        <f>IFERROR(LOOKUP(1,0/((成型機資料庫!$F$164:$F$175=J5)*(成型機資料庫!$G$164:$G$175=K5)),成型機資料庫!$I$164:$I$175),0)</f>
        <v>56</v>
      </c>
      <c r="U5" s="483">
        <f>IFERROR(LOOKUP(1,0/((成型機資料庫!$F$164:$F$175=J5)*(成型機資料庫!$G$164:$G$175=K5)),成型機資料庫!$J$164:$J$175),0)</f>
        <v>8.6</v>
      </c>
      <c r="V5" s="900">
        <f>IFERROR(LOOKUP(1,0/((成型機資料庫!$F$164:$F$175=J5)*(成型機資料庫!$G$164:$G$175=K5)),成型機資料庫!$L$164:$L$175),0)</f>
        <v>317.85599999999994</v>
      </c>
      <c r="W5" s="898"/>
      <c r="X5" s="898"/>
      <c r="Y5" s="898"/>
      <c r="Z5" s="485"/>
      <c r="AA5" s="478">
        <f t="shared" ref="AA5:AA38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1360</v>
      </c>
      <c r="I6" s="429" t="s">
        <v>474</v>
      </c>
      <c r="J6" s="429" t="s">
        <v>1462</v>
      </c>
      <c r="K6" s="429" t="s">
        <v>1301</v>
      </c>
      <c r="L6" s="464">
        <v>300</v>
      </c>
      <c r="M6" s="464"/>
      <c r="N6" s="464"/>
      <c r="O6" s="443">
        <f t="shared" si="0"/>
        <v>0</v>
      </c>
      <c r="P6" s="461">
        <v>2.2999999999999998</v>
      </c>
      <c r="Q6" s="438">
        <f>IFERROR(LOOKUP(1,0/((成型機資料庫!$F$164:$F$175=J6)*(成型機資料庫!$G$164:$G$175=K6)),成型機資料庫!$K$164:$K$175),0)</f>
        <v>2000</v>
      </c>
      <c r="R6" s="477"/>
      <c r="S6" s="898"/>
      <c r="T6" s="482">
        <f>IFERROR(LOOKUP(1,0/((成型機資料庫!$F$164:$F$175=J6)*(成型機資料庫!$G$164:$G$175=K6)),成型機資料庫!$I$164:$I$175),0)</f>
        <v>56</v>
      </c>
      <c r="U6" s="483">
        <f>IFERROR(LOOKUP(1,0/((成型機資料庫!$F$164:$F$175=J6)*(成型機資料庫!$G$164:$G$175=K6)),成型機資料庫!$J$164:$J$175),0)</f>
        <v>10.7</v>
      </c>
      <c r="V6" s="900">
        <f>IFERROR(LOOKUP(1,0/((成型機資料庫!$F$164:$F$175=J6)*(成型機資料庫!$G$164:$G$175=K6)),成型機資料庫!$L$164:$L$175),0)</f>
        <v>197.73599999999996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29" t="s">
        <v>1364</v>
      </c>
      <c r="I7" s="429" t="s">
        <v>1365</v>
      </c>
      <c r="J7" s="429" t="s">
        <v>1463</v>
      </c>
      <c r="K7" s="429" t="s">
        <v>1301</v>
      </c>
      <c r="L7" s="438">
        <v>230</v>
      </c>
      <c r="M7" s="464"/>
      <c r="N7" s="464"/>
      <c r="O7" s="443">
        <f t="shared" si="0"/>
        <v>0</v>
      </c>
      <c r="P7" s="461">
        <v>3.5</v>
      </c>
      <c r="Q7" s="438">
        <f>IFERROR(LOOKUP(1,0/((成型機資料庫!$F$164:$F$175=J7)*(成型機資料庫!$G$164:$G$175=K7)),成型機資料庫!$K$164:$K$175),0)</f>
        <v>1000</v>
      </c>
      <c r="R7" s="477"/>
      <c r="S7" s="898"/>
      <c r="T7" s="482">
        <f>IFERROR(LOOKUP(1,0/((成型機資料庫!$F$164:$F$175=J7)*(成型機資料庫!$G$164:$G$175=K7)),成型機資料庫!$I$164:$I$175),0)</f>
        <v>30</v>
      </c>
      <c r="U7" s="483">
        <f>IFERROR(LOOKUP(1,0/((成型機資料庫!$F$164:$F$175=J7)*(成型機資料庫!$G$164:$G$175=K7)),成型機資料庫!$J$164:$J$175),0)</f>
        <v>9.5</v>
      </c>
      <c r="V7" s="900">
        <f>IFERROR(LOOKUP(1,0/((成型機資料庫!$F$164:$F$175=J7)*(成型機資料庫!$G$164:$G$175=K7)),成型機資料庫!$L$164:$L$175),0)</f>
        <v>188.1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thickBot="1">
      <c r="A8" s="496"/>
      <c r="B8" s="496"/>
      <c r="C8" s="496"/>
      <c r="D8" s="496"/>
      <c r="E8" s="496"/>
      <c r="F8" s="497"/>
      <c r="G8" s="500"/>
      <c r="H8" s="500"/>
      <c r="I8" s="498"/>
      <c r="J8" s="498"/>
      <c r="K8" s="498"/>
      <c r="L8" s="500"/>
      <c r="M8" s="500"/>
      <c r="N8" s="500"/>
      <c r="O8" s="501">
        <f t="shared" si="0"/>
        <v>0</v>
      </c>
      <c r="P8" s="528"/>
      <c r="Q8" s="499">
        <f>IFERROR(LOOKUP(1,0/((成型機資料庫!$F$164:$F$175=J8)*(成型機資料庫!$G$164:$G$175=K8)),成型機資料庫!$K$164:$K$175),0)</f>
        <v>0</v>
      </c>
      <c r="R8" s="502"/>
      <c r="S8" s="503"/>
      <c r="T8" s="509">
        <f>IFERROR(LOOKUP(1,0/((成型機資料庫!$F$164:$F$175=J8)*(成型機資料庫!$G$164:$G$175=K8)),成型機資料庫!$I$164:$I$175),0)</f>
        <v>0</v>
      </c>
      <c r="U8" s="505">
        <f>IFERROR(LOOKUP(1,0/((成型機資料庫!$F$164:$F$175=J8)*(成型機資料庫!$G$164:$G$175=K8)),成型機資料庫!$J$164:$J$175),0)</f>
        <v>0</v>
      </c>
      <c r="V8" s="991">
        <f>IFERROR(LOOKUP(1,0/((成型機資料庫!$F$164:$F$175=J8)*(成型機資料庫!$G$164:$G$175=K8)),成型機資料庫!$L$164:$L$175),0)</f>
        <v>0</v>
      </c>
      <c r="W8" s="507"/>
      <c r="X8" s="507"/>
      <c r="Y8" s="507"/>
      <c r="Z8" s="507"/>
      <c r="AA8" s="478">
        <f t="shared" si="1"/>
        <v>0</v>
      </c>
      <c r="AB8" s="499"/>
      <c r="AC8" s="509"/>
      <c r="AD8" s="529"/>
      <c r="AE8" s="499"/>
      <c r="AF8" s="499"/>
    </row>
    <row r="9" spans="1:56" s="433" customFormat="1" ht="15.75">
      <c r="A9" s="935">
        <v>113</v>
      </c>
      <c r="B9" s="935"/>
      <c r="C9" s="935">
        <v>1</v>
      </c>
      <c r="D9" s="889"/>
      <c r="E9" s="889" t="s">
        <v>0</v>
      </c>
      <c r="F9" s="962" t="s">
        <v>44</v>
      </c>
      <c r="G9" s="999"/>
      <c r="H9" s="532"/>
      <c r="I9" s="964"/>
      <c r="J9" s="964"/>
      <c r="K9" s="964"/>
      <c r="L9" s="532"/>
      <c r="M9" s="532"/>
      <c r="N9" s="927">
        <f>M9*Q9</f>
        <v>0</v>
      </c>
      <c r="O9" s="995">
        <f t="shared" si="0"/>
        <v>0</v>
      </c>
      <c r="P9" s="1000"/>
      <c r="Q9" s="480">
        <f>IFERROR(LOOKUP(1,0/((成型機資料庫!$F$164:$F$175=J9)*(成型機資料庫!$G$164:$G$175=K9)),成型機資料庫!$K$164:$K$175),0)</f>
        <v>0</v>
      </c>
      <c r="R9" s="997">
        <f t="shared" ref="R9:R38" si="2">M9*Q9*P9/1000</f>
        <v>0</v>
      </c>
      <c r="S9" s="996">
        <f t="shared" ref="S9:S38" si="3">IFERROR((G9-R9)/G9,0)</f>
        <v>0</v>
      </c>
      <c r="T9" s="968">
        <f>IFERROR(LOOKUP(1,0/((成型機資料庫!$F$164:$F$175=J9)*(成型機資料庫!$G$164:$G$175=K9)),成型機資料庫!$I$164:$I$175),0)</f>
        <v>0</v>
      </c>
      <c r="U9" s="967">
        <f>IFERROR(LOOKUP(1,0/((成型機資料庫!$F$164:$F$175=J9)*(成型機資料庫!$G$164:$G$175=K9)),成型機資料庫!$J$164:$J$175),0)</f>
        <v>0</v>
      </c>
      <c r="V9" s="927">
        <f>IFERROR(LOOKUP(1,0/((成型機資料庫!$F$164:$F$175=J9)*(成型機資料庫!$G$164:$G$175=K9)),成型機資料庫!$L$164:$L$175),0)</f>
        <v>0</v>
      </c>
      <c r="W9" s="996">
        <f t="shared" ref="W9:W38" si="4">IFERROR(M9/V9,0)</f>
        <v>0</v>
      </c>
      <c r="X9" s="987">
        <f>IFERROR(T9*U9*60*AA9/Q9,0)</f>
        <v>0</v>
      </c>
      <c r="Y9" s="996">
        <f>IFERROR(M9/X9,0)</f>
        <v>0</v>
      </c>
      <c r="Z9" s="987"/>
      <c r="AA9" s="495">
        <f t="shared" si="1"/>
        <v>0</v>
      </c>
      <c r="AB9" s="480"/>
      <c r="AC9" s="968"/>
      <c r="AD9" s="532"/>
      <c r="AE9" s="480"/>
      <c r="AF9" s="480"/>
    </row>
    <row r="10" spans="1:56" s="433" customFormat="1" ht="15.75">
      <c r="A10" s="434">
        <v>113</v>
      </c>
      <c r="B10" s="581"/>
      <c r="C10" s="581">
        <v>2</v>
      </c>
      <c r="D10" s="581"/>
      <c r="E10" s="581" t="s">
        <v>0</v>
      </c>
      <c r="F10" s="962" t="s">
        <v>44</v>
      </c>
      <c r="G10" s="926"/>
      <c r="H10" s="464"/>
      <c r="I10" s="429"/>
      <c r="J10" s="429"/>
      <c r="K10" s="429"/>
      <c r="L10" s="464"/>
      <c r="M10" s="464"/>
      <c r="N10" s="900">
        <f t="shared" ref="N10:N38" si="5">M10*Q10</f>
        <v>0</v>
      </c>
      <c r="O10" s="901">
        <f t="shared" si="0"/>
        <v>0</v>
      </c>
      <c r="P10" s="460"/>
      <c r="Q10" s="438">
        <f>IFERROR(LOOKUP(1,0/((成型機資料庫!$F$164:$F$175=J10)*(成型機資料庫!$G$164:$G$175=K10)),成型機資料庫!$K$164:$K$175),0)</f>
        <v>0</v>
      </c>
      <c r="R10" s="899">
        <f t="shared" si="2"/>
        <v>0</v>
      </c>
      <c r="S10" s="898">
        <f t="shared" si="3"/>
        <v>0</v>
      </c>
      <c r="T10" s="482">
        <f>IFERROR(LOOKUP(1,0/((成型機資料庫!$F$164:$F$175=J10)*(成型機資料庫!$G$164:$G$175=K10)),成型機資料庫!$I$164:$I$175),0)</f>
        <v>0</v>
      </c>
      <c r="U10" s="483">
        <f>IFERROR(LOOKUP(1,0/((成型機資料庫!$F$164:$F$175=J10)*(成型機資料庫!$G$164:$G$175=K10)),成型機資料庫!$J$164:$J$175),0)</f>
        <v>0</v>
      </c>
      <c r="V10" s="900">
        <f>IFERROR(LOOKUP(1,0/((成型機資料庫!$F$164:$F$175=J10)*(成型機資料庫!$G$164:$G$175=K10)),成型機資料庫!$L$164:$L$175),0)</f>
        <v>0</v>
      </c>
      <c r="W10" s="898">
        <f t="shared" si="4"/>
        <v>0</v>
      </c>
      <c r="X10" s="923">
        <f t="shared" ref="X10:X38" si="6">IFERROR(T10*U10*60*AA10/Q10,0)</f>
        <v>0</v>
      </c>
      <c r="Y10" s="898">
        <f t="shared" ref="Y10:Y38" si="7">IFERROR(M10/X10,0)</f>
        <v>0</v>
      </c>
      <c r="Z10" s="923"/>
      <c r="AA10" s="478">
        <f t="shared" si="1"/>
        <v>0</v>
      </c>
      <c r="AB10" s="438"/>
      <c r="AC10" s="482"/>
      <c r="AD10" s="464"/>
      <c r="AE10" s="438"/>
      <c r="AF10" s="438"/>
    </row>
    <row r="11" spans="1:56" s="433" customFormat="1" ht="15.75">
      <c r="A11" s="434">
        <v>113</v>
      </c>
      <c r="B11" s="581"/>
      <c r="C11" s="581">
        <v>3</v>
      </c>
      <c r="D11" s="581"/>
      <c r="E11" s="581" t="s">
        <v>0</v>
      </c>
      <c r="F11" s="962" t="s">
        <v>44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0"/>
        <v>0</v>
      </c>
      <c r="P11" s="460"/>
      <c r="Q11" s="438">
        <f>IFERROR(LOOKUP(1,0/((成型機資料庫!$F$164:$F$175=J11)*(成型機資料庫!$G$164:$G$175=K11)),成型機資料庫!$K$164:$K$175),0)</f>
        <v>0</v>
      </c>
      <c r="R11" s="899">
        <f t="shared" si="2"/>
        <v>0</v>
      </c>
      <c r="S11" s="898">
        <f t="shared" si="3"/>
        <v>0</v>
      </c>
      <c r="T11" s="482">
        <f>IFERROR(LOOKUP(1,0/((成型機資料庫!$F$164:$F$175=J11)*(成型機資料庫!$G$164:$G$175=K11)),成型機資料庫!$I$164:$I$175),0)</f>
        <v>0</v>
      </c>
      <c r="U11" s="483">
        <f>IFERROR(LOOKUP(1,0/((成型機資料庫!$F$164:$F$175=J11)*(成型機資料庫!$G$164:$G$175=K11)),成型機資料庫!$J$164:$J$175),0)</f>
        <v>0</v>
      </c>
      <c r="V11" s="900">
        <f>IFERROR(LOOKUP(1,0/((成型機資料庫!$F$164:$F$175=J11)*(成型機資料庫!$G$164:$G$175=K11)),成型機資料庫!$L$164:$L$175),0)</f>
        <v>0</v>
      </c>
      <c r="W11" s="898">
        <f t="shared" si="4"/>
        <v>0</v>
      </c>
      <c r="X11" s="923">
        <f t="shared" si="6"/>
        <v>0</v>
      </c>
      <c r="Y11" s="898">
        <f t="shared" si="7"/>
        <v>0</v>
      </c>
      <c r="Z11" s="923"/>
      <c r="AA11" s="478">
        <f t="shared" si="1"/>
        <v>0</v>
      </c>
      <c r="AB11" s="438"/>
      <c r="AC11" s="482"/>
      <c r="AD11" s="438"/>
      <c r="AE11" s="438"/>
      <c r="AF11" s="438"/>
    </row>
    <row r="12" spans="1:56" s="433" customFormat="1" ht="15.75">
      <c r="A12" s="434">
        <v>113</v>
      </c>
      <c r="B12" s="581"/>
      <c r="C12" s="581">
        <v>4</v>
      </c>
      <c r="D12" s="581"/>
      <c r="E12" s="581" t="s">
        <v>0</v>
      </c>
      <c r="F12" s="962" t="s">
        <v>44</v>
      </c>
      <c r="G12" s="926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0"/>
        <v>0</v>
      </c>
      <c r="P12" s="460"/>
      <c r="Q12" s="438">
        <f>IFERROR(LOOKUP(1,0/((成型機資料庫!$F$164:$F$175=J12)*(成型機資料庫!$G$164:$G$175=K12)),成型機資料庫!$K$164:$K$175),0)</f>
        <v>0</v>
      </c>
      <c r="R12" s="899">
        <f t="shared" si="2"/>
        <v>0</v>
      </c>
      <c r="S12" s="898">
        <f t="shared" si="3"/>
        <v>0</v>
      </c>
      <c r="T12" s="482">
        <f>IFERROR(LOOKUP(1,0/((成型機資料庫!$F$164:$F$175=J12)*(成型機資料庫!$G$164:$G$175=K12)),成型機資料庫!$I$164:$I$175),0)</f>
        <v>0</v>
      </c>
      <c r="U12" s="483">
        <f>IFERROR(LOOKUP(1,0/((成型機資料庫!$F$164:$F$175=J12)*(成型機資料庫!$G$164:$G$175=K12)),成型機資料庫!$J$164:$J$175),0)</f>
        <v>0</v>
      </c>
      <c r="V12" s="900">
        <f>IFERROR(LOOKUP(1,0/((成型機資料庫!$F$164:$F$175=J12)*(成型機資料庫!$G$164:$G$175=K12)),成型機資料庫!$L$164:$L$175),0)</f>
        <v>0</v>
      </c>
      <c r="W12" s="898">
        <f t="shared" si="4"/>
        <v>0</v>
      </c>
      <c r="X12" s="923">
        <f t="shared" si="6"/>
        <v>0</v>
      </c>
      <c r="Y12" s="898">
        <f t="shared" si="7"/>
        <v>0</v>
      </c>
      <c r="Z12" s="923"/>
      <c r="AA12" s="478">
        <f t="shared" si="1"/>
        <v>0</v>
      </c>
      <c r="AB12" s="438"/>
      <c r="AC12" s="482"/>
      <c r="AD12" s="438"/>
      <c r="AE12" s="464"/>
      <c r="AF12" s="438"/>
    </row>
    <row r="13" spans="1:56" s="433" customFormat="1" ht="15.75">
      <c r="A13" s="434">
        <v>113</v>
      </c>
      <c r="B13" s="581"/>
      <c r="C13" s="581">
        <v>5</v>
      </c>
      <c r="D13" s="581"/>
      <c r="E13" s="889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0"/>
        <v>0</v>
      </c>
      <c r="P13" s="460"/>
      <c r="Q13" s="438">
        <f>IFERROR(LOOKUP(1,0/((成型機資料庫!$F$164:$F$175=J13)*(成型機資料庫!$G$164:$G$175=K13)),成型機資料庫!$K$164:$K$175),0)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IFERROR(LOOKUP(1,0/((成型機資料庫!$F$164:$F$175=J13)*(成型機資料庫!$G$164:$G$175=K13)),成型機資料庫!$I$164:$I$175),0)</f>
        <v>0</v>
      </c>
      <c r="U13" s="483">
        <f>IFERROR(LOOKUP(1,0/((成型機資料庫!$F$164:$F$175=J13)*(成型機資料庫!$G$164:$G$175=K13)),成型機資料庫!$J$164:$J$175),0)</f>
        <v>0</v>
      </c>
      <c r="V13" s="900">
        <f>IFERROR(LOOKUP(1,0/((成型機資料庫!$F$164:$F$175=J13)*(成型機資料庫!$G$164:$G$175=K13)),成型機資料庫!$L$164:$L$175),0)</f>
        <v>0</v>
      </c>
      <c r="W13" s="898">
        <f t="shared" si="4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1"/>
        <v>0</v>
      </c>
      <c r="AB13" s="438"/>
      <c r="AC13" s="482"/>
      <c r="AD13" s="438"/>
      <c r="AE13" s="438"/>
      <c r="AF13" s="438"/>
    </row>
    <row r="14" spans="1:56" s="433" customFormat="1" ht="15.75">
      <c r="A14" s="434">
        <v>113</v>
      </c>
      <c r="B14" s="581"/>
      <c r="C14" s="581">
        <v>6</v>
      </c>
      <c r="D14" s="581"/>
      <c r="E14" s="889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IFERROR(LOOKUP(1,0/((成型機資料庫!$F$164:$F$175=J14)*(成型機資料庫!$G$164:$G$175=K14)),成型機資料庫!$K$164:$K$175),0)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IFERROR(LOOKUP(1,0/((成型機資料庫!$F$164:$F$175=J14)*(成型機資料庫!$G$164:$G$175=K14)),成型機資料庫!$I$164:$I$175),0)</f>
        <v>0</v>
      </c>
      <c r="U14" s="483">
        <f>IFERROR(LOOKUP(1,0/((成型機資料庫!$F$164:$F$175=J14)*(成型機資料庫!$G$164:$G$175=K14)),成型機資料庫!$J$164:$J$175),0)</f>
        <v>0</v>
      </c>
      <c r="V14" s="900">
        <f>IFERROR(LOOKUP(1,0/((成型機資料庫!$F$164:$F$175=J14)*(成型機資料庫!$G$164:$G$175=K14)),成型機資料庫!$L$164:$L$175),0)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1"/>
        <v>0</v>
      </c>
      <c r="AB14" s="438"/>
      <c r="AC14" s="482"/>
      <c r="AD14" s="879"/>
      <c r="AE14" s="438"/>
      <c r="AF14" s="438"/>
    </row>
    <row r="15" spans="1:56" s="433" customFormat="1" ht="15.75">
      <c r="A15" s="434">
        <v>113</v>
      </c>
      <c r="B15" s="581"/>
      <c r="C15" s="581">
        <v>7</v>
      </c>
      <c r="D15" s="581"/>
      <c r="E15" s="889" t="s">
        <v>0</v>
      </c>
      <c r="F15" s="962" t="s">
        <v>44</v>
      </c>
      <c r="G15" s="927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IFERROR(LOOKUP(1,0/((成型機資料庫!$F$164:$F$175=J15)*(成型機資料庫!$G$164:$G$175=K15)),成型機資料庫!$K$164:$K$175),0)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IFERROR(LOOKUP(1,0/((成型機資料庫!$F$164:$F$175=J15)*(成型機資料庫!$G$164:$G$175=K15)),成型機資料庫!$I$164:$I$175),0)</f>
        <v>0</v>
      </c>
      <c r="U15" s="483">
        <f>IFERROR(LOOKUP(1,0/((成型機資料庫!$F$164:$F$175=J15)*(成型機資料庫!$G$164:$G$175=K15)),成型機資料庫!$J$164:$J$175),0)</f>
        <v>0</v>
      </c>
      <c r="V15" s="900">
        <f>IFERROR(LOOKUP(1,0/((成型機資料庫!$F$164:$F$175=J15)*(成型機資料庫!$G$164:$G$175=K15)),成型機資料庫!$L$164:$L$175),0)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64"/>
      <c r="AE15" s="438"/>
      <c r="AF15" s="438"/>
    </row>
    <row r="16" spans="1:56" s="433" customFormat="1" ht="15.75">
      <c r="A16" s="434">
        <v>113</v>
      </c>
      <c r="B16" s="581"/>
      <c r="C16" s="581">
        <v>8</v>
      </c>
      <c r="D16" s="581"/>
      <c r="E16" s="889" t="s">
        <v>0</v>
      </c>
      <c r="F16" s="962" t="s">
        <v>44</v>
      </c>
      <c r="G16" s="927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IFERROR(LOOKUP(1,0/((成型機資料庫!$F$164:$F$175=J16)*(成型機資料庫!$G$164:$G$175=K16)),成型機資料庫!$K$164:$K$175),0)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IFERROR(LOOKUP(1,0/((成型機資料庫!$F$164:$F$175=J16)*(成型機資料庫!$G$164:$G$175=K16)),成型機資料庫!$I$164:$I$175),0)</f>
        <v>0</v>
      </c>
      <c r="U16" s="483">
        <f>IFERROR(LOOKUP(1,0/((成型機資料庫!$F$164:$F$175=J16)*(成型機資料庫!$G$164:$G$175=K16)),成型機資料庫!$J$164:$J$175),0)</f>
        <v>0</v>
      </c>
      <c r="V16" s="900">
        <f>IFERROR(LOOKUP(1,0/((成型機資料庫!$F$164:$F$175=J16)*(成型機資料庫!$G$164:$G$175=K16)),成型機資料庫!$L$164:$L$175),0)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9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IFERROR(LOOKUP(1,0/((成型機資料庫!$F$164:$F$175=J17)*(成型機資料庫!$G$164:$G$175=K17)),成型機資料庫!$K$164:$K$175),0)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IFERROR(LOOKUP(1,0/((成型機資料庫!$F$164:$F$175=J17)*(成型機資料庫!$G$164:$G$175=K17)),成型機資料庫!$I$164:$I$175),0)</f>
        <v>0</v>
      </c>
      <c r="U17" s="483">
        <f>IFERROR(LOOKUP(1,0/((成型機資料庫!$F$164:$F$175=J17)*(成型機資料庫!$G$164:$G$175=K17)),成型機資料庫!$J$164:$J$175),0)</f>
        <v>0</v>
      </c>
      <c r="V17" s="900">
        <f>IFERROR(LOOKUP(1,0/((成型機資料庫!$F$164:$F$175=J17)*(成型機資料庫!$G$164:$G$175=K17)),成型機資料庫!$L$164:$L$175),0)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10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IFERROR(LOOKUP(1,0/((成型機資料庫!$F$164:$F$175=J18)*(成型機資料庫!$G$164:$G$175=K18)),成型機資料庫!$K$164:$K$175),0)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IFERROR(LOOKUP(1,0/((成型機資料庫!$F$164:$F$175=J18)*(成型機資料庫!$G$164:$G$175=K18)),成型機資料庫!$I$164:$I$175),0)</f>
        <v>0</v>
      </c>
      <c r="U18" s="483">
        <f>IFERROR(LOOKUP(1,0/((成型機資料庫!$F$164:$F$175=J18)*(成型機資料庫!$G$164:$G$175=K18)),成型機資料庫!$J$164:$J$175),0)</f>
        <v>0</v>
      </c>
      <c r="V18" s="900">
        <f>IFERROR(LOOKUP(1,0/((成型機資料庫!$F$164:$F$175=J18)*(成型機資料庫!$G$164:$G$175=K18)),成型機資料庫!$L$164:$L$175),0)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38"/>
      <c r="AE18" s="438"/>
      <c r="AF18" s="438"/>
    </row>
    <row r="19" spans="1:32" s="433" customFormat="1" ht="15.75">
      <c r="A19" s="434">
        <v>113</v>
      </c>
      <c r="B19" s="581"/>
      <c r="C19" s="581">
        <v>11</v>
      </c>
      <c r="D19" s="581"/>
      <c r="E19" s="581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IFERROR(LOOKUP(1,0/((成型機資料庫!$F$164:$F$175=J19)*(成型機資料庫!$G$164:$G$175=K19)),成型機資料庫!$K$164:$K$175),0)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IFERROR(LOOKUP(1,0/((成型機資料庫!$F$164:$F$175=J19)*(成型機資料庫!$G$164:$G$175=K19)),成型機資料庫!$I$164:$I$175),0)</f>
        <v>0</v>
      </c>
      <c r="U19" s="483">
        <f>IFERROR(LOOKUP(1,0/((成型機資料庫!$F$164:$F$175=J19)*(成型機資料庫!$G$164:$G$175=K19)),成型機資料庫!$J$164:$J$175),0)</f>
        <v>0</v>
      </c>
      <c r="V19" s="900">
        <f>IFERROR(LOOKUP(1,0/((成型機資料庫!$F$164:$F$175=J19)*(成型機資料庫!$G$164:$G$175=K19)),成型機資料庫!$L$164:$L$175),0)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12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IFERROR(LOOKUP(1,0/((成型機資料庫!$F$164:$F$175=J20)*(成型機資料庫!$G$164:$G$175=K20)),成型機資料庫!$K$164:$K$175),0)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IFERROR(LOOKUP(1,0/((成型機資料庫!$F$164:$F$175=J20)*(成型機資料庫!$G$164:$G$175=K20)),成型機資料庫!$I$164:$I$175),0)</f>
        <v>0</v>
      </c>
      <c r="U20" s="483">
        <f>IFERROR(LOOKUP(1,0/((成型機資料庫!$F$164:$F$175=J20)*(成型機資料庫!$G$164:$G$175=K20)),成型機資料庫!$J$164:$J$175),0)</f>
        <v>0</v>
      </c>
      <c r="V20" s="900">
        <f>IFERROR(LOOKUP(1,0/((成型機資料庫!$F$164:$F$175=J20)*(成型機資料庫!$G$164:$G$175=K20)),成型機資料庫!$L$164:$L$175),0)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13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IFERROR(LOOKUP(1,0/((成型機資料庫!$F$164:$F$175=J21)*(成型機資料庫!$G$164:$G$175=K21)),成型機資料庫!$K$164:$K$175),0)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IFERROR(LOOKUP(1,0/((成型機資料庫!$F$164:$F$175=J21)*(成型機資料庫!$G$164:$G$175=K21)),成型機資料庫!$I$164:$I$175),0)</f>
        <v>0</v>
      </c>
      <c r="U21" s="483">
        <f>IFERROR(LOOKUP(1,0/((成型機資料庫!$F$164:$F$175=J21)*(成型機資料庫!$G$164:$G$175=K21)),成型機資料庫!$J$164:$J$175),0)</f>
        <v>0</v>
      </c>
      <c r="V21" s="900">
        <f>IFERROR(LOOKUP(1,0/((成型機資料庫!$F$164:$F$175=J21)*(成型機資料庫!$G$164:$G$175=K21)),成型機資料庫!$L$164:$L$175),0)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14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IFERROR(LOOKUP(1,0/((成型機資料庫!$F$164:$F$175=J22)*(成型機資料庫!$G$164:$G$175=K22)),成型機資料庫!$K$164:$K$175),0)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IFERROR(LOOKUP(1,0/((成型機資料庫!$F$164:$F$175=J22)*(成型機資料庫!$G$164:$G$175=K22)),成型機資料庫!$I$164:$I$175),0)</f>
        <v>0</v>
      </c>
      <c r="U22" s="483">
        <f>IFERROR(LOOKUP(1,0/((成型機資料庫!$F$164:$F$175=J22)*(成型機資料庫!$G$164:$G$175=K22)),成型機資料庫!$J$164:$J$175),0)</f>
        <v>0</v>
      </c>
      <c r="V22" s="900">
        <f>IFERROR(LOOKUP(1,0/((成型機資料庫!$F$164:$F$175=J22)*(成型機資料庫!$G$164:$G$175=K22)),成型機資料庫!$L$164:$L$175),0)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15</v>
      </c>
      <c r="D23" s="581"/>
      <c r="E23" s="889" t="s">
        <v>0</v>
      </c>
      <c r="F23" s="962" t="s">
        <v>44</v>
      </c>
      <c r="G23" s="927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IFERROR(LOOKUP(1,0/((成型機資料庫!$F$164:$F$175=J23)*(成型機資料庫!$G$164:$G$175=K23)),成型機資料庫!$K$164:$K$175),0)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IFERROR(LOOKUP(1,0/((成型機資料庫!$F$164:$F$175=J23)*(成型機資料庫!$G$164:$G$175=K23)),成型機資料庫!$I$164:$I$175),0)</f>
        <v>0</v>
      </c>
      <c r="U23" s="483">
        <f>IFERROR(LOOKUP(1,0/((成型機資料庫!$F$164:$F$175=J23)*(成型機資料庫!$G$164:$G$175=K23)),成型機資料庫!$J$164:$J$175),0)</f>
        <v>0</v>
      </c>
      <c r="V23" s="900">
        <f>IFERROR(LOOKUP(1,0/((成型機資料庫!$F$164:$F$175=J23)*(成型機資料庫!$G$164:$G$175=K23)),成型機資料庫!$L$164:$L$175),0)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16</v>
      </c>
      <c r="D24" s="581"/>
      <c r="E24" s="889" t="s">
        <v>0</v>
      </c>
      <c r="F24" s="962" t="s">
        <v>44</v>
      </c>
      <c r="G24" s="927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IFERROR(LOOKUP(1,0/((成型機資料庫!$F$164:$F$175=J24)*(成型機資料庫!$G$164:$G$175=K24)),成型機資料庫!$K$164:$K$175),0)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IFERROR(LOOKUP(1,0/((成型機資料庫!$F$164:$F$175=J24)*(成型機資料庫!$G$164:$G$175=K24)),成型機資料庫!$I$164:$I$175),0)</f>
        <v>0</v>
      </c>
      <c r="U24" s="483">
        <f>IFERROR(LOOKUP(1,0/((成型機資料庫!$F$164:$F$175=J24)*(成型機資料庫!$G$164:$G$175=K24)),成型機資料庫!$J$164:$J$175),0)</f>
        <v>0</v>
      </c>
      <c r="V24" s="900">
        <f>IFERROR(LOOKUP(1,0/((成型機資料庫!$F$164:$F$175=J24)*(成型機資料庫!$G$164:$G$175=K24)),成型機資料庫!$L$164:$L$175),0)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64"/>
      <c r="AE24" s="464"/>
      <c r="AF24" s="438"/>
    </row>
    <row r="25" spans="1:32" s="433" customFormat="1" ht="15.75">
      <c r="A25" s="434">
        <v>113</v>
      </c>
      <c r="B25" s="581"/>
      <c r="C25" s="581">
        <v>17</v>
      </c>
      <c r="D25" s="581"/>
      <c r="E25" s="889" t="s">
        <v>0</v>
      </c>
      <c r="F25" s="962" t="s">
        <v>44</v>
      </c>
      <c r="G25" s="927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IFERROR(LOOKUP(1,0/((成型機資料庫!$F$164:$F$175=J25)*(成型機資料庫!$G$164:$G$175=K25)),成型機資料庫!$K$164:$K$175),0)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IFERROR(LOOKUP(1,0/((成型機資料庫!$F$164:$F$175=J25)*(成型機資料庫!$G$164:$G$175=K25)),成型機資料庫!$I$164:$I$175),0)</f>
        <v>0</v>
      </c>
      <c r="U25" s="483">
        <f>IFERROR(LOOKUP(1,0/((成型機資料庫!$F$164:$F$175=J25)*(成型機資料庫!$G$164:$G$175=K25)),成型機資料庫!$J$164:$J$175),0)</f>
        <v>0</v>
      </c>
      <c r="V25" s="900">
        <f>IFERROR(LOOKUP(1,0/((成型機資料庫!$F$164:$F$175=J25)*(成型機資料庫!$G$164:$G$175=K25)),成型機資料庫!$L$164:$L$175),0)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18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IFERROR(LOOKUP(1,0/((成型機資料庫!$F$164:$F$175=J26)*(成型機資料庫!$G$164:$G$175=K26)),成型機資料庫!$K$164:$K$175),0)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IFERROR(LOOKUP(1,0/((成型機資料庫!$F$164:$F$175=J26)*(成型機資料庫!$G$164:$G$175=K26)),成型機資料庫!$I$164:$I$175),0)</f>
        <v>0</v>
      </c>
      <c r="U26" s="483">
        <f>IFERROR(LOOKUP(1,0/((成型機資料庫!$F$164:$F$175=J26)*(成型機資料庫!$G$164:$G$175=K26)),成型機資料庫!$J$164:$J$175),0)</f>
        <v>0</v>
      </c>
      <c r="V26" s="900">
        <f>IFERROR(LOOKUP(1,0/((成型機資料庫!$F$164:$F$175=J26)*(成型機資料庫!$G$164:$G$175=K26)),成型機資料庫!$L$164:$L$175),0)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19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IFERROR(LOOKUP(1,0/((成型機資料庫!$F$164:$F$175=J27)*(成型機資料庫!$G$164:$G$175=K27)),成型機資料庫!$K$164:$K$175),0)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IFERROR(LOOKUP(1,0/((成型機資料庫!$F$164:$F$175=J27)*(成型機資料庫!$G$164:$G$175=K27)),成型機資料庫!$I$164:$I$175),0)</f>
        <v>0</v>
      </c>
      <c r="U27" s="483">
        <f>IFERROR(LOOKUP(1,0/((成型機資料庫!$F$164:$F$175=J27)*(成型機資料庫!$G$164:$G$175=K27)),成型機資料庫!$J$164:$J$175),0)</f>
        <v>0</v>
      </c>
      <c r="V27" s="900">
        <f>IFERROR(LOOKUP(1,0/((成型機資料庫!$F$164:$F$175=J27)*(成型機資料庫!$G$164:$G$175=K27)),成型機資料庫!$L$164:$L$175),0)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20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IFERROR(LOOKUP(1,0/((成型機資料庫!$F$164:$F$175=J28)*(成型機資料庫!$G$164:$G$175=K28)),成型機資料庫!$K$164:$K$175),0)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IFERROR(LOOKUP(1,0/((成型機資料庫!$F$164:$F$175=J28)*(成型機資料庫!$G$164:$G$175=K28)),成型機資料庫!$I$164:$I$175),0)</f>
        <v>0</v>
      </c>
      <c r="U28" s="483">
        <f>IFERROR(LOOKUP(1,0/((成型機資料庫!$F$164:$F$175=J28)*(成型機資料庫!$G$164:$G$175=K28)),成型機資料庫!$J$164:$J$175),0)</f>
        <v>0</v>
      </c>
      <c r="V28" s="900">
        <f>IFERROR(LOOKUP(1,0/((成型機資料庫!$F$164:$F$175=J28)*(成型機資料庫!$G$164:$G$175=K28)),成型機資料庫!$L$164:$L$175),0)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21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IFERROR(LOOKUP(1,0/((成型機資料庫!$F$164:$F$175=J29)*(成型機資料庫!$G$164:$G$175=K29)),成型機資料庫!$K$164:$K$175),0)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IFERROR(LOOKUP(1,0/((成型機資料庫!$F$164:$F$175=J29)*(成型機資料庫!$G$164:$G$175=K29)),成型機資料庫!$I$164:$I$175),0)</f>
        <v>0</v>
      </c>
      <c r="U29" s="483">
        <f>IFERROR(LOOKUP(1,0/((成型機資料庫!$F$164:$F$175=J29)*(成型機資料庫!$G$164:$G$175=K29)),成型機資料庫!$J$164:$J$175),0)</f>
        <v>0</v>
      </c>
      <c r="V29" s="900">
        <f>IFERROR(LOOKUP(1,0/((成型機資料庫!$F$164:$F$175=J29)*(成型機資料庫!$G$164:$G$175=K29)),成型機資料庫!$L$164:$L$175),0)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22</v>
      </c>
      <c r="D30" s="581"/>
      <c r="E30" s="889" t="s">
        <v>0</v>
      </c>
      <c r="F30" s="962" t="s">
        <v>44</v>
      </c>
      <c r="G30" s="927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IFERROR(LOOKUP(1,0/((成型機資料庫!$F$164:$F$175=J30)*(成型機資料庫!$G$164:$G$175=K30)),成型機資料庫!$K$164:$K$175),0)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IFERROR(LOOKUP(1,0/((成型機資料庫!$F$164:$F$175=J30)*(成型機資料庫!$G$164:$G$175=K30)),成型機資料庫!$I$164:$I$175),0)</f>
        <v>0</v>
      </c>
      <c r="U30" s="483">
        <f>IFERROR(LOOKUP(1,0/((成型機資料庫!$F$164:$F$175=J30)*(成型機資料庫!$G$164:$G$175=K30)),成型機資料庫!$J$164:$J$175),0)</f>
        <v>0</v>
      </c>
      <c r="V30" s="900">
        <f>IFERROR(LOOKUP(1,0/((成型機資料庫!$F$164:$F$175=J30)*(成型機資料庫!$G$164:$G$175=K30)),成型機資料庫!$L$164:$L$175),0)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23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IFERROR(LOOKUP(1,0/((成型機資料庫!$F$164:$F$175=J31)*(成型機資料庫!$G$164:$G$175=K31)),成型機資料庫!$K$164:$K$175),0)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IFERROR(LOOKUP(1,0/((成型機資料庫!$F$164:$F$175=J31)*(成型機資料庫!$G$164:$G$175=K31)),成型機資料庫!$I$164:$I$175),0)</f>
        <v>0</v>
      </c>
      <c r="U31" s="483">
        <f>IFERROR(LOOKUP(1,0/((成型機資料庫!$F$164:$F$175=J31)*(成型機資料庫!$G$164:$G$175=K31)),成型機資料庫!$J$164:$J$175),0)</f>
        <v>0</v>
      </c>
      <c r="V31" s="900">
        <f>IFERROR(LOOKUP(1,0/((成型機資料庫!$F$164:$F$175=J31)*(成型機資料庫!$G$164:$G$175=K31)),成型機資料庫!$L$164:$L$175),0)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64"/>
      <c r="AF31" s="438"/>
    </row>
    <row r="32" spans="1:32" s="433" customFormat="1" ht="15.75">
      <c r="A32" s="434">
        <v>113</v>
      </c>
      <c r="B32" s="434"/>
      <c r="C32" s="434">
        <v>24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IFERROR(LOOKUP(1,0/((成型機資料庫!$F$164:$F$175=J32)*(成型機資料庫!$G$164:$G$175=K32)),成型機資料庫!$K$164:$K$175),0)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IFERROR(LOOKUP(1,0/((成型機資料庫!$F$164:$F$175=J32)*(成型機資料庫!$G$164:$G$175=K32)),成型機資料庫!$I$164:$I$175),0)</f>
        <v>0</v>
      </c>
      <c r="U32" s="483">
        <f>IFERROR(LOOKUP(1,0/((成型機資料庫!$F$164:$F$175=J32)*(成型機資料庫!$G$164:$G$175=K32)),成型機資料庫!$J$164:$J$175),0)</f>
        <v>0</v>
      </c>
      <c r="V32" s="900">
        <f>IFERROR(LOOKUP(1,0/((成型機資料庫!$F$164:$F$175=J32)*(成型機資料庫!$G$164:$G$175=K32)),成型機資料庫!$L$164:$L$175),0)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56" s="433" customFormat="1" ht="15.75">
      <c r="A33" s="434">
        <v>113</v>
      </c>
      <c r="B33" s="434"/>
      <c r="C33" s="434">
        <v>25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IFERROR(LOOKUP(1,0/((成型機資料庫!$F$164:$F$175=J33)*(成型機資料庫!$G$164:$G$175=K33)),成型機資料庫!$K$164:$K$175),0)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IFERROR(LOOKUP(1,0/((成型機資料庫!$F$164:$F$175=J33)*(成型機資料庫!$G$164:$G$175=K33)),成型機資料庫!$I$164:$I$175),0)</f>
        <v>0</v>
      </c>
      <c r="U33" s="483">
        <f>IFERROR(LOOKUP(1,0/((成型機資料庫!$F$164:$F$175=J33)*(成型機資料庫!$G$164:$G$175=K33)),成型機資料庫!$J$164:$J$175),0)</f>
        <v>0</v>
      </c>
      <c r="V33" s="900">
        <f>IFERROR(LOOKUP(1,0/((成型機資料庫!$F$164:$F$175=J33)*(成型機資料庫!$G$164:$G$175=K33)),成型機資料庫!$L$164:$L$175),0)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64"/>
      <c r="AF33" s="438"/>
    </row>
    <row r="34" spans="1:56" s="433" customFormat="1" ht="15.75">
      <c r="A34" s="434">
        <v>113</v>
      </c>
      <c r="B34" s="434"/>
      <c r="C34" s="434">
        <v>26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IFERROR(LOOKUP(1,0/((成型機資料庫!$F$164:$F$175=J34)*(成型機資料庫!$G$164:$G$175=K34)),成型機資料庫!$K$164:$K$175),0)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IFERROR(LOOKUP(1,0/((成型機資料庫!$F$164:$F$175=J34)*(成型機資料庫!$G$164:$G$175=K34)),成型機資料庫!$I$164:$I$175),0)</f>
        <v>0</v>
      </c>
      <c r="U34" s="483">
        <f>IFERROR(LOOKUP(1,0/((成型機資料庫!$F$164:$F$175=J34)*(成型機資料庫!$G$164:$G$175=K34)),成型機資料庫!$J$164:$J$175),0)</f>
        <v>0</v>
      </c>
      <c r="V34" s="900">
        <f>IFERROR(LOOKUP(1,0/((成型機資料庫!$F$164:$F$175=J34)*(成型機資料庫!$G$164:$G$175=K34)),成型機資料庫!$L$164:$L$175),0)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38"/>
      <c r="AE34" s="464"/>
      <c r="AF34" s="438"/>
    </row>
    <row r="35" spans="1:56" s="433" customFormat="1" ht="15.75">
      <c r="A35" s="434">
        <v>113</v>
      </c>
      <c r="B35" s="434"/>
      <c r="C35" s="434">
        <v>27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IFERROR(LOOKUP(1,0/((成型機資料庫!$F$164:$F$175=J35)*(成型機資料庫!$G$164:$G$175=K35)),成型機資料庫!$K$164:$K$175),0)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IFERROR(LOOKUP(1,0/((成型機資料庫!$F$164:$F$175=J35)*(成型機資料庫!$G$164:$G$175=K35)),成型機資料庫!$I$164:$I$175),0)</f>
        <v>0</v>
      </c>
      <c r="U35" s="483">
        <f>IFERROR(LOOKUP(1,0/((成型機資料庫!$F$164:$F$175=J35)*(成型機資料庫!$G$164:$G$175=K35)),成型機資料庫!$J$164:$J$175),0)</f>
        <v>0</v>
      </c>
      <c r="V35" s="900">
        <f>IFERROR(LOOKUP(1,0/((成型機資料庫!$F$164:$F$175=J35)*(成型機資料庫!$G$164:$G$175=K35)),成型機資料庫!$L$164:$L$175),0)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56" s="433" customFormat="1" ht="15.75">
      <c r="A36" s="434">
        <v>113</v>
      </c>
      <c r="B36" s="581"/>
      <c r="C36" s="581">
        <v>28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IFERROR(LOOKUP(1,0/((成型機資料庫!$F$164:$F$175=J36)*(成型機資料庫!$G$164:$G$175=K36)),成型機資料庫!$K$164:$K$175),0)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IFERROR(LOOKUP(1,0/((成型機資料庫!$F$164:$F$175=J36)*(成型機資料庫!$G$164:$G$175=K36)),成型機資料庫!$I$164:$I$175),0)</f>
        <v>0</v>
      </c>
      <c r="U36" s="483">
        <f>IFERROR(LOOKUP(1,0/((成型機資料庫!$F$164:$F$175=J36)*(成型機資料庫!$G$164:$G$175=K36)),成型機資料庫!$J$164:$J$175),0)</f>
        <v>0</v>
      </c>
      <c r="V36" s="900">
        <f>IFERROR(LOOKUP(1,0/((成型機資料庫!$F$164:$F$175=J36)*(成型機資料庫!$G$164:$G$175=K36)),成型機資料庫!$L$164:$L$175),0)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56" s="433" customFormat="1" ht="15.75">
      <c r="A37" s="434">
        <v>113</v>
      </c>
      <c r="B37" s="581"/>
      <c r="C37" s="581">
        <v>29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IFERROR(LOOKUP(1,0/((成型機資料庫!$F$164:$F$175=J37)*(成型機資料庫!$G$164:$G$175=K37)),成型機資料庫!$K$164:$K$175),0)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IFERROR(LOOKUP(1,0/((成型機資料庫!$F$164:$F$175=J37)*(成型機資料庫!$G$164:$G$175=K37)),成型機資料庫!$I$164:$I$175),0)</f>
        <v>0</v>
      </c>
      <c r="U37" s="483">
        <f>IFERROR(LOOKUP(1,0/((成型機資料庫!$F$164:$F$175=J37)*(成型機資料庫!$G$164:$G$175=K37)),成型機資料庫!$J$164:$J$175),0)</f>
        <v>0</v>
      </c>
      <c r="V37" s="900">
        <f>IFERROR(LOOKUP(1,0/((成型機資料庫!$F$164:$F$175=J37)*(成型機資料庫!$G$164:$G$175=K37)),成型機資料庫!$L$164:$L$175),0)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56" s="433" customFormat="1" ht="15.75">
      <c r="A38" s="434">
        <v>113</v>
      </c>
      <c r="B38" s="581"/>
      <c r="C38" s="581">
        <v>30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IFERROR(LOOKUP(1,0/((成型機資料庫!$F$164:$F$175=J38)*(成型機資料庫!$G$164:$G$175=K38)),成型機資料庫!$K$164:$K$175),0)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IFERROR(LOOKUP(1,0/((成型機資料庫!$F$164:$F$175=J38)*(成型機資料庫!$G$164:$G$175=K38)),成型機資料庫!$I$164:$I$175),0)</f>
        <v>0</v>
      </c>
      <c r="U38" s="483">
        <f>IFERROR(LOOKUP(1,0/((成型機資料庫!$F$164:$F$175=J38)*(成型機資料庫!$G$164:$G$175=K38)),成型機資料庫!$J$164:$J$175),0)</f>
        <v>0</v>
      </c>
      <c r="V38" s="900">
        <f>IFERROR(LOOKUP(1,0/((成型機資料庫!$F$164:$F$175=J38)*(成型機資料庫!$G$164:$G$175=K38)),成型機資料庫!$L$164:$L$175),0)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56" s="433" customFormat="1" ht="15.75">
      <c r="A39" s="446"/>
      <c r="B39" s="456"/>
      <c r="C39" s="456"/>
      <c r="D39" s="456"/>
      <c r="E39" s="456"/>
      <c r="F39" s="448"/>
      <c r="G39" s="951"/>
      <c r="H39" s="452"/>
      <c r="I39" s="430"/>
      <c r="J39" s="430"/>
      <c r="K39" s="430"/>
      <c r="L39" s="452"/>
      <c r="M39" s="452"/>
      <c r="N39" s="945"/>
      <c r="O39" s="946"/>
      <c r="P39" s="868"/>
      <c r="Q39" s="467"/>
      <c r="R39" s="948"/>
      <c r="S39" s="936"/>
      <c r="T39" s="936"/>
      <c r="U39" s="936"/>
      <c r="V39" s="945"/>
      <c r="W39" s="936"/>
      <c r="X39" s="947"/>
      <c r="Y39" s="936"/>
      <c r="Z39" s="947"/>
      <c r="AA39" s="488"/>
      <c r="AB39" s="439"/>
      <c r="AC39" s="471"/>
      <c r="AD39" s="452"/>
      <c r="AE39" s="439"/>
      <c r="AF39" s="439"/>
    </row>
    <row r="40" spans="1:56" s="433" customFormat="1" ht="15.75">
      <c r="A40" s="446"/>
      <c r="B40" s="456"/>
      <c r="C40" s="456"/>
      <c r="D40" s="456"/>
      <c r="E40" s="456"/>
      <c r="F40" s="448"/>
      <c r="G40" s="951"/>
      <c r="H40" s="452"/>
      <c r="I40" s="430"/>
      <c r="J40" s="430"/>
      <c r="K40" s="430"/>
      <c r="L40" s="452"/>
      <c r="M40" s="452"/>
      <c r="N40" s="945"/>
      <c r="O40" s="946"/>
      <c r="P40" s="868"/>
      <c r="Q40" s="467"/>
      <c r="R40" s="948"/>
      <c r="S40" s="936"/>
      <c r="T40" s="936"/>
      <c r="U40" s="936"/>
      <c r="V40" s="945"/>
      <c r="W40" s="936"/>
      <c r="X40" s="947"/>
      <c r="Y40" s="936"/>
      <c r="Z40" s="947"/>
      <c r="AA40" s="488"/>
      <c r="AB40" s="439"/>
      <c r="AC40" s="471"/>
      <c r="AD40" s="452"/>
      <c r="AE40" s="439"/>
      <c r="AF40" s="439"/>
    </row>
    <row r="41" spans="1:56" s="433" customFormat="1" thickBot="1">
      <c r="A41" s="446"/>
      <c r="B41" s="446"/>
      <c r="C41" s="446"/>
      <c r="D41" s="446"/>
      <c r="E41" s="446"/>
      <c r="F41" s="448"/>
      <c r="G41" s="448"/>
      <c r="H41" s="430"/>
      <c r="I41" s="430"/>
      <c r="J41" s="430"/>
      <c r="K41" s="430"/>
      <c r="L41" s="439"/>
      <c r="M41" s="452"/>
      <c r="N41" s="452"/>
      <c r="O41" s="457"/>
      <c r="P41" s="466"/>
      <c r="Q41" s="467"/>
      <c r="R41" s="486"/>
      <c r="S41" s="457"/>
      <c r="T41" s="457"/>
      <c r="U41" s="457"/>
      <c r="V41" s="458"/>
      <c r="W41" s="487">
        <f>SUM(W9:W38)</f>
        <v>0</v>
      </c>
      <c r="X41" s="487"/>
      <c r="Y41" s="487"/>
      <c r="Z41" s="487"/>
      <c r="AA41" s="488"/>
      <c r="AB41" s="489"/>
      <c r="AC41" s="489"/>
      <c r="AD41" s="469" t="s">
        <v>46</v>
      </c>
      <c r="AE41" s="439"/>
      <c r="AF41" s="439"/>
    </row>
    <row r="42" spans="1:56" s="469" customFormat="1" ht="31.5">
      <c r="A42" s="479"/>
      <c r="B42" s="479"/>
      <c r="C42" s="479"/>
      <c r="D42" s="479"/>
      <c r="E42" s="479"/>
      <c r="F42" s="452"/>
      <c r="G42" s="524" t="s">
        <v>503</v>
      </c>
      <c r="H42" s="517"/>
      <c r="I42" s="518"/>
      <c r="L42" s="1842" t="s">
        <v>1348</v>
      </c>
      <c r="M42" s="525" t="s">
        <v>1294</v>
      </c>
      <c r="N42" s="525" t="s">
        <v>1295</v>
      </c>
      <c r="O42" s="526" t="s">
        <v>458</v>
      </c>
      <c r="P42" s="520"/>
      <c r="Q42" s="521"/>
      <c r="R42" s="524" t="s">
        <v>504</v>
      </c>
      <c r="S42" s="524" t="s">
        <v>455</v>
      </c>
      <c r="T42" s="521"/>
      <c r="U42" s="521"/>
      <c r="V42" s="524" t="s">
        <v>1293</v>
      </c>
      <c r="W42" s="524" t="s">
        <v>459</v>
      </c>
      <c r="X42" s="521"/>
      <c r="Y42" s="524" t="s">
        <v>1345</v>
      </c>
      <c r="Z42" s="524" t="s">
        <v>1350</v>
      </c>
      <c r="AA42" s="524" t="s">
        <v>1351</v>
      </c>
      <c r="AB42" s="524" t="s">
        <v>1353</v>
      </c>
      <c r="AC42" s="524" t="s">
        <v>1352</v>
      </c>
      <c r="AD42" s="469" t="s">
        <v>253</v>
      </c>
      <c r="AE42" s="452"/>
      <c r="AF42" s="452"/>
    </row>
    <row r="43" spans="1:56" thickBot="1">
      <c r="G43" s="522">
        <f>SUM(G9:G38)</f>
        <v>0</v>
      </c>
      <c r="I43" s="431"/>
      <c r="J43" s="518"/>
      <c r="K43" s="518"/>
      <c r="L43" s="1843"/>
      <c r="M43" s="522">
        <f>SUM(M9:M38)</f>
        <v>0</v>
      </c>
      <c r="N43" s="522">
        <f>SUM(N9:N38)</f>
        <v>0</v>
      </c>
      <c r="O43" s="902">
        <f>SUM(O9:O38)</f>
        <v>0</v>
      </c>
      <c r="P43" s="470"/>
      <c r="R43" s="924">
        <f>SUM(R9:R38)</f>
        <v>0</v>
      </c>
      <c r="S43" s="897" t="e">
        <f>(G43-R43)/G43</f>
        <v>#DIV/0!</v>
      </c>
      <c r="T43" s="446"/>
      <c r="U43" s="446"/>
      <c r="V43" s="686" t="e">
        <f>N43/W43</f>
        <v>#DIV/0!</v>
      </c>
      <c r="W43" s="516" t="e">
        <f>W41/Y43</f>
        <v>#DIV/0!</v>
      </c>
      <c r="X43" s="446"/>
      <c r="Y43" s="516"/>
      <c r="Z43" s="958">
        <f>SUM(Z9:Z38)</f>
        <v>0</v>
      </c>
      <c r="AA43" s="516">
        <f>SUM(AA9:AA38)</f>
        <v>0</v>
      </c>
      <c r="AB43" s="516">
        <f>Z43-AA43</f>
        <v>0</v>
      </c>
      <c r="AC43" s="896" t="e">
        <f>AA43/Z43</f>
        <v>#DIV/0!</v>
      </c>
    </row>
    <row r="44" spans="1:56">
      <c r="G44" s="453"/>
      <c r="M44" s="453"/>
      <c r="N44" s="453"/>
      <c r="O44"/>
      <c r="P44" s="470"/>
      <c r="R44"/>
      <c r="S44"/>
      <c r="T44"/>
      <c r="U44"/>
    </row>
    <row r="45" spans="1:56" ht="17.25" thickBot="1"/>
    <row r="46" spans="1:56" ht="15.75">
      <c r="A46" s="1824" t="s">
        <v>668</v>
      </c>
      <c r="B46" s="1824" t="s">
        <v>330</v>
      </c>
      <c r="C46" s="1826" t="s">
        <v>311</v>
      </c>
      <c r="D46" s="1828" t="s">
        <v>331</v>
      </c>
      <c r="E46" s="1828" t="s">
        <v>332</v>
      </c>
      <c r="F46" s="1830" t="s">
        <v>194</v>
      </c>
      <c r="G46" s="1830" t="s">
        <v>386</v>
      </c>
      <c r="H46" s="1832" t="s">
        <v>360</v>
      </c>
      <c r="I46" s="1832" t="s">
        <v>361</v>
      </c>
      <c r="J46" s="1832" t="s">
        <v>510</v>
      </c>
      <c r="K46" s="1832" t="s">
        <v>1320</v>
      </c>
      <c r="L46" s="1828" t="s">
        <v>362</v>
      </c>
      <c r="M46" s="1828" t="s">
        <v>514</v>
      </c>
      <c r="N46" s="1856" t="s">
        <v>511</v>
      </c>
      <c r="O46" s="1858" t="s">
        <v>457</v>
      </c>
      <c r="P46" s="1836" t="s">
        <v>379</v>
      </c>
      <c r="Q46" s="1828" t="s">
        <v>627</v>
      </c>
      <c r="R46" s="1852" t="s">
        <v>381</v>
      </c>
      <c r="S46" s="1854" t="s">
        <v>435</v>
      </c>
      <c r="T46" s="1834" t="s">
        <v>365</v>
      </c>
      <c r="U46" s="1836" t="s">
        <v>366</v>
      </c>
      <c r="V46" s="1844" t="s">
        <v>1286</v>
      </c>
      <c r="W46" s="1846" t="s">
        <v>201</v>
      </c>
      <c r="X46" s="1846" t="s">
        <v>1318</v>
      </c>
      <c r="Y46" s="1846" t="s">
        <v>1319</v>
      </c>
      <c r="Z46" s="1849" t="s">
        <v>1285</v>
      </c>
      <c r="AA46" s="1849" t="s">
        <v>339</v>
      </c>
      <c r="AB46" s="1860" t="s">
        <v>340</v>
      </c>
      <c r="AC46" s="1861"/>
      <c r="AD46" s="1862" t="s">
        <v>371</v>
      </c>
      <c r="AE46" s="1862" t="s">
        <v>383</v>
      </c>
      <c r="AF46" s="1840" t="s">
        <v>29</v>
      </c>
    </row>
    <row r="47" spans="1:56" s="447" customFormat="1" thickBot="1">
      <c r="A47" s="1825"/>
      <c r="B47" s="1825"/>
      <c r="C47" s="1827"/>
      <c r="D47" s="1829"/>
      <c r="E47" s="1829"/>
      <c r="F47" s="1831"/>
      <c r="G47" s="1831"/>
      <c r="H47" s="1833"/>
      <c r="I47" s="1833"/>
      <c r="J47" s="1833"/>
      <c r="K47" s="1838"/>
      <c r="L47" s="1829"/>
      <c r="M47" s="1839"/>
      <c r="N47" s="1857"/>
      <c r="O47" s="1859"/>
      <c r="P47" s="1837"/>
      <c r="Q47" s="1829"/>
      <c r="R47" s="1853"/>
      <c r="S47" s="1855"/>
      <c r="T47" s="1835"/>
      <c r="U47" s="1837"/>
      <c r="V47" s="1845"/>
      <c r="W47" s="1847"/>
      <c r="X47" s="1848"/>
      <c r="Y47" s="1848"/>
      <c r="Z47" s="1850"/>
      <c r="AA47" s="1851"/>
      <c r="AB47" s="491" t="s">
        <v>350</v>
      </c>
      <c r="AC47" s="491" t="s">
        <v>351</v>
      </c>
      <c r="AD47" s="1863"/>
      <c r="AE47" s="1863"/>
      <c r="AF47" s="1841"/>
      <c r="AG47" s="446"/>
      <c r="AH47" s="446"/>
      <c r="AU47" s="446"/>
      <c r="AV47" s="446"/>
      <c r="AW47" s="446"/>
      <c r="AX47" s="446"/>
      <c r="AY47" s="446"/>
      <c r="AZ47" s="446"/>
      <c r="BA47" s="446"/>
      <c r="BB47" s="446"/>
      <c r="BC47" s="446"/>
      <c r="BD47" s="446"/>
    </row>
    <row r="48" spans="1:56" s="433" customFormat="1" ht="15.75">
      <c r="A48" s="434">
        <v>113</v>
      </c>
      <c r="B48" s="434"/>
      <c r="C48" s="434">
        <v>1</v>
      </c>
      <c r="D48" s="581"/>
      <c r="E48" s="581" t="s">
        <v>43</v>
      </c>
      <c r="F48" s="436" t="s">
        <v>44</v>
      </c>
      <c r="G48" s="926"/>
      <c r="H48" s="464"/>
      <c r="I48" s="429"/>
      <c r="J48" s="429"/>
      <c r="K48" s="429"/>
      <c r="L48" s="464"/>
      <c r="M48" s="464"/>
      <c r="N48" s="900">
        <f>M48*Q48</f>
        <v>0</v>
      </c>
      <c r="O48" s="901">
        <f t="shared" ref="O48:O77" si="8">L48*M48</f>
        <v>0</v>
      </c>
      <c r="P48" s="460"/>
      <c r="Q48" s="438">
        <f>IFERROR(LOOKUP(1,0/((成型機資料庫!$F$164:$F$175=J48)*(成型機資料庫!$G$164:$G$175=K48)),成型機資料庫!$K$164:$K$175),0)</f>
        <v>0</v>
      </c>
      <c r="R48" s="899">
        <f t="shared" ref="R48:R77" si="9">M48*Q48*P48/1000</f>
        <v>0</v>
      </c>
      <c r="S48" s="898">
        <f t="shared" ref="S48:S77" si="10">IFERROR((G48-R48)/G48,0)</f>
        <v>0</v>
      </c>
      <c r="T48" s="482">
        <f>IFERROR(LOOKUP(1,0/((成型機資料庫!$F$164:$F$175=J48)*(成型機資料庫!$G$164:$G$175=K48)),成型機資料庫!$I$164:$I$175),0)</f>
        <v>0</v>
      </c>
      <c r="U48" s="483">
        <f>IFERROR(LOOKUP(1,0/((成型機資料庫!$F$164:$F$175=J48)*(成型機資料庫!$G$164:$G$175=K48)),成型機資料庫!$J$164:$J$175),0)</f>
        <v>0</v>
      </c>
      <c r="V48" s="900">
        <f>IFERROR(LOOKUP(1,0/((成型機資料庫!$F$164:$F$175=J48)*(成型機資料庫!$G$164:$G$175=K48)),成型機資料庫!$L$164:$L$175),0)</f>
        <v>0</v>
      </c>
      <c r="W48" s="898">
        <f t="shared" ref="W48:W77" si="11">IFERROR(M48/V48,0)</f>
        <v>0</v>
      </c>
      <c r="X48" s="923">
        <f>IFERROR(T48*U48*60*AA48/Q48,0)</f>
        <v>0</v>
      </c>
      <c r="Y48" s="898">
        <f>IFERROR(M48/X48,0)</f>
        <v>0</v>
      </c>
      <c r="Z48" s="923"/>
      <c r="AA48" s="478">
        <f t="shared" ref="AA48:AA77" si="12">AB48+AC48/60</f>
        <v>0</v>
      </c>
      <c r="AB48" s="438"/>
      <c r="AC48" s="482"/>
      <c r="AD48" s="464"/>
      <c r="AE48" s="438"/>
      <c r="AF48" s="438"/>
    </row>
    <row r="49" spans="1:32" s="433" customFormat="1" ht="15.75">
      <c r="A49" s="434">
        <v>113</v>
      </c>
      <c r="B49" s="581"/>
      <c r="C49" s="581">
        <v>2</v>
      </c>
      <c r="D49" s="581"/>
      <c r="E49" s="581" t="s">
        <v>43</v>
      </c>
      <c r="F49" s="436" t="s">
        <v>44</v>
      </c>
      <c r="G49" s="926"/>
      <c r="H49" s="464"/>
      <c r="I49" s="429"/>
      <c r="J49" s="429"/>
      <c r="K49" s="429"/>
      <c r="L49" s="464"/>
      <c r="M49" s="464"/>
      <c r="N49" s="900">
        <f t="shared" ref="N49:N77" si="13">M49*Q49</f>
        <v>0</v>
      </c>
      <c r="O49" s="901">
        <f t="shared" si="8"/>
        <v>0</v>
      </c>
      <c r="P49" s="460"/>
      <c r="Q49" s="438">
        <f>IFERROR(LOOKUP(1,0/((成型機資料庫!$F$164:$F$175=J49)*(成型機資料庫!$G$164:$G$175=K49)),成型機資料庫!$K$164:$K$175),0)</f>
        <v>0</v>
      </c>
      <c r="R49" s="899">
        <f t="shared" si="9"/>
        <v>0</v>
      </c>
      <c r="S49" s="898">
        <f t="shared" si="10"/>
        <v>0</v>
      </c>
      <c r="T49" s="482">
        <f>IFERROR(LOOKUP(1,0/((成型機資料庫!$F$164:$F$175=J49)*(成型機資料庫!$G$164:$G$175=K49)),成型機資料庫!$I$164:$I$175),0)</f>
        <v>0</v>
      </c>
      <c r="U49" s="483">
        <f>IFERROR(LOOKUP(1,0/((成型機資料庫!$F$164:$F$175=J49)*(成型機資料庫!$G$164:$G$175=K49)),成型機資料庫!$J$164:$J$175),0)</f>
        <v>0</v>
      </c>
      <c r="V49" s="900">
        <f>IFERROR(LOOKUP(1,0/((成型機資料庫!$F$164:$F$175=J49)*(成型機資料庫!$G$164:$G$175=K49)),成型機資料庫!$L$164:$L$175),0)</f>
        <v>0</v>
      </c>
      <c r="W49" s="898">
        <f t="shared" si="11"/>
        <v>0</v>
      </c>
      <c r="X49" s="923">
        <f t="shared" ref="X49:X77" si="14">IFERROR(T49*U49*60*AA49/Q49,0)</f>
        <v>0</v>
      </c>
      <c r="Y49" s="898">
        <f t="shared" ref="Y49:Y77" si="15">IFERROR(M49/X49,0)</f>
        <v>0</v>
      </c>
      <c r="Z49" s="923"/>
      <c r="AA49" s="478">
        <f t="shared" si="12"/>
        <v>0</v>
      </c>
      <c r="AB49" s="438"/>
      <c r="AC49" s="482"/>
      <c r="AD49" s="464"/>
      <c r="AE49" s="438"/>
      <c r="AF49" s="438"/>
    </row>
    <row r="50" spans="1:32" s="433" customFormat="1" ht="15.75">
      <c r="A50" s="434">
        <v>113</v>
      </c>
      <c r="B50" s="581"/>
      <c r="C50" s="581">
        <v>3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 t="shared" si="13"/>
        <v>0</v>
      </c>
      <c r="O50" s="901">
        <f t="shared" si="8"/>
        <v>0</v>
      </c>
      <c r="P50" s="460"/>
      <c r="Q50" s="438">
        <f>IFERROR(LOOKUP(1,0/((成型機資料庫!$F$164:$F$175=J50)*(成型機資料庫!$G$164:$G$175=K50)),成型機資料庫!$K$164:$K$175),0)</f>
        <v>0</v>
      </c>
      <c r="R50" s="899">
        <f t="shared" si="9"/>
        <v>0</v>
      </c>
      <c r="S50" s="898">
        <f t="shared" si="10"/>
        <v>0</v>
      </c>
      <c r="T50" s="482">
        <f>IFERROR(LOOKUP(1,0/((成型機資料庫!$F$164:$F$175=J50)*(成型機資料庫!$G$164:$G$175=K50)),成型機資料庫!$I$164:$I$175),0)</f>
        <v>0</v>
      </c>
      <c r="U50" s="483">
        <f>IFERROR(LOOKUP(1,0/((成型機資料庫!$F$164:$F$175=J50)*(成型機資料庫!$G$164:$G$175=K50)),成型機資料庫!$J$164:$J$175),0)</f>
        <v>0</v>
      </c>
      <c r="V50" s="900">
        <f>IFERROR(LOOKUP(1,0/((成型機資料庫!$F$164:$F$175=J50)*(成型機資料庫!$G$164:$G$175=K50)),成型機資料庫!$L$164:$L$175),0)</f>
        <v>0</v>
      </c>
      <c r="W50" s="898">
        <f t="shared" si="11"/>
        <v>0</v>
      </c>
      <c r="X50" s="923">
        <f t="shared" si="14"/>
        <v>0</v>
      </c>
      <c r="Y50" s="898">
        <f t="shared" si="15"/>
        <v>0</v>
      </c>
      <c r="Z50" s="923"/>
      <c r="AA50" s="478">
        <f t="shared" si="12"/>
        <v>0</v>
      </c>
      <c r="AB50" s="438"/>
      <c r="AC50" s="482"/>
      <c r="AD50" s="438"/>
      <c r="AE50" s="438"/>
      <c r="AF50" s="438"/>
    </row>
    <row r="51" spans="1:32" s="433" customFormat="1" ht="15.75">
      <c r="A51" s="434">
        <v>113</v>
      </c>
      <c r="B51" s="581"/>
      <c r="C51" s="581">
        <v>4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 t="shared" si="13"/>
        <v>0</v>
      </c>
      <c r="O51" s="901">
        <f t="shared" si="8"/>
        <v>0</v>
      </c>
      <c r="P51" s="460"/>
      <c r="Q51" s="438">
        <f>IFERROR(LOOKUP(1,0/((成型機資料庫!$F$164:$F$175=J51)*(成型機資料庫!$G$164:$G$175=K51)),成型機資料庫!$K$164:$K$175),0)</f>
        <v>0</v>
      </c>
      <c r="R51" s="899">
        <f t="shared" si="9"/>
        <v>0</v>
      </c>
      <c r="S51" s="898">
        <f t="shared" si="10"/>
        <v>0</v>
      </c>
      <c r="T51" s="482">
        <f>IFERROR(LOOKUP(1,0/((成型機資料庫!$F$164:$F$175=J51)*(成型機資料庫!$G$164:$G$175=K51)),成型機資料庫!$I$164:$I$175),0)</f>
        <v>0</v>
      </c>
      <c r="U51" s="483">
        <f>IFERROR(LOOKUP(1,0/((成型機資料庫!$F$164:$F$175=J51)*(成型機資料庫!$G$164:$G$175=K51)),成型機資料庫!$J$164:$J$175),0)</f>
        <v>0</v>
      </c>
      <c r="V51" s="900">
        <f>IFERROR(LOOKUP(1,0/((成型機資料庫!$F$164:$F$175=J51)*(成型機資料庫!$G$164:$G$175=K51)),成型機資料庫!$L$164:$L$175),0)</f>
        <v>0</v>
      </c>
      <c r="W51" s="898">
        <f t="shared" si="11"/>
        <v>0</v>
      </c>
      <c r="X51" s="923">
        <f t="shared" si="14"/>
        <v>0</v>
      </c>
      <c r="Y51" s="898">
        <f t="shared" si="15"/>
        <v>0</v>
      </c>
      <c r="Z51" s="923"/>
      <c r="AA51" s="478">
        <f t="shared" si="12"/>
        <v>0</v>
      </c>
      <c r="AB51" s="438"/>
      <c r="AC51" s="482"/>
      <c r="AD51" s="438"/>
      <c r="AE51" s="464"/>
      <c r="AF51" s="438"/>
    </row>
    <row r="52" spans="1:32" s="433" customFormat="1" ht="15.75">
      <c r="A52" s="434">
        <v>113</v>
      </c>
      <c r="B52" s="581"/>
      <c r="C52" s="581">
        <v>5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si="13"/>
        <v>0</v>
      </c>
      <c r="O52" s="901">
        <f t="shared" si="8"/>
        <v>0</v>
      </c>
      <c r="P52" s="460"/>
      <c r="Q52" s="438">
        <f>IFERROR(LOOKUP(1,0/((成型機資料庫!$F$164:$F$175=J52)*(成型機資料庫!$G$164:$G$175=K52)),成型機資料庫!$K$164:$K$175),0)</f>
        <v>0</v>
      </c>
      <c r="R52" s="899">
        <f t="shared" si="9"/>
        <v>0</v>
      </c>
      <c r="S52" s="898">
        <f t="shared" si="10"/>
        <v>0</v>
      </c>
      <c r="T52" s="482">
        <f>IFERROR(LOOKUP(1,0/((成型機資料庫!$F$164:$F$175=J52)*(成型機資料庫!$G$164:$G$175=K52)),成型機資料庫!$I$164:$I$175),0)</f>
        <v>0</v>
      </c>
      <c r="U52" s="483">
        <f>IFERROR(LOOKUP(1,0/((成型機資料庫!$F$164:$F$175=J52)*(成型機資料庫!$G$164:$G$175=K52)),成型機資料庫!$J$164:$J$175),0)</f>
        <v>0</v>
      </c>
      <c r="V52" s="900">
        <f>IFERROR(LOOKUP(1,0/((成型機資料庫!$F$164:$F$175=J52)*(成型機資料庫!$G$164:$G$175=K52)),成型機資料庫!$L$164:$L$175),0)</f>
        <v>0</v>
      </c>
      <c r="W52" s="898">
        <f t="shared" si="11"/>
        <v>0</v>
      </c>
      <c r="X52" s="923">
        <f t="shared" si="14"/>
        <v>0</v>
      </c>
      <c r="Y52" s="898">
        <f t="shared" si="15"/>
        <v>0</v>
      </c>
      <c r="Z52" s="923"/>
      <c r="AA52" s="478">
        <f t="shared" si="12"/>
        <v>0</v>
      </c>
      <c r="AB52" s="438"/>
      <c r="AC52" s="482"/>
      <c r="AD52" s="438"/>
      <c r="AE52" s="438"/>
      <c r="AF52" s="438"/>
    </row>
    <row r="53" spans="1:32" s="433" customFormat="1" ht="15.75">
      <c r="A53" s="434">
        <v>113</v>
      </c>
      <c r="B53" s="581"/>
      <c r="C53" s="581">
        <v>6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8"/>
        <v>0</v>
      </c>
      <c r="P53" s="460"/>
      <c r="Q53" s="438">
        <f>IFERROR(LOOKUP(1,0/((成型機資料庫!$F$164:$F$175=J53)*(成型機資料庫!$G$164:$G$175=K53)),成型機資料庫!$K$164:$K$175),0)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IFERROR(LOOKUP(1,0/((成型機資料庫!$F$164:$F$175=J53)*(成型機資料庫!$G$164:$G$175=K53)),成型機資料庫!$I$164:$I$175),0)</f>
        <v>0</v>
      </c>
      <c r="U53" s="483">
        <f>IFERROR(LOOKUP(1,0/((成型機資料庫!$F$164:$F$175=J53)*(成型機資料庫!$G$164:$G$175=K53)),成型機資料庫!$J$164:$J$175),0)</f>
        <v>0</v>
      </c>
      <c r="V53" s="900">
        <f>IFERROR(LOOKUP(1,0/((成型機資料庫!$F$164:$F$175=J53)*(成型機資料庫!$G$164:$G$175=K53)),成型機資料庫!$L$164:$L$175),0)</f>
        <v>0</v>
      </c>
      <c r="W53" s="898">
        <f t="shared" si="11"/>
        <v>0</v>
      </c>
      <c r="X53" s="923">
        <f t="shared" si="14"/>
        <v>0</v>
      </c>
      <c r="Y53" s="898">
        <f t="shared" si="15"/>
        <v>0</v>
      </c>
      <c r="Z53" s="923"/>
      <c r="AA53" s="478">
        <f t="shared" si="12"/>
        <v>0</v>
      </c>
      <c r="AB53" s="438"/>
      <c r="AC53" s="482"/>
      <c r="AD53" s="879"/>
      <c r="AE53" s="438"/>
      <c r="AF53" s="438"/>
    </row>
    <row r="54" spans="1:32" s="433" customFormat="1" ht="15.75">
      <c r="A54" s="434">
        <v>113</v>
      </c>
      <c r="B54" s="581"/>
      <c r="C54" s="581">
        <v>7</v>
      </c>
      <c r="D54" s="581"/>
      <c r="E54" s="581" t="s">
        <v>43</v>
      </c>
      <c r="F54" s="436" t="s">
        <v>44</v>
      </c>
      <c r="G54" s="927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IFERROR(LOOKUP(1,0/((成型機資料庫!$F$164:$F$175=J54)*(成型機資料庫!$G$164:$G$175=K54)),成型機資料庫!$K$164:$K$175),0)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IFERROR(LOOKUP(1,0/((成型機資料庫!$F$164:$F$175=J54)*(成型機資料庫!$G$164:$G$175=K54)),成型機資料庫!$I$164:$I$175),0)</f>
        <v>0</v>
      </c>
      <c r="U54" s="483">
        <f>IFERROR(LOOKUP(1,0/((成型機資料庫!$F$164:$F$175=J54)*(成型機資料庫!$G$164:$G$175=K54)),成型機資料庫!$J$164:$J$175),0)</f>
        <v>0</v>
      </c>
      <c r="V54" s="900">
        <f>IFERROR(LOOKUP(1,0/((成型機資料庫!$F$164:$F$175=J54)*(成型機資料庫!$G$164:$G$175=K54)),成型機資料庫!$L$164:$L$175),0)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64"/>
      <c r="AE54" s="438"/>
      <c r="AF54" s="438"/>
    </row>
    <row r="55" spans="1:32" s="433" customFormat="1" ht="15.75">
      <c r="A55" s="434">
        <v>113</v>
      </c>
      <c r="B55" s="581"/>
      <c r="C55" s="581">
        <v>8</v>
      </c>
      <c r="D55" s="581"/>
      <c r="E55" s="581" t="s">
        <v>43</v>
      </c>
      <c r="F55" s="436" t="s">
        <v>44</v>
      </c>
      <c r="G55" s="927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IFERROR(LOOKUP(1,0/((成型機資料庫!$F$164:$F$175=J55)*(成型機資料庫!$G$164:$G$175=K55)),成型機資料庫!$K$164:$K$175),0)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IFERROR(LOOKUP(1,0/((成型機資料庫!$F$164:$F$175=J55)*(成型機資料庫!$G$164:$G$175=K55)),成型機資料庫!$I$164:$I$175),0)</f>
        <v>0</v>
      </c>
      <c r="U55" s="483">
        <f>IFERROR(LOOKUP(1,0/((成型機資料庫!$F$164:$F$175=J55)*(成型機資料庫!$G$164:$G$175=K55)),成型機資料庫!$J$164:$J$175),0)</f>
        <v>0</v>
      </c>
      <c r="V55" s="900">
        <f>IFERROR(LOOKUP(1,0/((成型機資料庫!$F$164:$F$175=J55)*(成型機資料庫!$G$164:$G$175=K55)),成型機資料庫!$L$164:$L$175),0)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9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IFERROR(LOOKUP(1,0/((成型機資料庫!$F$164:$F$175=J56)*(成型機資料庫!$G$164:$G$175=K56)),成型機資料庫!$K$164:$K$175),0)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IFERROR(LOOKUP(1,0/((成型機資料庫!$F$164:$F$175=J56)*(成型機資料庫!$G$164:$G$175=K56)),成型機資料庫!$I$164:$I$175),0)</f>
        <v>0</v>
      </c>
      <c r="U56" s="483">
        <f>IFERROR(LOOKUP(1,0/((成型機資料庫!$F$164:$F$175=J56)*(成型機資料庫!$G$164:$G$175=K56)),成型機資料庫!$J$164:$J$175),0)</f>
        <v>0</v>
      </c>
      <c r="V56" s="900">
        <f>IFERROR(LOOKUP(1,0/((成型機資料庫!$F$164:$F$175=J56)*(成型機資料庫!$G$164:$G$175=K56)),成型機資料庫!$L$164:$L$175),0)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64"/>
      <c r="AE56" s="438"/>
      <c r="AF56" s="438"/>
    </row>
    <row r="57" spans="1:32" s="433" customFormat="1" ht="15.75">
      <c r="A57" s="434">
        <v>113</v>
      </c>
      <c r="B57" s="581"/>
      <c r="C57" s="581">
        <v>10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IFERROR(LOOKUP(1,0/((成型機資料庫!$F$164:$F$175=J57)*(成型機資料庫!$G$164:$G$175=K57)),成型機資料庫!$K$164:$K$175),0)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IFERROR(LOOKUP(1,0/((成型機資料庫!$F$164:$F$175=J57)*(成型機資料庫!$G$164:$G$175=K57)),成型機資料庫!$I$164:$I$175),0)</f>
        <v>0</v>
      </c>
      <c r="U57" s="483">
        <f>IFERROR(LOOKUP(1,0/((成型機資料庫!$F$164:$F$175=J57)*(成型機資料庫!$G$164:$G$175=K57)),成型機資料庫!$J$164:$J$175),0)</f>
        <v>0</v>
      </c>
      <c r="V57" s="900">
        <f>IFERROR(LOOKUP(1,0/((成型機資料庫!$F$164:$F$175=J57)*(成型機資料庫!$G$164:$G$175=K57)),成型機資料庫!$L$164:$L$175),0)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38"/>
      <c r="AE57" s="438"/>
      <c r="AF57" s="438"/>
    </row>
    <row r="58" spans="1:32" s="433" customFormat="1" ht="15.75">
      <c r="A58" s="434">
        <v>113</v>
      </c>
      <c r="B58" s="581"/>
      <c r="C58" s="581">
        <v>11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IFERROR(LOOKUP(1,0/((成型機資料庫!$F$164:$F$175=J58)*(成型機資料庫!$G$164:$G$175=K58)),成型機資料庫!$K$164:$K$175),0)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IFERROR(LOOKUP(1,0/((成型機資料庫!$F$164:$F$175=J58)*(成型機資料庫!$G$164:$G$175=K58)),成型機資料庫!$I$164:$I$175),0)</f>
        <v>0</v>
      </c>
      <c r="U58" s="483">
        <f>IFERROR(LOOKUP(1,0/((成型機資料庫!$F$164:$F$175=J58)*(成型機資料庫!$G$164:$G$175=K58)),成型機資料庫!$J$164:$J$175),0)</f>
        <v>0</v>
      </c>
      <c r="V58" s="900">
        <f>IFERROR(LOOKUP(1,0/((成型機資料庫!$F$164:$F$175=J58)*(成型機資料庫!$G$164:$G$175=K58)),成型機資料庫!$L$164:$L$175),0)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12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IFERROR(LOOKUP(1,0/((成型機資料庫!$F$164:$F$175=J59)*(成型機資料庫!$G$164:$G$175=K59)),成型機資料庫!$K$164:$K$175),0)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IFERROR(LOOKUP(1,0/((成型機資料庫!$F$164:$F$175=J59)*(成型機資料庫!$G$164:$G$175=K59)),成型機資料庫!$I$164:$I$175),0)</f>
        <v>0</v>
      </c>
      <c r="U59" s="483">
        <f>IFERROR(LOOKUP(1,0/((成型機資料庫!$F$164:$F$175=J59)*(成型機資料庫!$G$164:$G$175=K59)),成型機資料庫!$J$164:$J$175),0)</f>
        <v>0</v>
      </c>
      <c r="V59" s="900">
        <f>IFERROR(LOOKUP(1,0/((成型機資料庫!$F$164:$F$175=J59)*(成型機資料庫!$G$164:$G$175=K59)),成型機資料庫!$L$164:$L$175),0)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38"/>
      <c r="AE59" s="438"/>
      <c r="AF59" s="438"/>
    </row>
    <row r="60" spans="1:32" s="433" customFormat="1" ht="15.75">
      <c r="A60" s="434">
        <v>113</v>
      </c>
      <c r="B60" s="581"/>
      <c r="C60" s="581">
        <v>13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IFERROR(LOOKUP(1,0/((成型機資料庫!$F$164:$F$175=J60)*(成型機資料庫!$G$164:$G$175=K60)),成型機資料庫!$K$164:$K$175),0)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IFERROR(LOOKUP(1,0/((成型機資料庫!$F$164:$F$175=J60)*(成型機資料庫!$G$164:$G$175=K60)),成型機資料庫!$I$164:$I$175),0)</f>
        <v>0</v>
      </c>
      <c r="U60" s="483">
        <f>IFERROR(LOOKUP(1,0/((成型機資料庫!$F$164:$F$175=J60)*(成型機資料庫!$G$164:$G$175=K60)),成型機資料庫!$J$164:$J$175),0)</f>
        <v>0</v>
      </c>
      <c r="V60" s="900">
        <f>IFERROR(LOOKUP(1,0/((成型機資料庫!$F$164:$F$175=J60)*(成型機資料庫!$G$164:$G$175=K60)),成型機資料庫!$L$164:$L$175),0)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32" s="433" customFormat="1" ht="15.75">
      <c r="A61" s="434">
        <v>113</v>
      </c>
      <c r="B61" s="581"/>
      <c r="C61" s="581">
        <v>14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IFERROR(LOOKUP(1,0/((成型機資料庫!$F$164:$F$175=J61)*(成型機資料庫!$G$164:$G$175=K61)),成型機資料庫!$K$164:$K$175),0)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IFERROR(LOOKUP(1,0/((成型機資料庫!$F$164:$F$175=J61)*(成型機資料庫!$G$164:$G$175=K61)),成型機資料庫!$I$164:$I$175),0)</f>
        <v>0</v>
      </c>
      <c r="U61" s="483">
        <f>IFERROR(LOOKUP(1,0/((成型機資料庫!$F$164:$F$175=J61)*(成型機資料庫!$G$164:$G$175=K61)),成型機資料庫!$J$164:$J$175),0)</f>
        <v>0</v>
      </c>
      <c r="V61" s="900">
        <f>IFERROR(LOOKUP(1,0/((成型機資料庫!$F$164:$F$175=J61)*(成型機資料庫!$G$164:$G$175=K61)),成型機資料庫!$L$164:$L$175),0)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581"/>
      <c r="C62" s="581">
        <v>15</v>
      </c>
      <c r="D62" s="581"/>
      <c r="E62" s="581" t="s">
        <v>43</v>
      </c>
      <c r="F62" s="436" t="s">
        <v>44</v>
      </c>
      <c r="G62" s="927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IFERROR(LOOKUP(1,0/((成型機資料庫!$F$164:$F$175=J62)*(成型機資料庫!$G$164:$G$175=K62)),成型機資料庫!$K$164:$K$175),0)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IFERROR(LOOKUP(1,0/((成型機資料庫!$F$164:$F$175=J62)*(成型機資料庫!$G$164:$G$175=K62)),成型機資料庫!$I$164:$I$175),0)</f>
        <v>0</v>
      </c>
      <c r="U62" s="483">
        <f>IFERROR(LOOKUP(1,0/((成型機資料庫!$F$164:$F$175=J62)*(成型機資料庫!$G$164:$G$175=K62)),成型機資料庫!$J$164:$J$175),0)</f>
        <v>0</v>
      </c>
      <c r="V62" s="900">
        <f>IFERROR(LOOKUP(1,0/((成型機資料庫!$F$164:$F$175=J62)*(成型機資料庫!$G$164:$G$175=K62)),成型機資料庫!$L$164:$L$175),0)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38"/>
      <c r="AE62" s="438"/>
      <c r="AF62" s="438"/>
    </row>
    <row r="63" spans="1:32" s="433" customFormat="1" ht="15.75">
      <c r="A63" s="434">
        <v>113</v>
      </c>
      <c r="B63" s="581"/>
      <c r="C63" s="581">
        <v>16</v>
      </c>
      <c r="D63" s="581"/>
      <c r="E63" s="581" t="s">
        <v>43</v>
      </c>
      <c r="F63" s="436" t="s">
        <v>44</v>
      </c>
      <c r="G63" s="927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IFERROR(LOOKUP(1,0/((成型機資料庫!$F$164:$F$175=J63)*(成型機資料庫!$G$164:$G$175=K63)),成型機資料庫!$K$164:$K$175),0)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IFERROR(LOOKUP(1,0/((成型機資料庫!$F$164:$F$175=J63)*(成型機資料庫!$G$164:$G$175=K63)),成型機資料庫!$I$164:$I$175),0)</f>
        <v>0</v>
      </c>
      <c r="U63" s="483">
        <f>IFERROR(LOOKUP(1,0/((成型機資料庫!$F$164:$F$175=J63)*(成型機資料庫!$G$164:$G$175=K63)),成型機資料庫!$J$164:$J$175),0)</f>
        <v>0</v>
      </c>
      <c r="V63" s="900">
        <f>IFERROR(LOOKUP(1,0/((成型機資料庫!$F$164:$F$175=J63)*(成型機資料庫!$G$164:$G$175=K63)),成型機資料庫!$L$164:$L$175),0)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64"/>
      <c r="AE63" s="464"/>
      <c r="AF63" s="438"/>
    </row>
    <row r="64" spans="1:32" s="433" customFormat="1" ht="15.75">
      <c r="A64" s="434">
        <v>113</v>
      </c>
      <c r="B64" s="581"/>
      <c r="C64" s="581">
        <v>17</v>
      </c>
      <c r="D64" s="581"/>
      <c r="E64" s="581" t="s">
        <v>43</v>
      </c>
      <c r="F64" s="436" t="s">
        <v>44</v>
      </c>
      <c r="G64" s="927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IFERROR(LOOKUP(1,0/((成型機資料庫!$F$164:$F$175=J64)*(成型機資料庫!$G$164:$G$175=K64)),成型機資料庫!$K$164:$K$175),0)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IFERROR(LOOKUP(1,0/((成型機資料庫!$F$164:$F$175=J64)*(成型機資料庫!$G$164:$G$175=K64)),成型機資料庫!$I$164:$I$175),0)</f>
        <v>0</v>
      </c>
      <c r="U64" s="483">
        <f>IFERROR(LOOKUP(1,0/((成型機資料庫!$F$164:$F$175=J64)*(成型機資料庫!$G$164:$G$175=K64)),成型機資料庫!$J$164:$J$175),0)</f>
        <v>0</v>
      </c>
      <c r="V64" s="900">
        <f>IFERROR(LOOKUP(1,0/((成型機資料庫!$F$164:$F$175=J64)*(成型機資料庫!$G$164:$G$175=K64)),成型機資料庫!$L$164:$L$175),0)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434"/>
      <c r="C65" s="434">
        <v>18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IFERROR(LOOKUP(1,0/((成型機資料庫!$F$164:$F$175=J65)*(成型機資料庫!$G$164:$G$175=K65)),成型機資料庫!$K$164:$K$175),0)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IFERROR(LOOKUP(1,0/((成型機資料庫!$F$164:$F$175=J65)*(成型機資料庫!$G$164:$G$175=K65)),成型機資料庫!$I$164:$I$175),0)</f>
        <v>0</v>
      </c>
      <c r="U65" s="483">
        <f>IFERROR(LOOKUP(1,0/((成型機資料庫!$F$164:$F$175=J65)*(成型機資料庫!$G$164:$G$175=K65)),成型機資料庫!$J$164:$J$175),0)</f>
        <v>0</v>
      </c>
      <c r="V65" s="900">
        <f>IFERROR(LOOKUP(1,0/((成型機資料庫!$F$164:$F$175=J65)*(成型機資料庫!$G$164:$G$175=K65)),成型機資料庫!$L$164:$L$175),0)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434"/>
      <c r="C66" s="434">
        <v>19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IFERROR(LOOKUP(1,0/((成型機資料庫!$F$164:$F$175=J66)*(成型機資料庫!$G$164:$G$175=K66)),成型機資料庫!$K$164:$K$175),0)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IFERROR(LOOKUP(1,0/((成型機資料庫!$F$164:$F$175=J66)*(成型機資料庫!$G$164:$G$175=K66)),成型機資料庫!$I$164:$I$175),0)</f>
        <v>0</v>
      </c>
      <c r="U66" s="483">
        <f>IFERROR(LOOKUP(1,0/((成型機資料庫!$F$164:$F$175=J66)*(成型機資料庫!$G$164:$G$175=K66)),成型機資料庫!$J$164:$J$175),0)</f>
        <v>0</v>
      </c>
      <c r="V66" s="900">
        <f>IFERROR(LOOKUP(1,0/((成型機資料庫!$F$164:$F$175=J66)*(成型機資料庫!$G$164:$G$175=K66)),成型機資料庫!$L$164:$L$175),0)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20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IFERROR(LOOKUP(1,0/((成型機資料庫!$F$164:$F$175=J67)*(成型機資料庫!$G$164:$G$175=K67)),成型機資料庫!$K$164:$K$175),0)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IFERROR(LOOKUP(1,0/((成型機資料庫!$F$164:$F$175=J67)*(成型機資料庫!$G$164:$G$175=K67)),成型機資料庫!$I$164:$I$175),0)</f>
        <v>0</v>
      </c>
      <c r="U67" s="483">
        <f>IFERROR(LOOKUP(1,0/((成型機資料庫!$F$164:$F$175=J67)*(成型機資料庫!$G$164:$G$175=K67)),成型機資料庫!$J$164:$J$175),0)</f>
        <v>0</v>
      </c>
      <c r="V67" s="900">
        <f>IFERROR(LOOKUP(1,0/((成型機資料庫!$F$164:$F$175=J67)*(成型機資料庫!$G$164:$G$175=K67)),成型機資料庫!$L$164:$L$175),0)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21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IFERROR(LOOKUP(1,0/((成型機資料庫!$F$164:$F$175=J68)*(成型機資料庫!$G$164:$G$175=K68)),成型機資料庫!$K$164:$K$175),0)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IFERROR(LOOKUP(1,0/((成型機資料庫!$F$164:$F$175=J68)*(成型機資料庫!$G$164:$G$175=K68)),成型機資料庫!$I$164:$I$175),0)</f>
        <v>0</v>
      </c>
      <c r="U68" s="483">
        <f>IFERROR(LOOKUP(1,0/((成型機資料庫!$F$164:$F$175=J68)*(成型機資料庫!$G$164:$G$175=K68)),成型機資料庫!$J$164:$J$175),0)</f>
        <v>0</v>
      </c>
      <c r="V68" s="900">
        <f>IFERROR(LOOKUP(1,0/((成型機資料庫!$F$164:$F$175=J68)*(成型機資料庫!$G$164:$G$175=K68)),成型機資料庫!$L$164:$L$175),0)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22</v>
      </c>
      <c r="D69" s="581"/>
      <c r="E69" s="581" t="s">
        <v>43</v>
      </c>
      <c r="F69" s="436" t="s">
        <v>44</v>
      </c>
      <c r="G69" s="927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IFERROR(LOOKUP(1,0/((成型機資料庫!$F$164:$F$175=J69)*(成型機資料庫!$G$164:$G$175=K69)),成型機資料庫!$K$164:$K$175),0)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IFERROR(LOOKUP(1,0/((成型機資料庫!$F$164:$F$175=J69)*(成型機資料庫!$G$164:$G$175=K69)),成型機資料庫!$I$164:$I$175),0)</f>
        <v>0</v>
      </c>
      <c r="U69" s="483">
        <f>IFERROR(LOOKUP(1,0/((成型機資料庫!$F$164:$F$175=J69)*(成型機資料庫!$G$164:$G$175=K69)),成型機資料庫!$J$164:$J$175),0)</f>
        <v>0</v>
      </c>
      <c r="V69" s="900">
        <f>IFERROR(LOOKUP(1,0/((成型機資料庫!$F$164:$F$175=J69)*(成型機資料庫!$G$164:$G$175=K69)),成型機資料庫!$L$164:$L$175),0)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23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IFERROR(LOOKUP(1,0/((成型機資料庫!$F$164:$F$175=J70)*(成型機資料庫!$G$164:$G$175=K70)),成型機資料庫!$K$164:$K$175),0)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IFERROR(LOOKUP(1,0/((成型機資料庫!$F$164:$F$175=J70)*(成型機資料庫!$G$164:$G$175=K70)),成型機資料庫!$I$164:$I$175),0)</f>
        <v>0</v>
      </c>
      <c r="U70" s="483">
        <f>IFERROR(LOOKUP(1,0/((成型機資料庫!$F$164:$F$175=J70)*(成型機資料庫!$G$164:$G$175=K70)),成型機資料庫!$J$164:$J$175),0)</f>
        <v>0</v>
      </c>
      <c r="V70" s="900">
        <f>IFERROR(LOOKUP(1,0/((成型機資料庫!$F$164:$F$175=J70)*(成型機資料庫!$G$164:$G$175=K70)),成型機資料庫!$L$164:$L$175),0)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64"/>
      <c r="AF70" s="438"/>
    </row>
    <row r="71" spans="1:32" s="433" customFormat="1" ht="15.75">
      <c r="A71" s="434">
        <v>113</v>
      </c>
      <c r="B71" s="434"/>
      <c r="C71" s="434">
        <v>24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IFERROR(LOOKUP(1,0/((成型機資料庫!$F$164:$F$175=J71)*(成型機資料庫!$G$164:$G$175=K71)),成型機資料庫!$K$164:$K$175),0)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IFERROR(LOOKUP(1,0/((成型機資料庫!$F$164:$F$175=J71)*(成型機資料庫!$G$164:$G$175=K71)),成型機資料庫!$I$164:$I$175),0)</f>
        <v>0</v>
      </c>
      <c r="U71" s="483">
        <f>IFERROR(LOOKUP(1,0/((成型機資料庫!$F$164:$F$175=J71)*(成型機資料庫!$G$164:$G$175=K71)),成型機資料庫!$J$164:$J$175),0)</f>
        <v>0</v>
      </c>
      <c r="V71" s="900">
        <f>IFERROR(LOOKUP(1,0/((成型機資料庫!$F$164:$F$175=J71)*(成型機資料庫!$G$164:$G$175=K71)),成型機資料庫!$L$164:$L$175),0)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25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IFERROR(LOOKUP(1,0/((成型機資料庫!$F$164:$F$175=J72)*(成型機資料庫!$G$164:$G$175=K72)),成型機資料庫!$K$164:$K$175),0)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IFERROR(LOOKUP(1,0/((成型機資料庫!$F$164:$F$175=J72)*(成型機資料庫!$G$164:$G$175=K72)),成型機資料庫!$I$164:$I$175),0)</f>
        <v>0</v>
      </c>
      <c r="U72" s="483">
        <f>IFERROR(LOOKUP(1,0/((成型機資料庫!$F$164:$F$175=J72)*(成型機資料庫!$G$164:$G$175=K72)),成型機資料庫!$J$164:$J$175),0)</f>
        <v>0</v>
      </c>
      <c r="V72" s="900">
        <f>IFERROR(LOOKUP(1,0/((成型機資料庫!$F$164:$F$175=J72)*(成型機資料庫!$G$164:$G$175=K72)),成型機資料庫!$L$164:$L$175),0)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64"/>
      <c r="AF72" s="438"/>
    </row>
    <row r="73" spans="1:32" s="433" customFormat="1" ht="15.75">
      <c r="A73" s="434">
        <v>113</v>
      </c>
      <c r="B73" s="434"/>
      <c r="C73" s="434">
        <v>26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IFERROR(LOOKUP(1,0/((成型機資料庫!$F$164:$F$175=J73)*(成型機資料庫!$G$164:$G$175=K73)),成型機資料庫!$K$164:$K$175),0)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IFERROR(LOOKUP(1,0/((成型機資料庫!$F$164:$F$175=J73)*(成型機資料庫!$G$164:$G$175=K73)),成型機資料庫!$I$164:$I$175),0)</f>
        <v>0</v>
      </c>
      <c r="U73" s="483">
        <f>IFERROR(LOOKUP(1,0/((成型機資料庫!$F$164:$F$175=J73)*(成型機資料庫!$G$164:$G$175=K73)),成型機資料庫!$J$164:$J$175),0)</f>
        <v>0</v>
      </c>
      <c r="V73" s="900">
        <f>IFERROR(LOOKUP(1,0/((成型機資料庫!$F$164:$F$175=J73)*(成型機資料庫!$G$164:$G$175=K73)),成型機資料庫!$L$164:$L$175),0)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38"/>
      <c r="AE73" s="464"/>
      <c r="AF73" s="438"/>
    </row>
    <row r="74" spans="1:32" s="433" customFormat="1" ht="15.75">
      <c r="A74" s="434">
        <v>113</v>
      </c>
      <c r="B74" s="434"/>
      <c r="C74" s="434">
        <v>27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IFERROR(LOOKUP(1,0/((成型機資料庫!$F$164:$F$175=J74)*(成型機資料庫!$G$164:$G$175=K74)),成型機資料庫!$K$164:$K$175),0)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IFERROR(LOOKUP(1,0/((成型機資料庫!$F$164:$F$175=J74)*(成型機資料庫!$G$164:$G$175=K74)),成型機資料庫!$I$164:$I$175),0)</f>
        <v>0</v>
      </c>
      <c r="U74" s="483">
        <f>IFERROR(LOOKUP(1,0/((成型機資料庫!$F$164:$F$175=J74)*(成型機資料庫!$G$164:$G$175=K74)),成型機資料庫!$J$164:$J$175),0)</f>
        <v>0</v>
      </c>
      <c r="V74" s="900">
        <f>IFERROR(LOOKUP(1,0/((成型機資料庫!$F$164:$F$175=J74)*(成型機資料庫!$G$164:$G$175=K74)),成型機資料庫!$L$164:$L$175),0)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581"/>
      <c r="C75" s="581">
        <v>28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IFERROR(LOOKUP(1,0/((成型機資料庫!$F$164:$F$175=J75)*(成型機資料庫!$G$164:$G$175=K75)),成型機資料庫!$K$164:$K$175),0)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IFERROR(LOOKUP(1,0/((成型機資料庫!$F$164:$F$175=J75)*(成型機資料庫!$G$164:$G$175=K75)),成型機資料庫!$I$164:$I$175),0)</f>
        <v>0</v>
      </c>
      <c r="U75" s="483">
        <f>IFERROR(LOOKUP(1,0/((成型機資料庫!$F$164:$F$175=J75)*(成型機資料庫!$G$164:$G$175=K75)),成型機資料庫!$J$164:$J$175),0)</f>
        <v>0</v>
      </c>
      <c r="V75" s="900">
        <f>IFERROR(LOOKUP(1,0/((成型機資料庫!$F$164:$F$175=J75)*(成型機資料庫!$G$164:$G$175=K75)),成型機資料庫!$L$164:$L$175),0)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581"/>
      <c r="C76" s="581">
        <v>29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IFERROR(LOOKUP(1,0/((成型機資料庫!$F$164:$F$175=J76)*(成型機資料庫!$G$164:$G$175=K76)),成型機資料庫!$K$164:$K$175),0)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IFERROR(LOOKUP(1,0/((成型機資料庫!$F$164:$F$175=J76)*(成型機資料庫!$G$164:$G$175=K76)),成型機資料庫!$I$164:$I$175),0)</f>
        <v>0</v>
      </c>
      <c r="U76" s="483">
        <f>IFERROR(LOOKUP(1,0/((成型機資料庫!$F$164:$F$175=J76)*(成型機資料庫!$G$164:$G$175=K76)),成型機資料庫!$J$164:$J$175),0)</f>
        <v>0</v>
      </c>
      <c r="V76" s="900">
        <f>IFERROR(LOOKUP(1,0/((成型機資料庫!$F$164:$F$175=J76)*(成型機資料庫!$G$164:$G$175=K76)),成型機資料庫!$L$164:$L$175),0)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581"/>
      <c r="C77" s="581">
        <v>30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IFERROR(LOOKUP(1,0/((成型機資料庫!$F$164:$F$175=J77)*(成型機資料庫!$G$164:$G$175=K77)),成型機資料庫!$K$164:$K$175),0)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IFERROR(LOOKUP(1,0/((成型機資料庫!$F$164:$F$175=J77)*(成型機資料庫!$G$164:$G$175=K77)),成型機資料庫!$I$164:$I$175),0)</f>
        <v>0</v>
      </c>
      <c r="U77" s="483">
        <f>IFERROR(LOOKUP(1,0/((成型機資料庫!$F$164:$F$175=J77)*(成型機資料庫!$G$164:$G$175=K77)),成型機資料庫!$J$164:$J$175),0)</f>
        <v>0</v>
      </c>
      <c r="V77" s="900">
        <f>IFERROR(LOOKUP(1,0/((成型機資料庫!$F$164:$F$175=J77)*(成型機資料庫!$G$164:$G$175=K77)),成型機資料庫!$L$164:$L$175),0)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46"/>
      <c r="B78" s="456"/>
      <c r="C78" s="456"/>
      <c r="D78" s="456"/>
      <c r="E78" s="456"/>
      <c r="F78" s="448"/>
      <c r="G78" s="951"/>
      <c r="H78" s="452"/>
      <c r="I78" s="430"/>
      <c r="J78" s="469"/>
      <c r="K78" s="469"/>
      <c r="L78" s="452"/>
      <c r="M78" s="452"/>
      <c r="N78" s="945"/>
      <c r="O78" s="946"/>
      <c r="P78" s="868"/>
      <c r="Q78" s="467"/>
      <c r="R78" s="948"/>
      <c r="S78" s="936"/>
      <c r="T78" s="936"/>
      <c r="U78" s="936"/>
      <c r="V78" s="945"/>
      <c r="W78" s="936"/>
      <c r="X78" s="947"/>
      <c r="Y78" s="936"/>
      <c r="Z78" s="947"/>
      <c r="AA78" s="488"/>
      <c r="AB78" s="439"/>
      <c r="AC78" s="471"/>
      <c r="AD78" s="452"/>
      <c r="AE78" s="439"/>
      <c r="AF78" s="439"/>
    </row>
    <row r="79" spans="1:32" s="433" customFormat="1" ht="15.75">
      <c r="A79" s="446"/>
      <c r="B79" s="456"/>
      <c r="C79" s="456"/>
      <c r="D79" s="456"/>
      <c r="E79" s="456"/>
      <c r="F79" s="448"/>
      <c r="G79" s="951"/>
      <c r="H79" s="452"/>
      <c r="I79" s="430"/>
      <c r="J79" s="469"/>
      <c r="K79" s="469"/>
      <c r="L79" s="452"/>
      <c r="M79" s="452"/>
      <c r="N79" s="945"/>
      <c r="O79" s="946"/>
      <c r="P79" s="868"/>
      <c r="Q79" s="467"/>
      <c r="R79" s="948"/>
      <c r="S79" s="936"/>
      <c r="T79" s="936"/>
      <c r="U79" s="936"/>
      <c r="V79" s="945"/>
      <c r="W79" s="936"/>
      <c r="X79" s="947"/>
      <c r="Y79" s="936"/>
      <c r="Z79" s="947"/>
      <c r="AA79" s="488"/>
      <c r="AB79" s="439"/>
      <c r="AC79" s="471"/>
      <c r="AD79" s="452"/>
      <c r="AE79" s="439"/>
      <c r="AF79" s="439"/>
    </row>
    <row r="80" spans="1:32" s="433" customFormat="1" thickBot="1">
      <c r="A80" s="446"/>
      <c r="B80" s="446"/>
      <c r="C80" s="446"/>
      <c r="D80" s="446"/>
      <c r="E80" s="446"/>
      <c r="F80" s="448"/>
      <c r="G80" s="448"/>
      <c r="H80" s="430"/>
      <c r="I80" s="430"/>
      <c r="J80" s="430"/>
      <c r="K80" s="430"/>
      <c r="L80" s="439"/>
      <c r="M80" s="452"/>
      <c r="N80" s="452"/>
      <c r="O80" s="457"/>
      <c r="P80" s="466"/>
      <c r="Q80" s="467"/>
      <c r="R80" s="486"/>
      <c r="S80" s="457"/>
      <c r="T80" s="457"/>
      <c r="U80" s="457"/>
      <c r="V80" s="458"/>
      <c r="W80" s="487">
        <f>SUM(W48:W77)</f>
        <v>0</v>
      </c>
      <c r="X80" s="487"/>
      <c r="Y80" s="487"/>
      <c r="Z80" s="487"/>
      <c r="AA80" s="488"/>
      <c r="AB80" s="489"/>
      <c r="AC80" s="489"/>
      <c r="AD80" s="469" t="s">
        <v>46</v>
      </c>
      <c r="AE80" s="439"/>
      <c r="AF80" s="439"/>
    </row>
    <row r="81" spans="1:32" s="469" customFormat="1" ht="31.5">
      <c r="A81" s="479"/>
      <c r="B81" s="479"/>
      <c r="C81" s="479"/>
      <c r="D81" s="479"/>
      <c r="E81" s="479"/>
      <c r="F81" s="452"/>
      <c r="G81" s="524" t="s">
        <v>503</v>
      </c>
      <c r="H81" s="517"/>
      <c r="I81" s="518"/>
      <c r="L81" s="1842" t="s">
        <v>1349</v>
      </c>
      <c r="M81" s="525" t="s">
        <v>1294</v>
      </c>
      <c r="N81" s="525" t="s">
        <v>1295</v>
      </c>
      <c r="O81" s="526" t="s">
        <v>458</v>
      </c>
      <c r="P81" s="520"/>
      <c r="Q81" s="521"/>
      <c r="R81" s="524" t="s">
        <v>504</v>
      </c>
      <c r="S81" s="524" t="s">
        <v>455</v>
      </c>
      <c r="T81" s="521"/>
      <c r="U81" s="521"/>
      <c r="V81" s="524" t="s">
        <v>1293</v>
      </c>
      <c r="W81" s="524" t="s">
        <v>459</v>
      </c>
      <c r="X81" s="521"/>
      <c r="Y81" s="524" t="s">
        <v>1345</v>
      </c>
      <c r="Z81" s="524" t="s">
        <v>1350</v>
      </c>
      <c r="AA81" s="524" t="s">
        <v>1351</v>
      </c>
      <c r="AB81" s="524" t="s">
        <v>1353</v>
      </c>
      <c r="AC81" s="524" t="s">
        <v>1352</v>
      </c>
      <c r="AD81" s="469" t="s">
        <v>253</v>
      </c>
      <c r="AE81" s="452"/>
      <c r="AF81" s="452"/>
    </row>
    <row r="82" spans="1:32" thickBot="1">
      <c r="G82" s="522">
        <f>SUM(G48:G77)</f>
        <v>0</v>
      </c>
      <c r="I82" s="431"/>
      <c r="J82" s="518"/>
      <c r="K82" s="518"/>
      <c r="L82" s="1843"/>
      <c r="M82" s="522">
        <f>SUM(M48:M77)</f>
        <v>0</v>
      </c>
      <c r="N82" s="522">
        <f>SUM(N48:N77)</f>
        <v>0</v>
      </c>
      <c r="O82" s="902">
        <f>SUM(O48:O77)</f>
        <v>0</v>
      </c>
      <c r="P82" s="470"/>
      <c r="R82" s="924">
        <f>SUM(R48:R77)</f>
        <v>0</v>
      </c>
      <c r="S82" s="897" t="e">
        <f>(G82-R82)/G82</f>
        <v>#DIV/0!</v>
      </c>
      <c r="T82" s="446"/>
      <c r="U82" s="446"/>
      <c r="V82" s="686" t="e">
        <f>N82/W82</f>
        <v>#DIV/0!</v>
      </c>
      <c r="W82" s="516" t="e">
        <f>W80/Y82</f>
        <v>#DIV/0!</v>
      </c>
      <c r="X82" s="446"/>
      <c r="Y82" s="516"/>
      <c r="Z82" s="958">
        <f>SUM(Z48:Z77)</f>
        <v>0</v>
      </c>
      <c r="AA82" s="516">
        <f>SUM(AA48:AA77)</f>
        <v>0</v>
      </c>
      <c r="AB82" s="516">
        <f>Z82-AA82</f>
        <v>0</v>
      </c>
      <c r="AC82" s="896" t="e">
        <f>AA82/Z82</f>
        <v>#DIV/0!</v>
      </c>
    </row>
    <row r="83" spans="1:32">
      <c r="O83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46:AF47"/>
    <mergeCell ref="L81:L82"/>
    <mergeCell ref="X46:X47"/>
    <mergeCell ref="Y46:Y47"/>
    <mergeCell ref="Z46:Z47"/>
    <mergeCell ref="AA46:AA47"/>
    <mergeCell ref="AB46:AC46"/>
    <mergeCell ref="AD46:AD47"/>
    <mergeCell ref="R46:R47"/>
    <mergeCell ref="S46:S47"/>
    <mergeCell ref="T46:T47"/>
    <mergeCell ref="U46:U47"/>
    <mergeCell ref="V46:V47"/>
    <mergeCell ref="W46:W47"/>
    <mergeCell ref="L46:L47"/>
    <mergeCell ref="P46:P47"/>
    <mergeCell ref="AB2:AC2"/>
    <mergeCell ref="AD2:AD3"/>
    <mergeCell ref="AE2:AE3"/>
    <mergeCell ref="M46:M47"/>
    <mergeCell ref="N46:N47"/>
    <mergeCell ref="O46:O47"/>
    <mergeCell ref="Q46:Q47"/>
    <mergeCell ref="AE46:AE47"/>
    <mergeCell ref="AF2:AF3"/>
    <mergeCell ref="L42:L43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46:A47"/>
    <mergeCell ref="B46:B47"/>
    <mergeCell ref="C46:C47"/>
    <mergeCell ref="D46:D47"/>
    <mergeCell ref="E46:E47"/>
    <mergeCell ref="K46:K47"/>
    <mergeCell ref="F46:F47"/>
    <mergeCell ref="G46:G47"/>
    <mergeCell ref="H46:H47"/>
    <mergeCell ref="I46:I47"/>
    <mergeCell ref="J46:J47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5">
    <cfRule type="cellIs" dxfId="542" priority="3" stopIfTrue="1" operator="equal">
      <formula>"未開機"</formula>
    </cfRule>
  </conditionalFormatting>
  <conditionalFormatting sqref="R48:U79">
    <cfRule type="expression" dxfId="541" priority="1" stopIfTrue="1">
      <formula>R48=0</formula>
    </cfRule>
  </conditionalFormatting>
  <conditionalFormatting sqref="W9:W40">
    <cfRule type="cellIs" dxfId="540" priority="34" stopIfTrue="1" operator="between">
      <formula>0.851</formula>
      <formula>1</formula>
    </cfRule>
    <cfRule type="cellIs" dxfId="539" priority="33" stopIfTrue="1" operator="lessThan">
      <formula>0.7</formula>
    </cfRule>
    <cfRule type="expression" dxfId="538" priority="32" stopIfTrue="1">
      <formula>W9=0</formula>
    </cfRule>
    <cfRule type="expression" dxfId="537" priority="36" stopIfTrue="1">
      <formula>W9=0</formula>
    </cfRule>
    <cfRule type="cellIs" dxfId="536" priority="35" stopIfTrue="1" operator="between">
      <formula>0.7</formula>
      <formula>0.85</formula>
    </cfRule>
  </conditionalFormatting>
  <conditionalFormatting sqref="W48:W79">
    <cfRule type="expression" dxfId="535" priority="15" stopIfTrue="1">
      <formula>W48=0</formula>
    </cfRule>
    <cfRule type="cellIs" dxfId="534" priority="16" stopIfTrue="1" operator="lessThan">
      <formula>0.7</formula>
    </cfRule>
    <cfRule type="cellIs" dxfId="533" priority="17" stopIfTrue="1" operator="between">
      <formula>0.851</formula>
      <formula>1</formula>
    </cfRule>
    <cfRule type="cellIs" dxfId="532" priority="18" stopIfTrue="1" operator="between">
      <formula>0.7</formula>
      <formula>0.85</formula>
    </cfRule>
    <cfRule type="expression" dxfId="531" priority="19" stopIfTrue="1">
      <formula>W48=0</formula>
    </cfRule>
  </conditionalFormatting>
  <conditionalFormatting sqref="W4:Y7 S4:U4 S5:S7 T5:U38 R9:S38 Z9:Z40 R39:U40">
    <cfRule type="expression" dxfId="530" priority="40" stopIfTrue="1">
      <formula>R4=0</formula>
    </cfRule>
  </conditionalFormatting>
  <conditionalFormatting sqref="W4:Y7">
    <cfRule type="cellIs" dxfId="529" priority="37" stopIfTrue="1" operator="lessThan">
      <formula>0.7</formula>
    </cfRule>
    <cfRule type="cellIs" dxfId="528" priority="38" stopIfTrue="1" operator="between">
      <formula>0.851</formula>
      <formula>1</formula>
    </cfRule>
    <cfRule type="cellIs" dxfId="527" priority="39" stopIfTrue="1" operator="between">
      <formula>0.7</formula>
      <formula>0.85</formula>
    </cfRule>
  </conditionalFormatting>
  <conditionalFormatting sqref="X10:X40">
    <cfRule type="cellIs" dxfId="526" priority="22" stopIfTrue="1" operator="lessThan">
      <formula>0.7</formula>
    </cfRule>
    <cfRule type="cellIs" dxfId="525" priority="23" stopIfTrue="1" operator="between">
      <formula>0.851</formula>
      <formula>1</formula>
    </cfRule>
    <cfRule type="cellIs" dxfId="524" priority="24" stopIfTrue="1" operator="between">
      <formula>0.7</formula>
      <formula>0.85</formula>
    </cfRule>
    <cfRule type="expression" dxfId="523" priority="25" stopIfTrue="1">
      <formula>X10=0</formula>
    </cfRule>
    <cfRule type="expression" dxfId="522" priority="21" stopIfTrue="1">
      <formula>X10=0</formula>
    </cfRule>
  </conditionalFormatting>
  <conditionalFormatting sqref="X49:X79">
    <cfRule type="expression" dxfId="521" priority="4" stopIfTrue="1">
      <formula>X49=0</formula>
    </cfRule>
    <cfRule type="cellIs" dxfId="520" priority="5" stopIfTrue="1" operator="lessThan">
      <formula>0.7</formula>
    </cfRule>
    <cfRule type="cellIs" dxfId="519" priority="6" stopIfTrue="1" operator="between">
      <formula>0.851</formula>
      <formula>1</formula>
    </cfRule>
    <cfRule type="cellIs" dxfId="518" priority="7" stopIfTrue="1" operator="between">
      <formula>0.7</formula>
      <formula>0.85</formula>
    </cfRule>
    <cfRule type="expression" dxfId="517" priority="8" stopIfTrue="1">
      <formula>X49=0</formula>
    </cfRule>
  </conditionalFormatting>
  <conditionalFormatting sqref="X9:Y9 Y10:Y40">
    <cfRule type="expression" dxfId="516" priority="27" stopIfTrue="1">
      <formula>X9=0</formula>
    </cfRule>
    <cfRule type="cellIs" dxfId="515" priority="28" stopIfTrue="1" operator="lessThan">
      <formula>0.7</formula>
    </cfRule>
    <cfRule type="cellIs" dxfId="514" priority="29" stopIfTrue="1" operator="between">
      <formula>0.851</formula>
      <formula>1</formula>
    </cfRule>
    <cfRule type="cellIs" dxfId="513" priority="30" stopIfTrue="1" operator="between">
      <formula>0.7</formula>
      <formula>0.85</formula>
    </cfRule>
    <cfRule type="expression" dxfId="512" priority="31" stopIfTrue="1">
      <formula>X9=0</formula>
    </cfRule>
  </conditionalFormatting>
  <conditionalFormatting sqref="X48:Y48 Y49:Y79">
    <cfRule type="expression" dxfId="511" priority="10" stopIfTrue="1">
      <formula>X48=0</formula>
    </cfRule>
    <cfRule type="expression" dxfId="510" priority="14" stopIfTrue="1">
      <formula>X48=0</formula>
    </cfRule>
    <cfRule type="cellIs" dxfId="509" priority="13" stopIfTrue="1" operator="between">
      <formula>0.7</formula>
      <formula>0.85</formula>
    </cfRule>
    <cfRule type="cellIs" dxfId="508" priority="12" stopIfTrue="1" operator="between">
      <formula>0.851</formula>
      <formula>1</formula>
    </cfRule>
    <cfRule type="cellIs" dxfId="507" priority="11" stopIfTrue="1" operator="lessThan">
      <formula>0.7</formula>
    </cfRule>
  </conditionalFormatting>
  <conditionalFormatting sqref="Y9:Y40">
    <cfRule type="cellIs" dxfId="506" priority="26" stopIfTrue="1" operator="greaterThan">
      <formula>1</formula>
    </cfRule>
  </conditionalFormatting>
  <conditionalFormatting sqref="Y48:Y79">
    <cfRule type="cellIs" dxfId="505" priority="9" stopIfTrue="1" operator="greaterThan">
      <formula>1</formula>
    </cfRule>
  </conditionalFormatting>
  <conditionalFormatting sqref="Z48:Z79">
    <cfRule type="expression" dxfId="504" priority="20" stopIfTrue="1">
      <formula>Z48=0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CC11AF7-D424-4543-83E0-E363EE899799}">
          <x14:formula1>
            <xm:f>規格清單!$J$22:$J$25</xm:f>
          </x14:formula1>
          <xm:sqref>J48:J77 J4:J38</xm:sqref>
        </x14:dataValidation>
        <x14:dataValidation type="list" allowBlank="1" showInputMessage="1" showErrorMessage="1" xr:uid="{9B55CB11-8DE5-4D0C-B9F4-C53626B47234}">
          <x14:formula1>
            <xm:f>成型機資料庫!$A$9:$A$11</xm:f>
          </x14:formula1>
          <xm:sqref>K4:K38 K48:K77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9181-AF76-49B6-8E5D-1D0E623FDEB4}">
  <dimension ref="A1:BD87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475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1379</v>
      </c>
      <c r="I4" s="429" t="s">
        <v>1457</v>
      </c>
      <c r="J4" s="429" t="s">
        <v>1456</v>
      </c>
      <c r="K4" s="429" t="s">
        <v>1301</v>
      </c>
      <c r="L4" s="464">
        <v>340</v>
      </c>
      <c r="M4" s="464"/>
      <c r="N4" s="464"/>
      <c r="O4" s="443">
        <f>L4*M4</f>
        <v>0</v>
      </c>
      <c r="P4" s="461">
        <v>21.3</v>
      </c>
      <c r="Q4" s="438">
        <f>IFERROR(LOOKUP(1,0/((成型機資料庫!$F$176:$F$199=J4)*(成型機資料庫!$G$176:$G$199=K4)),成型機資料庫!$K$176:$K$199),0)</f>
        <v>300</v>
      </c>
      <c r="R4" s="477">
        <f>M4*Q4*P4/1000</f>
        <v>0</v>
      </c>
      <c r="S4" s="898">
        <f>IFERROR((G4-R4)/G4,0)</f>
        <v>0</v>
      </c>
      <c r="T4" s="482">
        <f>IFERROR(LOOKUP(1,0/((成型機資料庫!$F$176:$F$199=J4)*(成型機資料庫!$G$176:$G$199=K4)),成型機資料庫!$I$176:$I$199),0)</f>
        <v>10</v>
      </c>
      <c r="U4" s="483">
        <f>IFERROR(LOOKUP(1,0/((成型機資料庫!$F$176:$F$199=J4)*(成型機資料庫!$G$176:$G$199=K4)),成型機資料庫!$J$176:$J$199),0)</f>
        <v>16</v>
      </c>
      <c r="V4" s="900">
        <f>IFERROR(LOOKUP(1,0/((成型機資料庫!$F$176:$F$199=J4)*(成型機資料庫!$G$176:$G$199=K4)),成型機資料庫!$L$176:$L$199),0)</f>
        <v>352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440</v>
      </c>
      <c r="I5" s="429" t="s">
        <v>479</v>
      </c>
      <c r="J5" s="429" t="s">
        <v>1438</v>
      </c>
      <c r="K5" s="429" t="s">
        <v>1301</v>
      </c>
      <c r="L5" s="464">
        <v>400</v>
      </c>
      <c r="M5" s="464"/>
      <c r="N5" s="464"/>
      <c r="O5" s="443">
        <f t="shared" ref="O5:O42" si="0">L5*M5</f>
        <v>0</v>
      </c>
      <c r="P5" s="461">
        <v>7.5</v>
      </c>
      <c r="Q5" s="438">
        <f>IFERROR(LOOKUP(1,0/((成型機資料庫!$F$176:$F$199=J5)*(成型機資料庫!$G$176:$G$199=K5)),成型機資料庫!$K$176:$K$199),0)</f>
        <v>1000</v>
      </c>
      <c r="R5" s="477"/>
      <c r="S5" s="898"/>
      <c r="T5" s="482">
        <f>IFERROR(LOOKUP(1,0/((成型機資料庫!$F$176:$F$199=J5)*(成型機資料庫!$G$176:$G$199=K5)),成型機資料庫!$I$176:$I$199),0)</f>
        <v>21</v>
      </c>
      <c r="U5" s="483">
        <f>IFERROR(LOOKUP(1,0/((成型機資料庫!$F$176:$F$199=J5)*(成型機資料庫!$G$176:$G$199=K5)),成型機資料庫!$J$176:$J$199),0)</f>
        <v>28</v>
      </c>
      <c r="V5" s="900">
        <f>IFERROR(LOOKUP(1,0/((成型機資料庫!$F$176:$F$199=J5)*(成型機資料庫!$G$176:$G$199=K5)),成型機資料庫!$L$176:$L$199),0)</f>
        <v>388.08</v>
      </c>
      <c r="W5" s="898"/>
      <c r="X5" s="898"/>
      <c r="Y5" s="898"/>
      <c r="Z5" s="485"/>
      <c r="AA5" s="478">
        <f t="shared" ref="AA5:AA42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733</v>
      </c>
      <c r="I6" s="429" t="s">
        <v>476</v>
      </c>
      <c r="J6" s="429" t="s">
        <v>1439</v>
      </c>
      <c r="K6" s="429" t="s">
        <v>1301</v>
      </c>
      <c r="L6" s="464">
        <v>351</v>
      </c>
      <c r="M6" s="464"/>
      <c r="N6" s="464"/>
      <c r="O6" s="443">
        <f t="shared" si="0"/>
        <v>0</v>
      </c>
      <c r="P6" s="461">
        <v>7.5</v>
      </c>
      <c r="Q6" s="438">
        <f>IFERROR(LOOKUP(1,0/((成型機資料庫!$F$176:$F$199=J6)*(成型機資料庫!$G$176:$G$199=K6)),成型機資料庫!$K$176:$K$199),0)</f>
        <v>1000</v>
      </c>
      <c r="R6" s="477"/>
      <c r="S6" s="898"/>
      <c r="T6" s="482">
        <f>IFERROR(LOOKUP(1,0/((成型機資料庫!$F$176:$F$199=J6)*(成型機資料庫!$G$176:$G$199=K6)),成型機資料庫!$I$176:$I$199),0)</f>
        <v>21</v>
      </c>
      <c r="U6" s="483">
        <f>IFERROR(LOOKUP(1,0/((成型機資料庫!$F$176:$F$199=J6)*(成型機資料庫!$G$176:$G$199=K6)),成型機資料庫!$J$176:$J$199),0)</f>
        <v>28</v>
      </c>
      <c r="V6" s="900">
        <f>IFERROR(LOOKUP(1,0/((成型機資料庫!$F$176:$F$199=J6)*(成型機資料庫!$G$176:$G$199=K6)),成型機資料庫!$L$176:$L$199),0)</f>
        <v>388.08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733</v>
      </c>
      <c r="I7" s="429" t="s">
        <v>477</v>
      </c>
      <c r="J7" s="429" t="s">
        <v>1424</v>
      </c>
      <c r="K7" s="429" t="s">
        <v>1301</v>
      </c>
      <c r="L7" s="464">
        <v>405</v>
      </c>
      <c r="M7" s="464"/>
      <c r="N7" s="464"/>
      <c r="O7" s="443">
        <f t="shared" si="0"/>
        <v>0</v>
      </c>
      <c r="P7" s="461">
        <v>7.5</v>
      </c>
      <c r="Q7" s="438">
        <f>IFERROR(LOOKUP(1,0/((成型機資料庫!$F$176:$F$199=J7)*(成型機資料庫!$G$176:$G$199=K7)),成型機資料庫!$K$176:$K$199),0)</f>
        <v>1000</v>
      </c>
      <c r="R7" s="477"/>
      <c r="S7" s="898"/>
      <c r="T7" s="482">
        <f>IFERROR(LOOKUP(1,0/((成型機資料庫!$F$176:$F$199=J7)*(成型機資料庫!$G$176:$G$199=K7)),成型機資料庫!$I$176:$I$199),0)</f>
        <v>21</v>
      </c>
      <c r="U7" s="483">
        <f>IFERROR(LOOKUP(1,0/((成型機資料庫!$F$176:$F$199=J7)*(成型機資料庫!$G$176:$G$199=K7)),成型機資料庫!$J$176:$J$199),0)</f>
        <v>28</v>
      </c>
      <c r="V7" s="900">
        <f>IFERROR(LOOKUP(1,0/((成型機資料庫!$F$176:$F$199=J7)*(成型機資料庫!$G$176:$G$199=K7)),成型機資料庫!$L$176:$L$199),0)</f>
        <v>388.08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58</v>
      </c>
      <c r="G8" s="464"/>
      <c r="H8" s="464" t="s">
        <v>1380</v>
      </c>
      <c r="I8" s="429" t="s">
        <v>478</v>
      </c>
      <c r="J8" s="429" t="s">
        <v>1427</v>
      </c>
      <c r="K8" s="429" t="s">
        <v>1301</v>
      </c>
      <c r="L8" s="464">
        <v>383</v>
      </c>
      <c r="M8" s="464"/>
      <c r="N8" s="464"/>
      <c r="O8" s="443">
        <f t="shared" si="0"/>
        <v>0</v>
      </c>
      <c r="P8" s="461">
        <v>7.1</v>
      </c>
      <c r="Q8" s="438">
        <f>IFERROR(LOOKUP(1,0/((成型機資料庫!$F$176:$F$199=J8)*(成型機資料庫!$G$176:$G$199=K8)),成型機資料庫!$K$176:$K$199),0)</f>
        <v>1000</v>
      </c>
      <c r="R8" s="477"/>
      <c r="S8" s="898"/>
      <c r="T8" s="482">
        <f>IFERROR(LOOKUP(1,0/((成型機資料庫!$F$176:$F$199=J8)*(成型機資料庫!$G$176:$G$199=K8)),成型機資料庫!$I$176:$I$199),0)</f>
        <v>14</v>
      </c>
      <c r="U8" s="483">
        <f>IFERROR(LOOKUP(1,0/((成型機資料庫!$F$176:$F$199=J8)*(成型機資料庫!$G$176:$G$199=K8)),成型機資料庫!$J$176:$J$199),0)</f>
        <v>20</v>
      </c>
      <c r="V8" s="900">
        <f>IFERROR(LOOKUP(1,0/((成型機資料庫!$F$176:$F$199=J8)*(成型機資料庫!$G$176:$G$199=K8)),成型機資料庫!$L$176:$L$199),0)</f>
        <v>184.8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934"/>
      <c r="B9" s="934"/>
      <c r="C9" s="934"/>
      <c r="D9" s="934"/>
      <c r="E9" s="934"/>
      <c r="F9" s="435" t="s">
        <v>58</v>
      </c>
      <c r="G9" s="437"/>
      <c r="H9" s="464" t="s">
        <v>733</v>
      </c>
      <c r="I9" s="429" t="s">
        <v>1429</v>
      </c>
      <c r="J9" s="429" t="s">
        <v>1432</v>
      </c>
      <c r="K9" s="429" t="s">
        <v>1301</v>
      </c>
      <c r="L9" s="464">
        <v>640</v>
      </c>
      <c r="M9" s="437"/>
      <c r="N9" s="437"/>
      <c r="O9" s="443"/>
      <c r="P9" s="461">
        <v>11.5</v>
      </c>
      <c r="Q9" s="438">
        <f>IFERROR(LOOKUP(1,0/((成型機資料庫!$F$176:$F$199=J9)*(成型機資料庫!$G$176:$G$199=K9)),成型機資料庫!$K$176:$K$199),0)</f>
        <v>1000</v>
      </c>
      <c r="R9" s="1003"/>
      <c r="S9" s="1004"/>
      <c r="T9" s="482">
        <f>IFERROR(LOOKUP(1,0/((成型機資料庫!$F$176:$F$199=J9)*(成型機資料庫!$G$176:$G$199=K9)),成型機資料庫!$I$176:$I$199),0)</f>
        <v>14</v>
      </c>
      <c r="U9" s="483">
        <f>IFERROR(LOOKUP(1,0/((成型機資料庫!$F$176:$F$199=J9)*(成型機資料庫!$G$176:$G$199=K9)),成型機資料庫!$J$176:$J$199),0)</f>
        <v>21</v>
      </c>
      <c r="V9" s="900">
        <f>IFERROR(LOOKUP(1,0/((成型機資料庫!$F$176:$F$199=J9)*(成型機資料庫!$G$176:$G$199=K9)),成型機資料庫!$L$176:$L$199),0)</f>
        <v>194.04</v>
      </c>
      <c r="W9" s="1004"/>
      <c r="X9" s="1004"/>
      <c r="Y9" s="1004"/>
      <c r="Z9" s="960"/>
      <c r="AA9" s="478"/>
      <c r="AB9" s="539"/>
      <c r="AC9" s="969"/>
      <c r="AD9" s="1006"/>
      <c r="AE9" s="539"/>
      <c r="AF9" s="539"/>
    </row>
    <row r="10" spans="1:56" s="439" customFormat="1" ht="15.75">
      <c r="A10" s="934"/>
      <c r="B10" s="934"/>
      <c r="C10" s="934"/>
      <c r="D10" s="934"/>
      <c r="E10" s="934"/>
      <c r="F10" s="435" t="s">
        <v>58</v>
      </c>
      <c r="G10" s="437"/>
      <c r="H10" s="464" t="s">
        <v>1017</v>
      </c>
      <c r="I10" s="429" t="s">
        <v>1458</v>
      </c>
      <c r="J10" s="429" t="s">
        <v>1436</v>
      </c>
      <c r="K10" s="429" t="s">
        <v>1301</v>
      </c>
      <c r="L10" s="464">
        <v>780</v>
      </c>
      <c r="M10" s="437"/>
      <c r="N10" s="437"/>
      <c r="O10" s="443"/>
      <c r="P10" s="461">
        <v>13.9</v>
      </c>
      <c r="Q10" s="438">
        <f>IFERROR(LOOKUP(1,0/((成型機資料庫!$F$176:$F$199=J10)*(成型機資料庫!$G$176:$G$199=K10)),成型機資料庫!$K$176:$K$199),0)</f>
        <v>1000</v>
      </c>
      <c r="R10" s="1003"/>
      <c r="S10" s="1004"/>
      <c r="T10" s="482">
        <f>IFERROR(LOOKUP(1,0/((成型機資料庫!$F$176:$F$199=J10)*(成型機資料庫!$G$176:$G$199=K10)),成型機資料庫!$I$176:$I$199),0)</f>
        <v>14</v>
      </c>
      <c r="U10" s="483">
        <f>IFERROR(LOOKUP(1,0/((成型機資料庫!$F$176:$F$199=J10)*(成型機資料庫!$G$176:$G$199=K10)),成型機資料庫!$J$176:$J$199),0)</f>
        <v>21</v>
      </c>
      <c r="V10" s="900">
        <f>IFERROR(LOOKUP(1,0/((成型機資料庫!$F$176:$F$199=J10)*(成型機資料庫!$G$176:$G$199=K10)),成型機資料庫!$L$176:$L$199),0)</f>
        <v>194.04</v>
      </c>
      <c r="W10" s="1004"/>
      <c r="X10" s="1004"/>
      <c r="Y10" s="1004"/>
      <c r="Z10" s="960"/>
      <c r="AA10" s="478"/>
      <c r="AB10" s="539"/>
      <c r="AC10" s="969"/>
      <c r="AD10" s="1006"/>
      <c r="AE10" s="539"/>
      <c r="AF10" s="539"/>
    </row>
    <row r="11" spans="1:56" s="439" customFormat="1" ht="15.75">
      <c r="A11" s="934"/>
      <c r="B11" s="934"/>
      <c r="C11" s="934"/>
      <c r="D11" s="934"/>
      <c r="E11" s="934"/>
      <c r="F11" s="435" t="s">
        <v>58</v>
      </c>
      <c r="G11" s="437"/>
      <c r="H11" s="464" t="s">
        <v>1066</v>
      </c>
      <c r="I11" s="429" t="s">
        <v>1459</v>
      </c>
      <c r="J11" s="429" t="s">
        <v>1437</v>
      </c>
      <c r="K11" s="429" t="s">
        <v>1301</v>
      </c>
      <c r="L11" s="464">
        <v>900</v>
      </c>
      <c r="M11" s="437"/>
      <c r="N11" s="437"/>
      <c r="O11" s="443">
        <f t="shared" si="0"/>
        <v>0</v>
      </c>
      <c r="P11" s="461">
        <v>15.3</v>
      </c>
      <c r="Q11" s="438">
        <f>IFERROR(LOOKUP(1,0/((成型機資料庫!$F$176:$F$199=J11)*(成型機資料庫!$G$176:$G$199=K11)),成型機資料庫!$K$176:$K$199),0)</f>
        <v>1000</v>
      </c>
      <c r="R11" s="1003"/>
      <c r="S11" s="1004"/>
      <c r="T11" s="482">
        <f>IFERROR(LOOKUP(1,0/((成型機資料庫!$F$176:$F$199=J11)*(成型機資料庫!$G$176:$G$199=K11)),成型機資料庫!$I$176:$I$199),0)</f>
        <v>14</v>
      </c>
      <c r="U11" s="483">
        <f>IFERROR(LOOKUP(1,0/((成型機資料庫!$F$176:$F$199=J11)*(成型機資料庫!$G$176:$G$199=K11)),成型機資料庫!$J$176:$J$199),0)</f>
        <v>20</v>
      </c>
      <c r="V11" s="900">
        <f>IFERROR(LOOKUP(1,0/((成型機資料庫!$F$176:$F$199=J11)*(成型機資料庫!$G$176:$G$199=K11)),成型機資料庫!$L$176:$L$199),0)</f>
        <v>184.8</v>
      </c>
      <c r="W11" s="1004"/>
      <c r="X11" s="1004"/>
      <c r="Y11" s="1004"/>
      <c r="Z11" s="960"/>
      <c r="AA11" s="478">
        <f t="shared" si="1"/>
        <v>0</v>
      </c>
      <c r="AB11" s="539"/>
      <c r="AC11" s="969"/>
      <c r="AD11" s="1006"/>
      <c r="AE11" s="539"/>
      <c r="AF11" s="539"/>
    </row>
    <row r="12" spans="1:56" s="439" customFormat="1" thickBot="1">
      <c r="A12" s="496"/>
      <c r="B12" s="496"/>
      <c r="C12" s="496"/>
      <c r="D12" s="496"/>
      <c r="E12" s="496"/>
      <c r="F12" s="497"/>
      <c r="G12" s="500"/>
      <c r="H12" s="500"/>
      <c r="I12" s="498"/>
      <c r="J12" s="498"/>
      <c r="K12" s="498"/>
      <c r="L12" s="500"/>
      <c r="M12" s="500"/>
      <c r="N12" s="500"/>
      <c r="O12" s="501">
        <f t="shared" si="0"/>
        <v>0</v>
      </c>
      <c r="P12" s="528"/>
      <c r="Q12" s="499">
        <f>IFERROR(LOOKUP(1,0/((成型機資料庫!$F$176:$F$199=J12)*(成型機資料庫!$G$176:$G$199=K12)),成型機資料庫!$K$176:$K$199),0)</f>
        <v>0</v>
      </c>
      <c r="R12" s="502"/>
      <c r="S12" s="503"/>
      <c r="T12" s="509">
        <f>IFERROR(LOOKUP(1,0/((成型機資料庫!$F$176:$F$199=J12)*(成型機資料庫!$G$176:$G$199=K12)),成型機資料庫!$I$176:$I$199),0)</f>
        <v>0</v>
      </c>
      <c r="U12" s="505">
        <f>IFERROR(LOOKUP(1,0/((成型機資料庫!$F$176:$F$199=J12)*(成型機資料庫!$G$176:$G$199=K12)),成型機資料庫!$J$176:$J$199),0)</f>
        <v>0</v>
      </c>
      <c r="V12" s="991">
        <f>IFERROR(LOOKUP(1,0/((成型機資料庫!$F$176:$F$199=J12)*(成型機資料庫!$G$176:$G$199=K12)),成型機資料庫!$L$176:$L$199),0)</f>
        <v>0</v>
      </c>
      <c r="W12" s="507"/>
      <c r="X12" s="507"/>
      <c r="Y12" s="507"/>
      <c r="Z12" s="507"/>
      <c r="AA12" s="478">
        <f t="shared" si="1"/>
        <v>0</v>
      </c>
      <c r="AB12" s="499"/>
      <c r="AC12" s="509"/>
      <c r="AD12" s="529"/>
      <c r="AE12" s="499"/>
      <c r="AF12" s="499"/>
    </row>
    <row r="13" spans="1:56" s="433" customFormat="1" ht="15.75">
      <c r="A13" s="935">
        <v>113</v>
      </c>
      <c r="B13" s="935"/>
      <c r="C13" s="935">
        <v>1</v>
      </c>
      <c r="D13" s="889"/>
      <c r="E13" s="889" t="s">
        <v>0</v>
      </c>
      <c r="F13" s="962" t="s">
        <v>44</v>
      </c>
      <c r="G13" s="999"/>
      <c r="H13" s="532"/>
      <c r="I13" s="964"/>
      <c r="J13" s="964"/>
      <c r="K13" s="964"/>
      <c r="L13" s="532"/>
      <c r="M13" s="532"/>
      <c r="N13" s="927">
        <f>M13*Q13</f>
        <v>0</v>
      </c>
      <c r="O13" s="995">
        <f t="shared" si="0"/>
        <v>0</v>
      </c>
      <c r="P13" s="1000"/>
      <c r="Q13" s="480">
        <f>IFERROR(LOOKUP(1,0/((成型機資料庫!$F$176:$F$199=J13)*(成型機資料庫!$G$176:$G$199=K13)),成型機資料庫!$K$176:$K$199),0)</f>
        <v>0</v>
      </c>
      <c r="R13" s="997">
        <f t="shared" ref="R13:R42" si="2">M13*Q13*P13/1000</f>
        <v>0</v>
      </c>
      <c r="S13" s="996">
        <f t="shared" ref="S13:S42" si="3">IFERROR((G13-R13)/G13,0)</f>
        <v>0</v>
      </c>
      <c r="T13" s="968">
        <f>IFERROR(LOOKUP(1,0/((成型機資料庫!$F$176:$F$199=J13)*(成型機資料庫!$G$176:$G$199=K13)),成型機資料庫!$I$176:$I$199),0)</f>
        <v>0</v>
      </c>
      <c r="U13" s="967">
        <f>IFERROR(LOOKUP(1,0/((成型機資料庫!$F$176:$F$199=J13)*(成型機資料庫!$G$176:$G$199=K13)),成型機資料庫!$J$176:$J$199),0)</f>
        <v>0</v>
      </c>
      <c r="V13" s="927">
        <f>IFERROR(LOOKUP(1,0/((成型機資料庫!$F$176:$F$199=J13)*(成型機資料庫!$G$176:$G$199=K13)),成型機資料庫!$L$176:$L$199),0)</f>
        <v>0</v>
      </c>
      <c r="W13" s="996">
        <f t="shared" ref="W13:W42" si="4">IFERROR(M13/V13,0)</f>
        <v>0</v>
      </c>
      <c r="X13" s="987">
        <f>IFERROR(T13*U13*60*AA13/Q13,0)</f>
        <v>0</v>
      </c>
      <c r="Y13" s="996">
        <f>IFERROR(M13/X13,0)</f>
        <v>0</v>
      </c>
      <c r="Z13" s="987"/>
      <c r="AA13" s="495">
        <f t="shared" si="1"/>
        <v>0</v>
      </c>
      <c r="AB13" s="480"/>
      <c r="AC13" s="968"/>
      <c r="AD13" s="532"/>
      <c r="AE13" s="480"/>
      <c r="AF13" s="480"/>
    </row>
    <row r="14" spans="1:56" s="433" customFormat="1" ht="15.75">
      <c r="A14" s="434">
        <v>113</v>
      </c>
      <c r="B14" s="581"/>
      <c r="C14" s="581">
        <v>2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ref="N14:N42" si="5">M14*Q14</f>
        <v>0</v>
      </c>
      <c r="O14" s="901">
        <f t="shared" si="0"/>
        <v>0</v>
      </c>
      <c r="P14" s="460"/>
      <c r="Q14" s="438">
        <f>IFERROR(LOOKUP(1,0/((成型機資料庫!$F$176:$F$199=J14)*(成型機資料庫!$G$176:$G$199=K14)),成型機資料庫!$K$176:$K$199),0)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IFERROR(LOOKUP(1,0/((成型機資料庫!$F$176:$F$199=J14)*(成型機資料庫!$G$176:$G$199=K14)),成型機資料庫!$I$176:$I$199),0)</f>
        <v>0</v>
      </c>
      <c r="U14" s="483">
        <f>IFERROR(LOOKUP(1,0/((成型機資料庫!$F$176:$F$199=J14)*(成型機資料庫!$G$176:$G$199=K14)),成型機資料庫!$J$176:$J$199),0)</f>
        <v>0</v>
      </c>
      <c r="V14" s="900">
        <f>IFERROR(LOOKUP(1,0/((成型機資料庫!$F$176:$F$199=J14)*(成型機資料庫!$G$176:$G$199=K14)),成型機資料庫!$L$176:$L$199),0)</f>
        <v>0</v>
      </c>
      <c r="W14" s="898">
        <f t="shared" si="4"/>
        <v>0</v>
      </c>
      <c r="X14" s="923">
        <f t="shared" ref="X14:X42" si="6">IFERROR(T14*U14*60*AA14/Q14,0)</f>
        <v>0</v>
      </c>
      <c r="Y14" s="898">
        <f t="shared" ref="Y14:Y42" si="7">IFERROR(M14/X14,0)</f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3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IFERROR(LOOKUP(1,0/((成型機資料庫!$F$176:$F$199=J15)*(成型機資料庫!$G$176:$G$199=K15)),成型機資料庫!$K$176:$K$199),0)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IFERROR(LOOKUP(1,0/((成型機資料庫!$F$176:$F$199=J15)*(成型機資料庫!$G$176:$G$199=K15)),成型機資料庫!$I$176:$I$199),0)</f>
        <v>0</v>
      </c>
      <c r="U15" s="483">
        <f>IFERROR(LOOKUP(1,0/((成型機資料庫!$F$176:$F$199=J15)*(成型機資料庫!$G$176:$G$199=K15)),成型機資料庫!$J$176:$J$199),0)</f>
        <v>0</v>
      </c>
      <c r="V15" s="900">
        <f>IFERROR(LOOKUP(1,0/((成型機資料庫!$F$176:$F$199=J15)*(成型機資料庫!$G$176:$G$199=K15)),成型機資料庫!$L$176:$L$199),0)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4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IFERROR(LOOKUP(1,0/((成型機資料庫!$F$176:$F$199=J16)*(成型機資料庫!$G$176:$G$199=K16)),成型機資料庫!$K$176:$K$199),0)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IFERROR(LOOKUP(1,0/((成型機資料庫!$F$176:$F$199=J16)*(成型機資料庫!$G$176:$G$199=K16)),成型機資料庫!$I$176:$I$199),0)</f>
        <v>0</v>
      </c>
      <c r="U16" s="483">
        <f>IFERROR(LOOKUP(1,0/((成型機資料庫!$F$176:$F$199=J16)*(成型機資料庫!$G$176:$G$199=K16)),成型機資料庫!$J$176:$J$199),0)</f>
        <v>0</v>
      </c>
      <c r="V16" s="900">
        <f>IFERROR(LOOKUP(1,0/((成型機資料庫!$F$176:$F$199=J16)*(成型機資料庫!$G$176:$G$199=K16)),成型機資料庫!$L$176:$L$199),0)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64"/>
      <c r="AF16" s="438"/>
    </row>
    <row r="17" spans="1:32" s="433" customFormat="1" ht="15.75">
      <c r="A17" s="434">
        <v>113</v>
      </c>
      <c r="B17" s="581"/>
      <c r="C17" s="581">
        <v>5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IFERROR(LOOKUP(1,0/((成型機資料庫!$F$176:$F$199=J17)*(成型機資料庫!$G$176:$G$199=K17)),成型機資料庫!$K$176:$K$199),0)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IFERROR(LOOKUP(1,0/((成型機資料庫!$F$176:$F$199=J17)*(成型機資料庫!$G$176:$G$199=K17)),成型機資料庫!$I$176:$I$199),0)</f>
        <v>0</v>
      </c>
      <c r="U17" s="483">
        <f>IFERROR(LOOKUP(1,0/((成型機資料庫!$F$176:$F$199=J17)*(成型機資料庫!$G$176:$G$199=K17)),成型機資料庫!$J$176:$J$199),0)</f>
        <v>0</v>
      </c>
      <c r="V17" s="900">
        <f>IFERROR(LOOKUP(1,0/((成型機資料庫!$F$176:$F$199=J17)*(成型機資料庫!$G$176:$G$199=K17)),成型機資料庫!$L$176:$L$199),0)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6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IFERROR(LOOKUP(1,0/((成型機資料庫!$F$176:$F$199=J18)*(成型機資料庫!$G$176:$G$199=K18)),成型機資料庫!$K$176:$K$199),0)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IFERROR(LOOKUP(1,0/((成型機資料庫!$F$176:$F$199=J18)*(成型機資料庫!$G$176:$G$199=K18)),成型機資料庫!$I$176:$I$199),0)</f>
        <v>0</v>
      </c>
      <c r="U18" s="483">
        <f>IFERROR(LOOKUP(1,0/((成型機資料庫!$F$176:$F$199=J18)*(成型機資料庫!$G$176:$G$199=K18)),成型機資料庫!$J$176:$J$199),0)</f>
        <v>0</v>
      </c>
      <c r="V18" s="900">
        <f>IFERROR(LOOKUP(1,0/((成型機資料庫!$F$176:$F$199=J18)*(成型機資料庫!$G$176:$G$199=K18)),成型機資料庫!$L$176:$L$199),0)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879"/>
      <c r="AE18" s="438"/>
      <c r="AF18" s="438"/>
    </row>
    <row r="19" spans="1:32" s="433" customFormat="1" ht="15.75">
      <c r="A19" s="434">
        <v>113</v>
      </c>
      <c r="B19" s="581"/>
      <c r="C19" s="581">
        <v>7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IFERROR(LOOKUP(1,0/((成型機資料庫!$F$176:$F$199=J19)*(成型機資料庫!$G$176:$G$199=K19)),成型機資料庫!$K$176:$K$199),0)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IFERROR(LOOKUP(1,0/((成型機資料庫!$F$176:$F$199=J19)*(成型機資料庫!$G$176:$G$199=K19)),成型機資料庫!$I$176:$I$199),0)</f>
        <v>0</v>
      </c>
      <c r="U19" s="483">
        <f>IFERROR(LOOKUP(1,0/((成型機資料庫!$F$176:$F$199=J19)*(成型機資料庫!$G$176:$G$199=K19)),成型機資料庫!$J$176:$J$199),0)</f>
        <v>0</v>
      </c>
      <c r="V19" s="900">
        <f>IFERROR(LOOKUP(1,0/((成型機資料庫!$F$176:$F$199=J19)*(成型機資料庫!$G$176:$G$199=K19)),成型機資料庫!$L$176:$L$199),0)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8</v>
      </c>
      <c r="D20" s="581"/>
      <c r="E20" s="889" t="s">
        <v>0</v>
      </c>
      <c r="F20" s="962" t="s">
        <v>44</v>
      </c>
      <c r="G20" s="927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IFERROR(LOOKUP(1,0/((成型機資料庫!$F$176:$F$199=J20)*(成型機資料庫!$G$176:$G$199=K20)),成型機資料庫!$K$176:$K$199),0)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IFERROR(LOOKUP(1,0/((成型機資料庫!$F$176:$F$199=J20)*(成型機資料庫!$G$176:$G$199=K20)),成型機資料庫!$I$176:$I$199),0)</f>
        <v>0</v>
      </c>
      <c r="U20" s="483">
        <f>IFERROR(LOOKUP(1,0/((成型機資料庫!$F$176:$F$199=J20)*(成型機資料庫!$G$176:$G$199=K20)),成型機資料庫!$J$176:$J$199),0)</f>
        <v>0</v>
      </c>
      <c r="V20" s="900">
        <f>IFERROR(LOOKUP(1,0/((成型機資料庫!$F$176:$F$199=J20)*(成型機資料庫!$G$176:$G$199=K20)),成型機資料庫!$L$176:$L$199),0)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9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IFERROR(LOOKUP(1,0/((成型機資料庫!$F$176:$F$199=J21)*(成型機資料庫!$G$176:$G$199=K21)),成型機資料庫!$K$176:$K$199),0)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IFERROR(LOOKUP(1,0/((成型機資料庫!$F$176:$F$199=J21)*(成型機資料庫!$G$176:$G$199=K21)),成型機資料庫!$I$176:$I$199),0)</f>
        <v>0</v>
      </c>
      <c r="U21" s="483">
        <f>IFERROR(LOOKUP(1,0/((成型機資料庫!$F$176:$F$199=J21)*(成型機資料庫!$G$176:$G$199=K21)),成型機資料庫!$J$176:$J$199),0)</f>
        <v>0</v>
      </c>
      <c r="V21" s="900">
        <f>IFERROR(LOOKUP(1,0/((成型機資料庫!$F$176:$F$199=J21)*(成型機資料庫!$G$176:$G$199=K21)),成型機資料庫!$L$176:$L$199),0)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10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IFERROR(LOOKUP(1,0/((成型機資料庫!$F$176:$F$199=J22)*(成型機資料庫!$G$176:$G$199=K22)),成型機資料庫!$K$176:$K$199),0)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IFERROR(LOOKUP(1,0/((成型機資料庫!$F$176:$F$199=J22)*(成型機資料庫!$G$176:$G$199=K22)),成型機資料庫!$I$176:$I$199),0)</f>
        <v>0</v>
      </c>
      <c r="U22" s="483">
        <f>IFERROR(LOOKUP(1,0/((成型機資料庫!$F$176:$F$199=J22)*(成型機資料庫!$G$176:$G$199=K22)),成型機資料庫!$J$176:$J$199),0)</f>
        <v>0</v>
      </c>
      <c r="V22" s="900">
        <f>IFERROR(LOOKUP(1,0/((成型機資料庫!$F$176:$F$199=J22)*(成型機資料庫!$G$176:$G$199=K22)),成型機資料庫!$L$176:$L$199),0)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38"/>
      <c r="AE22" s="438"/>
      <c r="AF22" s="438"/>
    </row>
    <row r="23" spans="1:32" s="433" customFormat="1" ht="15.75">
      <c r="A23" s="434">
        <v>113</v>
      </c>
      <c r="B23" s="581"/>
      <c r="C23" s="581">
        <v>11</v>
      </c>
      <c r="D23" s="581"/>
      <c r="E23" s="581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IFERROR(LOOKUP(1,0/((成型機資料庫!$F$176:$F$199=J23)*(成型機資料庫!$G$176:$G$199=K23)),成型機資料庫!$K$176:$K$199),0)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IFERROR(LOOKUP(1,0/((成型機資料庫!$F$176:$F$199=J23)*(成型機資料庫!$G$176:$G$199=K23)),成型機資料庫!$I$176:$I$199),0)</f>
        <v>0</v>
      </c>
      <c r="U23" s="483">
        <f>IFERROR(LOOKUP(1,0/((成型機資料庫!$F$176:$F$199=J23)*(成型機資料庫!$G$176:$G$199=K23)),成型機資料庫!$J$176:$J$199),0)</f>
        <v>0</v>
      </c>
      <c r="V23" s="900">
        <f>IFERROR(LOOKUP(1,0/((成型機資料庫!$F$176:$F$199=J23)*(成型機資料庫!$G$176:$G$199=K23)),成型機資料庫!$L$176:$L$199),0)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12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IFERROR(LOOKUP(1,0/((成型機資料庫!$F$176:$F$199=J24)*(成型機資料庫!$G$176:$G$199=K24)),成型機資料庫!$K$176:$K$199),0)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IFERROR(LOOKUP(1,0/((成型機資料庫!$F$176:$F$199=J24)*(成型機資料庫!$G$176:$G$199=K24)),成型機資料庫!$I$176:$I$199),0)</f>
        <v>0</v>
      </c>
      <c r="U24" s="483">
        <f>IFERROR(LOOKUP(1,0/((成型機資料庫!$F$176:$F$199=J24)*(成型機資料庫!$G$176:$G$199=K24)),成型機資料庫!$J$176:$J$199),0)</f>
        <v>0</v>
      </c>
      <c r="V24" s="900">
        <f>IFERROR(LOOKUP(1,0/((成型機資料庫!$F$176:$F$199=J24)*(成型機資料庫!$G$176:$G$199=K24)),成型機資料庫!$L$176:$L$199),0)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13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IFERROR(LOOKUP(1,0/((成型機資料庫!$F$176:$F$199=J25)*(成型機資料庫!$G$176:$G$199=K25)),成型機資料庫!$K$176:$K$199),0)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IFERROR(LOOKUP(1,0/((成型機資料庫!$F$176:$F$199=J25)*(成型機資料庫!$G$176:$G$199=K25)),成型機資料庫!$I$176:$I$199),0)</f>
        <v>0</v>
      </c>
      <c r="U25" s="483">
        <f>IFERROR(LOOKUP(1,0/((成型機資料庫!$F$176:$F$199=J25)*(成型機資料庫!$G$176:$G$199=K25)),成型機資料庫!$J$176:$J$199),0)</f>
        <v>0</v>
      </c>
      <c r="V25" s="900">
        <f>IFERROR(LOOKUP(1,0/((成型機資料庫!$F$176:$F$199=J25)*(成型機資料庫!$G$176:$G$199=K25)),成型機資料庫!$L$176:$L$199),0)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14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IFERROR(LOOKUP(1,0/((成型機資料庫!$F$176:$F$199=J26)*(成型機資料庫!$G$176:$G$199=K26)),成型機資料庫!$K$176:$K$199),0)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IFERROR(LOOKUP(1,0/((成型機資料庫!$F$176:$F$199=J26)*(成型機資料庫!$G$176:$G$199=K26)),成型機資料庫!$I$176:$I$199),0)</f>
        <v>0</v>
      </c>
      <c r="U26" s="483">
        <f>IFERROR(LOOKUP(1,0/((成型機資料庫!$F$176:$F$199=J26)*(成型機資料庫!$G$176:$G$199=K26)),成型機資料庫!$J$176:$J$199),0)</f>
        <v>0</v>
      </c>
      <c r="V26" s="900">
        <f>IFERROR(LOOKUP(1,0/((成型機資料庫!$F$176:$F$199=J26)*(成型機資料庫!$G$176:$G$199=K26)),成型機資料庫!$L$176:$L$199),0)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581"/>
      <c r="C27" s="581">
        <v>15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IFERROR(LOOKUP(1,0/((成型機資料庫!$F$176:$F$199=J27)*(成型機資料庫!$G$176:$G$199=K27)),成型機資料庫!$K$176:$K$199),0)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IFERROR(LOOKUP(1,0/((成型機資料庫!$F$176:$F$199=J27)*(成型機資料庫!$G$176:$G$199=K27)),成型機資料庫!$I$176:$I$199),0)</f>
        <v>0</v>
      </c>
      <c r="U27" s="483">
        <f>IFERROR(LOOKUP(1,0/((成型機資料庫!$F$176:$F$199=J27)*(成型機資料庫!$G$176:$G$199=K27)),成型機資料庫!$J$176:$J$199),0)</f>
        <v>0</v>
      </c>
      <c r="V27" s="900">
        <f>IFERROR(LOOKUP(1,0/((成型機資料庫!$F$176:$F$199=J27)*(成型機資料庫!$G$176:$G$199=K27)),成型機資料庫!$L$176:$L$199),0)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38"/>
      <c r="AE27" s="438"/>
      <c r="AF27" s="438"/>
    </row>
    <row r="28" spans="1:32" s="433" customFormat="1" ht="15.75">
      <c r="A28" s="434">
        <v>113</v>
      </c>
      <c r="B28" s="581"/>
      <c r="C28" s="581">
        <v>16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IFERROR(LOOKUP(1,0/((成型機資料庫!$F$176:$F$199=J28)*(成型機資料庫!$G$176:$G$199=K28)),成型機資料庫!$K$176:$K$199),0)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IFERROR(LOOKUP(1,0/((成型機資料庫!$F$176:$F$199=J28)*(成型機資料庫!$G$176:$G$199=K28)),成型機資料庫!$I$176:$I$199),0)</f>
        <v>0</v>
      </c>
      <c r="U28" s="483">
        <f>IFERROR(LOOKUP(1,0/((成型機資料庫!$F$176:$F$199=J28)*(成型機資料庫!$G$176:$G$199=K28)),成型機資料庫!$J$176:$J$199),0)</f>
        <v>0</v>
      </c>
      <c r="V28" s="900">
        <f>IFERROR(LOOKUP(1,0/((成型機資料庫!$F$176:$F$199=J28)*(成型機資料庫!$G$176:$G$199=K28)),成型機資料庫!$L$176:$L$199),0)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64"/>
      <c r="AF28" s="438"/>
    </row>
    <row r="29" spans="1:32" s="433" customFormat="1" ht="15.75">
      <c r="A29" s="434">
        <v>113</v>
      </c>
      <c r="B29" s="581"/>
      <c r="C29" s="581">
        <v>17</v>
      </c>
      <c r="D29" s="581"/>
      <c r="E29" s="889" t="s">
        <v>0</v>
      </c>
      <c r="F29" s="962" t="s">
        <v>44</v>
      </c>
      <c r="G29" s="927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IFERROR(LOOKUP(1,0/((成型機資料庫!$F$176:$F$199=J29)*(成型機資料庫!$G$176:$G$199=K29)),成型機資料庫!$K$176:$K$199),0)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IFERROR(LOOKUP(1,0/((成型機資料庫!$F$176:$F$199=J29)*(成型機資料庫!$G$176:$G$199=K29)),成型機資料庫!$I$176:$I$199),0)</f>
        <v>0</v>
      </c>
      <c r="U29" s="483">
        <f>IFERROR(LOOKUP(1,0/((成型機資料庫!$F$176:$F$199=J29)*(成型機資料庫!$G$176:$G$199=K29)),成型機資料庫!$J$176:$J$199),0)</f>
        <v>0</v>
      </c>
      <c r="V29" s="900">
        <f>IFERROR(LOOKUP(1,0/((成型機資料庫!$F$176:$F$199=J29)*(成型機資料庫!$G$176:$G$199=K29)),成型機資料庫!$L$176:$L$199),0)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18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IFERROR(LOOKUP(1,0/((成型機資料庫!$F$176:$F$199=J30)*(成型機資料庫!$G$176:$G$199=K30)),成型機資料庫!$K$176:$K$199),0)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IFERROR(LOOKUP(1,0/((成型機資料庫!$F$176:$F$199=J30)*(成型機資料庫!$G$176:$G$199=K30)),成型機資料庫!$I$176:$I$199),0)</f>
        <v>0</v>
      </c>
      <c r="U30" s="483">
        <f>IFERROR(LOOKUP(1,0/((成型機資料庫!$F$176:$F$199=J30)*(成型機資料庫!$G$176:$G$199=K30)),成型機資料庫!$J$176:$J$199),0)</f>
        <v>0</v>
      </c>
      <c r="V30" s="900">
        <f>IFERROR(LOOKUP(1,0/((成型機資料庫!$F$176:$F$199=J30)*(成型機資料庫!$G$176:$G$199=K30)),成型機資料庫!$L$176:$L$199),0)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19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IFERROR(LOOKUP(1,0/((成型機資料庫!$F$176:$F$199=J31)*(成型機資料庫!$G$176:$G$199=K31)),成型機資料庫!$K$176:$K$199),0)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IFERROR(LOOKUP(1,0/((成型機資料庫!$F$176:$F$199=J31)*(成型機資料庫!$G$176:$G$199=K31)),成型機資料庫!$I$176:$I$199),0)</f>
        <v>0</v>
      </c>
      <c r="U31" s="483">
        <f>IFERROR(LOOKUP(1,0/((成型機資料庫!$F$176:$F$199=J31)*(成型機資料庫!$G$176:$G$199=K31)),成型機資料庫!$J$176:$J$199),0)</f>
        <v>0</v>
      </c>
      <c r="V31" s="900">
        <f>IFERROR(LOOKUP(1,0/((成型機資料庫!$F$176:$F$199=J31)*(成型機資料庫!$G$176:$G$199=K31)),成型機資料庫!$L$176:$L$199),0)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20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IFERROR(LOOKUP(1,0/((成型機資料庫!$F$176:$F$199=J32)*(成型機資料庫!$G$176:$G$199=K32)),成型機資料庫!$K$176:$K$199),0)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IFERROR(LOOKUP(1,0/((成型機資料庫!$F$176:$F$199=J32)*(成型機資料庫!$G$176:$G$199=K32)),成型機資料庫!$I$176:$I$199),0)</f>
        <v>0</v>
      </c>
      <c r="U32" s="483">
        <f>IFERROR(LOOKUP(1,0/((成型機資料庫!$F$176:$F$199=J32)*(成型機資料庫!$G$176:$G$199=K32)),成型機資料庫!$J$176:$J$199),0)</f>
        <v>0</v>
      </c>
      <c r="V32" s="900">
        <f>IFERROR(LOOKUP(1,0/((成型機資料庫!$F$176:$F$199=J32)*(成型機資料庫!$G$176:$G$199=K32)),成型機資料庫!$L$176:$L$199),0)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21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IFERROR(LOOKUP(1,0/((成型機資料庫!$F$176:$F$199=J33)*(成型機資料庫!$G$176:$G$199=K33)),成型機資料庫!$K$176:$K$199),0)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IFERROR(LOOKUP(1,0/((成型機資料庫!$F$176:$F$199=J33)*(成型機資料庫!$G$176:$G$199=K33)),成型機資料庫!$I$176:$I$199),0)</f>
        <v>0</v>
      </c>
      <c r="U33" s="483">
        <f>IFERROR(LOOKUP(1,0/((成型機資料庫!$F$176:$F$199=J33)*(成型機資料庫!$G$176:$G$199=K33)),成型機資料庫!$J$176:$J$199),0)</f>
        <v>0</v>
      </c>
      <c r="V33" s="900">
        <f>IFERROR(LOOKUP(1,0/((成型機資料庫!$F$176:$F$199=J33)*(成型機資料庫!$G$176:$G$199=K33)),成型機資料庫!$L$176:$L$199),0)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22</v>
      </c>
      <c r="D34" s="581"/>
      <c r="E34" s="889" t="s">
        <v>0</v>
      </c>
      <c r="F34" s="962" t="s">
        <v>44</v>
      </c>
      <c r="G34" s="927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IFERROR(LOOKUP(1,0/((成型機資料庫!$F$176:$F$199=J34)*(成型機資料庫!$G$176:$G$199=K34)),成型機資料庫!$K$176:$K$199),0)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IFERROR(LOOKUP(1,0/((成型機資料庫!$F$176:$F$199=J34)*(成型機資料庫!$G$176:$G$199=K34)),成型機資料庫!$I$176:$I$199),0)</f>
        <v>0</v>
      </c>
      <c r="U34" s="483">
        <f>IFERROR(LOOKUP(1,0/((成型機資料庫!$F$176:$F$199=J34)*(成型機資料庫!$G$176:$G$199=K34)),成型機資料庫!$J$176:$J$199),0)</f>
        <v>0</v>
      </c>
      <c r="V34" s="900">
        <f>IFERROR(LOOKUP(1,0/((成型機資料庫!$F$176:$F$199=J34)*(成型機資料庫!$G$176:$G$199=K34)),成型機資料庫!$L$176:$L$199),0)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23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IFERROR(LOOKUP(1,0/((成型機資料庫!$F$176:$F$199=J35)*(成型機資料庫!$G$176:$G$199=K35)),成型機資料庫!$K$176:$K$199),0)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IFERROR(LOOKUP(1,0/((成型機資料庫!$F$176:$F$199=J35)*(成型機資料庫!$G$176:$G$199=K35)),成型機資料庫!$I$176:$I$199),0)</f>
        <v>0</v>
      </c>
      <c r="U35" s="483">
        <f>IFERROR(LOOKUP(1,0/((成型機資料庫!$F$176:$F$199=J35)*(成型機資料庫!$G$176:$G$199=K35)),成型機資料庫!$J$176:$J$199),0)</f>
        <v>0</v>
      </c>
      <c r="V35" s="900">
        <f>IFERROR(LOOKUP(1,0/((成型機資料庫!$F$176:$F$199=J35)*(成型機資料庫!$G$176:$G$199=K35)),成型機資料庫!$L$176:$L$199),0)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64"/>
      <c r="AF35" s="438"/>
    </row>
    <row r="36" spans="1:32" s="433" customFormat="1" ht="15.75">
      <c r="A36" s="434">
        <v>113</v>
      </c>
      <c r="B36" s="434"/>
      <c r="C36" s="434">
        <v>24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IFERROR(LOOKUP(1,0/((成型機資料庫!$F$176:$F$199=J36)*(成型機資料庫!$G$176:$G$199=K36)),成型機資料庫!$K$176:$K$199),0)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IFERROR(LOOKUP(1,0/((成型機資料庫!$F$176:$F$199=J36)*(成型機資料庫!$G$176:$G$199=K36)),成型機資料庫!$I$176:$I$199),0)</f>
        <v>0</v>
      </c>
      <c r="U36" s="483">
        <f>IFERROR(LOOKUP(1,0/((成型機資料庫!$F$176:$F$199=J36)*(成型機資料庫!$G$176:$G$199=K36)),成型機資料庫!$J$176:$J$199),0)</f>
        <v>0</v>
      </c>
      <c r="V36" s="900">
        <f>IFERROR(LOOKUP(1,0/((成型機資料庫!$F$176:$F$199=J36)*(成型機資料庫!$G$176:$G$199=K36)),成型機資料庫!$L$176:$L$199),0)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25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IFERROR(LOOKUP(1,0/((成型機資料庫!$F$176:$F$199=J37)*(成型機資料庫!$G$176:$G$199=K37)),成型機資料庫!$K$176:$K$199),0)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IFERROR(LOOKUP(1,0/((成型機資料庫!$F$176:$F$199=J37)*(成型機資料庫!$G$176:$G$199=K37)),成型機資料庫!$I$176:$I$199),0)</f>
        <v>0</v>
      </c>
      <c r="U37" s="483">
        <f>IFERROR(LOOKUP(1,0/((成型機資料庫!$F$176:$F$199=J37)*(成型機資料庫!$G$176:$G$199=K37)),成型機資料庫!$J$176:$J$199),0)</f>
        <v>0</v>
      </c>
      <c r="V37" s="900">
        <f>IFERROR(LOOKUP(1,0/((成型機資料庫!$F$176:$F$199=J37)*(成型機資料庫!$G$176:$G$199=K37)),成型機資料庫!$L$176:$L$199),0)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26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IFERROR(LOOKUP(1,0/((成型機資料庫!$F$176:$F$199=J38)*(成型機資料庫!$G$176:$G$199=K38)),成型機資料庫!$K$176:$K$199),0)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IFERROR(LOOKUP(1,0/((成型機資料庫!$F$176:$F$199=J38)*(成型機資料庫!$G$176:$G$199=K38)),成型機資料庫!$I$176:$I$199),0)</f>
        <v>0</v>
      </c>
      <c r="U38" s="483">
        <f>IFERROR(LOOKUP(1,0/((成型機資料庫!$F$176:$F$199=J38)*(成型機資料庫!$G$176:$G$199=K38)),成型機資料庫!$J$176:$J$199),0)</f>
        <v>0</v>
      </c>
      <c r="V38" s="900">
        <f>IFERROR(LOOKUP(1,0/((成型機資料庫!$F$176:$F$199=J38)*(成型機資料庫!$G$176:$G$199=K38)),成型機資料庫!$L$176:$L$199),0)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38"/>
      <c r="AE38" s="464"/>
      <c r="AF38" s="438"/>
    </row>
    <row r="39" spans="1:32" s="433" customFormat="1" ht="15.75">
      <c r="A39" s="434">
        <v>113</v>
      </c>
      <c r="B39" s="434"/>
      <c r="C39" s="434">
        <v>27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IFERROR(LOOKUP(1,0/((成型機資料庫!$F$176:$F$199=J39)*(成型機資料庫!$G$176:$G$199=K39)),成型機資料庫!$K$176:$K$199),0)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IFERROR(LOOKUP(1,0/((成型機資料庫!$F$176:$F$199=J39)*(成型機資料庫!$G$176:$G$199=K39)),成型機資料庫!$I$176:$I$199),0)</f>
        <v>0</v>
      </c>
      <c r="U39" s="483">
        <f>IFERROR(LOOKUP(1,0/((成型機資料庫!$F$176:$F$199=J39)*(成型機資料庫!$G$176:$G$199=K39)),成型機資料庫!$J$176:$J$199),0)</f>
        <v>0</v>
      </c>
      <c r="V39" s="900">
        <f>IFERROR(LOOKUP(1,0/((成型機資料庫!$F$176:$F$199=J39)*(成型機資料庫!$G$176:$G$199=K39)),成型機資料庫!$L$176:$L$199),0)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28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IFERROR(LOOKUP(1,0/((成型機資料庫!$F$176:$F$199=J40)*(成型機資料庫!$G$176:$G$199=K40)),成型機資料庫!$K$176:$K$199),0)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IFERROR(LOOKUP(1,0/((成型機資料庫!$F$176:$F$199=J40)*(成型機資料庫!$G$176:$G$199=K40)),成型機資料庫!$I$176:$I$199),0)</f>
        <v>0</v>
      </c>
      <c r="U40" s="483">
        <f>IFERROR(LOOKUP(1,0/((成型機資料庫!$F$176:$F$199=J40)*(成型機資料庫!$G$176:$G$199=K40)),成型機資料庫!$J$176:$J$199),0)</f>
        <v>0</v>
      </c>
      <c r="V40" s="900">
        <f>IFERROR(LOOKUP(1,0/((成型機資料庫!$F$176:$F$199=J40)*(成型機資料庫!$G$176:$G$199=K40)),成型機資料庫!$L$176:$L$199),0)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34">
        <v>113</v>
      </c>
      <c r="B41" s="581"/>
      <c r="C41" s="581">
        <v>29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IFERROR(LOOKUP(1,0/((成型機資料庫!$F$176:$F$199=J41)*(成型機資料庫!$G$176:$G$199=K41)),成型機資料庫!$K$176:$K$199),0)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IFERROR(LOOKUP(1,0/((成型機資料庫!$F$176:$F$199=J41)*(成型機資料庫!$G$176:$G$199=K41)),成型機資料庫!$I$176:$I$199),0)</f>
        <v>0</v>
      </c>
      <c r="U41" s="483">
        <f>IFERROR(LOOKUP(1,0/((成型機資料庫!$F$176:$F$199=J41)*(成型機資料庫!$G$176:$G$199=K41)),成型機資料庫!$J$176:$J$199),0)</f>
        <v>0</v>
      </c>
      <c r="V41" s="900">
        <f>IFERROR(LOOKUP(1,0/((成型機資料庫!$F$176:$F$199=J41)*(成型機資料庫!$G$176:$G$199=K41)),成型機資料庫!$L$176:$L$199),0)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64"/>
      <c r="AF41" s="438"/>
    </row>
    <row r="42" spans="1:32" s="433" customFormat="1" ht="15.75">
      <c r="A42" s="434">
        <v>113</v>
      </c>
      <c r="B42" s="581"/>
      <c r="C42" s="581">
        <v>30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IFERROR(LOOKUP(1,0/((成型機資料庫!$F$176:$F$199=J42)*(成型機資料庫!$G$176:$G$199=K42)),成型機資料庫!$K$176:$K$199),0)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IFERROR(LOOKUP(1,0/((成型機資料庫!$F$176:$F$199=J42)*(成型機資料庫!$G$176:$G$199=K42)),成型機資料庫!$I$176:$I$199),0)</f>
        <v>0</v>
      </c>
      <c r="U42" s="483">
        <f>IFERROR(LOOKUP(1,0/((成型機資料庫!$F$176:$F$199=J42)*(成型機資料庫!$G$176:$G$199=K42)),成型機資料庫!$J$176:$J$199),0)</f>
        <v>0</v>
      </c>
      <c r="V42" s="900">
        <f>IFERROR(LOOKUP(1,0/((成型機資料庫!$F$176:$F$199=J42)*(成型機資料庫!$G$176:$G$199=K42)),成型機資料庫!$L$176:$L$199),0)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ht="15.75">
      <c r="A44" s="446"/>
      <c r="B44" s="456"/>
      <c r="C44" s="456"/>
      <c r="D44" s="456"/>
      <c r="E44" s="456"/>
      <c r="F44" s="448"/>
      <c r="G44" s="951"/>
      <c r="H44" s="452"/>
      <c r="I44" s="430"/>
      <c r="J44" s="430"/>
      <c r="K44" s="430"/>
      <c r="L44" s="452"/>
      <c r="M44" s="452"/>
      <c r="N44" s="945"/>
      <c r="O44" s="946"/>
      <c r="P44" s="868"/>
      <c r="Q44" s="467"/>
      <c r="R44" s="948"/>
      <c r="S44" s="936"/>
      <c r="T44" s="936"/>
      <c r="U44" s="936"/>
      <c r="V44" s="945"/>
      <c r="W44" s="936"/>
      <c r="X44" s="947"/>
      <c r="Y44" s="936"/>
      <c r="Z44" s="947"/>
      <c r="AA44" s="488"/>
      <c r="AB44" s="439"/>
      <c r="AC44" s="471"/>
      <c r="AD44" s="452"/>
      <c r="AE44" s="439"/>
      <c r="AF44" s="439"/>
    </row>
    <row r="45" spans="1:32" s="433" customFormat="1" thickBot="1">
      <c r="A45" s="446"/>
      <c r="B45" s="446"/>
      <c r="C45" s="446"/>
      <c r="D45" s="446"/>
      <c r="E45" s="446"/>
      <c r="F45" s="448"/>
      <c r="G45" s="448"/>
      <c r="H45" s="430"/>
      <c r="I45" s="430"/>
      <c r="J45" s="430"/>
      <c r="K45" s="430"/>
      <c r="L45" s="439"/>
      <c r="M45" s="452"/>
      <c r="N45" s="452"/>
      <c r="O45" s="457"/>
      <c r="P45" s="466"/>
      <c r="Q45" s="467"/>
      <c r="R45" s="486"/>
      <c r="S45" s="457"/>
      <c r="T45" s="457"/>
      <c r="U45" s="457"/>
      <c r="V45" s="458"/>
      <c r="W45" s="487">
        <f>SUM(W13:W42)</f>
        <v>0</v>
      </c>
      <c r="X45" s="487"/>
      <c r="Y45" s="487"/>
      <c r="Z45" s="487"/>
      <c r="AA45" s="488"/>
      <c r="AB45" s="489"/>
      <c r="AC45" s="489"/>
      <c r="AD45" s="469" t="s">
        <v>46</v>
      </c>
      <c r="AE45" s="439"/>
      <c r="AF45" s="439"/>
    </row>
    <row r="46" spans="1:32" s="469" customFormat="1" ht="31.5">
      <c r="A46" s="479"/>
      <c r="B46" s="479"/>
      <c r="C46" s="479"/>
      <c r="D46" s="479"/>
      <c r="E46" s="479"/>
      <c r="F46" s="452"/>
      <c r="G46" s="524" t="s">
        <v>503</v>
      </c>
      <c r="H46" s="517"/>
      <c r="I46" s="518"/>
      <c r="L46" s="1842" t="s">
        <v>1348</v>
      </c>
      <c r="M46" s="525" t="s">
        <v>1294</v>
      </c>
      <c r="N46" s="525" t="s">
        <v>1295</v>
      </c>
      <c r="O46" s="526" t="s">
        <v>458</v>
      </c>
      <c r="P46" s="520"/>
      <c r="Q46" s="521"/>
      <c r="R46" s="524" t="s">
        <v>504</v>
      </c>
      <c r="S46" s="524" t="s">
        <v>455</v>
      </c>
      <c r="T46" s="521"/>
      <c r="U46" s="521"/>
      <c r="V46" s="524" t="s">
        <v>1293</v>
      </c>
      <c r="W46" s="524" t="s">
        <v>459</v>
      </c>
      <c r="X46" s="521"/>
      <c r="Y46" s="524" t="s">
        <v>1345</v>
      </c>
      <c r="Z46" s="524" t="s">
        <v>1350</v>
      </c>
      <c r="AA46" s="524" t="s">
        <v>1351</v>
      </c>
      <c r="AB46" s="524" t="s">
        <v>1353</v>
      </c>
      <c r="AC46" s="524" t="s">
        <v>1352</v>
      </c>
      <c r="AD46" s="469" t="s">
        <v>253</v>
      </c>
      <c r="AE46" s="452"/>
      <c r="AF46" s="452"/>
    </row>
    <row r="47" spans="1:32" thickBot="1">
      <c r="G47" s="522">
        <f>SUM(G13:G42)</f>
        <v>0</v>
      </c>
      <c r="I47" s="431"/>
      <c r="J47" s="518"/>
      <c r="K47" s="518"/>
      <c r="L47" s="1843"/>
      <c r="M47" s="522">
        <f>SUM(M13:M42)</f>
        <v>0</v>
      </c>
      <c r="N47" s="522">
        <f>SUM(N13:N42)</f>
        <v>0</v>
      </c>
      <c r="O47" s="902">
        <f>SUM(O13:O42)</f>
        <v>0</v>
      </c>
      <c r="P47" s="470"/>
      <c r="R47" s="924">
        <f>SUM(R13:R42)</f>
        <v>0</v>
      </c>
      <c r="S47" s="897" t="e">
        <f>(G47-R47)/G47</f>
        <v>#DIV/0!</v>
      </c>
      <c r="T47" s="446"/>
      <c r="U47" s="446"/>
      <c r="V47" s="686" t="e">
        <f>N47/W47</f>
        <v>#DIV/0!</v>
      </c>
      <c r="W47" s="516" t="e">
        <f>W45/Y47</f>
        <v>#DIV/0!</v>
      </c>
      <c r="X47" s="446"/>
      <c r="Y47" s="516"/>
      <c r="Z47" s="958">
        <f>SUM(Z13:Z42)</f>
        <v>0</v>
      </c>
      <c r="AA47" s="516">
        <f>SUM(AA13:AA42)</f>
        <v>0</v>
      </c>
      <c r="AB47" s="516">
        <f>Z47-AA47</f>
        <v>0</v>
      </c>
      <c r="AC47" s="896" t="e">
        <f>AA47/Z47</f>
        <v>#DIV/0!</v>
      </c>
    </row>
    <row r="48" spans="1:32">
      <c r="G48" s="453"/>
      <c r="M48" s="453"/>
      <c r="N48" s="453"/>
      <c r="O48"/>
      <c r="P48" s="470"/>
      <c r="R48"/>
      <c r="S48"/>
      <c r="T48"/>
      <c r="U48"/>
    </row>
    <row r="49" spans="1:56" ht="17.25" thickBot="1"/>
    <row r="50" spans="1:56" ht="15.75">
      <c r="A50" s="1824" t="s">
        <v>668</v>
      </c>
      <c r="B50" s="1824" t="s">
        <v>330</v>
      </c>
      <c r="C50" s="1826" t="s">
        <v>311</v>
      </c>
      <c r="D50" s="1828" t="s">
        <v>331</v>
      </c>
      <c r="E50" s="1828" t="s">
        <v>332</v>
      </c>
      <c r="F50" s="1830" t="s">
        <v>194</v>
      </c>
      <c r="G50" s="1830" t="s">
        <v>386</v>
      </c>
      <c r="H50" s="1832" t="s">
        <v>360</v>
      </c>
      <c r="I50" s="1832" t="s">
        <v>361</v>
      </c>
      <c r="J50" s="1832" t="s">
        <v>510</v>
      </c>
      <c r="K50" s="1832" t="s">
        <v>1320</v>
      </c>
      <c r="L50" s="1828" t="s">
        <v>362</v>
      </c>
      <c r="M50" s="1828" t="s">
        <v>514</v>
      </c>
      <c r="N50" s="1856" t="s">
        <v>511</v>
      </c>
      <c r="O50" s="1858" t="s">
        <v>457</v>
      </c>
      <c r="P50" s="1836" t="s">
        <v>379</v>
      </c>
      <c r="Q50" s="1828" t="s">
        <v>627</v>
      </c>
      <c r="R50" s="1852" t="s">
        <v>381</v>
      </c>
      <c r="S50" s="1854" t="s">
        <v>435</v>
      </c>
      <c r="T50" s="1834" t="s">
        <v>365</v>
      </c>
      <c r="U50" s="1836" t="s">
        <v>366</v>
      </c>
      <c r="V50" s="1844" t="s">
        <v>1286</v>
      </c>
      <c r="W50" s="1846" t="s">
        <v>201</v>
      </c>
      <c r="X50" s="1846" t="s">
        <v>1318</v>
      </c>
      <c r="Y50" s="1846" t="s">
        <v>1319</v>
      </c>
      <c r="Z50" s="1849" t="s">
        <v>1285</v>
      </c>
      <c r="AA50" s="1849" t="s">
        <v>339</v>
      </c>
      <c r="AB50" s="1860" t="s">
        <v>340</v>
      </c>
      <c r="AC50" s="1861"/>
      <c r="AD50" s="1862" t="s">
        <v>371</v>
      </c>
      <c r="AE50" s="1862" t="s">
        <v>383</v>
      </c>
      <c r="AF50" s="1840" t="s">
        <v>29</v>
      </c>
    </row>
    <row r="51" spans="1:56" s="447" customFormat="1" thickBot="1">
      <c r="A51" s="1825"/>
      <c r="B51" s="1825"/>
      <c r="C51" s="1827"/>
      <c r="D51" s="1829"/>
      <c r="E51" s="1829"/>
      <c r="F51" s="1831"/>
      <c r="G51" s="1831"/>
      <c r="H51" s="1833"/>
      <c r="I51" s="1833"/>
      <c r="J51" s="1833"/>
      <c r="K51" s="1838"/>
      <c r="L51" s="1829"/>
      <c r="M51" s="1839"/>
      <c r="N51" s="1857"/>
      <c r="O51" s="1859"/>
      <c r="P51" s="1837"/>
      <c r="Q51" s="1829"/>
      <c r="R51" s="1853"/>
      <c r="S51" s="1855"/>
      <c r="T51" s="1835"/>
      <c r="U51" s="1837"/>
      <c r="V51" s="1845"/>
      <c r="W51" s="1847"/>
      <c r="X51" s="1848"/>
      <c r="Y51" s="1848"/>
      <c r="Z51" s="1850"/>
      <c r="AA51" s="1851"/>
      <c r="AB51" s="491" t="s">
        <v>350</v>
      </c>
      <c r="AC51" s="491" t="s">
        <v>351</v>
      </c>
      <c r="AD51" s="1863"/>
      <c r="AE51" s="1863"/>
      <c r="AF51" s="1841"/>
      <c r="AG51" s="446"/>
      <c r="AH51" s="446"/>
      <c r="AU51" s="446"/>
      <c r="AV51" s="446"/>
      <c r="AW51" s="446"/>
      <c r="AX51" s="446"/>
      <c r="AY51" s="446"/>
      <c r="AZ51" s="446"/>
      <c r="BA51" s="446"/>
      <c r="BB51" s="446"/>
      <c r="BC51" s="446"/>
      <c r="BD51" s="446"/>
    </row>
    <row r="52" spans="1:56" s="433" customFormat="1" ht="15.75">
      <c r="A52" s="434">
        <v>113</v>
      </c>
      <c r="B52" s="434"/>
      <c r="C52" s="434">
        <v>1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>M52*Q52</f>
        <v>0</v>
      </c>
      <c r="O52" s="901">
        <f t="shared" ref="O52:O81" si="8">L52*M52</f>
        <v>0</v>
      </c>
      <c r="P52" s="460"/>
      <c r="Q52" s="438">
        <f>IFERROR(LOOKUP(1,0/((成型機資料庫!$F$176:$F$199=J52)*(成型機資料庫!$G$176:$G$199=K52)),成型機資料庫!$K$176:$K$199),0)</f>
        <v>0</v>
      </c>
      <c r="R52" s="899">
        <f t="shared" ref="R52:R81" si="9">M52*Q52*P52/1000</f>
        <v>0</v>
      </c>
      <c r="S52" s="898">
        <f t="shared" ref="S52:S81" si="10">IFERROR((G52-R52)/G52,0)</f>
        <v>0</v>
      </c>
      <c r="T52" s="482">
        <f>IFERROR(LOOKUP(1,0/((成型機資料庫!$F$176:$F$199=J52)*(成型機資料庫!$G$176:$G$199=K52)),成型機資料庫!$I$176:$I$199),0)</f>
        <v>0</v>
      </c>
      <c r="U52" s="483">
        <f>IFERROR(LOOKUP(1,0/((成型機資料庫!$F$176:$F$199=J52)*(成型機資料庫!$G$176:$G$199=K52)),成型機資料庫!$J$176:$J$199),0)</f>
        <v>0</v>
      </c>
      <c r="V52" s="900">
        <f>IFERROR(LOOKUP(1,0/((成型機資料庫!$F$176:$F$199=J52)*(成型機資料庫!$G$176:$G$199=K52)),成型機資料庫!$L$176:$L$199),0)</f>
        <v>0</v>
      </c>
      <c r="W52" s="898">
        <f t="shared" ref="W52:W81" si="11">IFERROR(M52/V52,0)</f>
        <v>0</v>
      </c>
      <c r="X52" s="923">
        <f>IFERROR(T52*U52*60*AA52/Q52,0)</f>
        <v>0</v>
      </c>
      <c r="Y52" s="898">
        <f>IFERROR(M52/X52,0)</f>
        <v>0</v>
      </c>
      <c r="Z52" s="923"/>
      <c r="AA52" s="478">
        <f t="shared" ref="AA52:AA81" si="12">AB52+AC52/60</f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2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ref="N53:N81" si="13">M53*Q53</f>
        <v>0</v>
      </c>
      <c r="O53" s="901">
        <f t="shared" si="8"/>
        <v>0</v>
      </c>
      <c r="P53" s="460"/>
      <c r="Q53" s="438">
        <f>IFERROR(LOOKUP(1,0/((成型機資料庫!$F$176:$F$199=J53)*(成型機資料庫!$G$176:$G$199=K53)),成型機資料庫!$K$176:$K$199),0)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IFERROR(LOOKUP(1,0/((成型機資料庫!$F$176:$F$199=J53)*(成型機資料庫!$G$176:$G$199=K53)),成型機資料庫!$I$176:$I$199),0)</f>
        <v>0</v>
      </c>
      <c r="U53" s="483">
        <f>IFERROR(LOOKUP(1,0/((成型機資料庫!$F$176:$F$199=J53)*(成型機資料庫!$G$176:$G$199=K53)),成型機資料庫!$J$176:$J$199),0)</f>
        <v>0</v>
      </c>
      <c r="V53" s="900">
        <f>IFERROR(LOOKUP(1,0/((成型機資料庫!$F$176:$F$199=J53)*(成型機資料庫!$G$176:$G$199=K53)),成型機資料庫!$L$176:$L$199),0)</f>
        <v>0</v>
      </c>
      <c r="W53" s="898">
        <f t="shared" si="11"/>
        <v>0</v>
      </c>
      <c r="X53" s="923">
        <f t="shared" ref="X53:X81" si="14">IFERROR(T53*U53*60*AA53/Q53,0)</f>
        <v>0</v>
      </c>
      <c r="Y53" s="898">
        <f t="shared" ref="Y53:Y81" si="15">IFERROR(M53/X53,0)</f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56" s="433" customFormat="1" ht="15.75">
      <c r="A54" s="434">
        <v>113</v>
      </c>
      <c r="B54" s="581"/>
      <c r="C54" s="581">
        <v>3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IFERROR(LOOKUP(1,0/((成型機資料庫!$F$176:$F$199=J54)*(成型機資料庫!$G$176:$G$199=K54)),成型機資料庫!$K$176:$K$199),0)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IFERROR(LOOKUP(1,0/((成型機資料庫!$F$176:$F$199=J54)*(成型機資料庫!$G$176:$G$199=K54)),成型機資料庫!$I$176:$I$199),0)</f>
        <v>0</v>
      </c>
      <c r="U54" s="483">
        <f>IFERROR(LOOKUP(1,0/((成型機資料庫!$F$176:$F$199=J54)*(成型機資料庫!$G$176:$G$199=K54)),成型機資料庫!$J$176:$J$199),0)</f>
        <v>0</v>
      </c>
      <c r="V54" s="900">
        <f>IFERROR(LOOKUP(1,0/((成型機資料庫!$F$176:$F$199=J54)*(成型機資料庫!$G$176:$G$199=K54)),成型機資料庫!$L$176:$L$199),0)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38"/>
      <c r="AF54" s="438"/>
    </row>
    <row r="55" spans="1:56" s="433" customFormat="1" ht="15.75">
      <c r="A55" s="434">
        <v>113</v>
      </c>
      <c r="B55" s="581"/>
      <c r="C55" s="581">
        <v>4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IFERROR(LOOKUP(1,0/((成型機資料庫!$F$176:$F$199=J55)*(成型機資料庫!$G$176:$G$199=K55)),成型機資料庫!$K$176:$K$199),0)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IFERROR(LOOKUP(1,0/((成型機資料庫!$F$176:$F$199=J55)*(成型機資料庫!$G$176:$G$199=K55)),成型機資料庫!$I$176:$I$199),0)</f>
        <v>0</v>
      </c>
      <c r="U55" s="483">
        <f>IFERROR(LOOKUP(1,0/((成型機資料庫!$F$176:$F$199=J55)*(成型機資料庫!$G$176:$G$199=K55)),成型機資料庫!$J$176:$J$199),0)</f>
        <v>0</v>
      </c>
      <c r="V55" s="900">
        <f>IFERROR(LOOKUP(1,0/((成型機資料庫!$F$176:$F$199=J55)*(成型機資料庫!$G$176:$G$199=K55)),成型機資料庫!$L$176:$L$199),0)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64"/>
      <c r="AF55" s="438"/>
    </row>
    <row r="56" spans="1:56" s="433" customFormat="1" ht="15.75">
      <c r="A56" s="434">
        <v>113</v>
      </c>
      <c r="B56" s="581"/>
      <c r="C56" s="581">
        <v>5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IFERROR(LOOKUP(1,0/((成型機資料庫!$F$176:$F$199=J56)*(成型機資料庫!$G$176:$G$199=K56)),成型機資料庫!$K$176:$K$199),0)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IFERROR(LOOKUP(1,0/((成型機資料庫!$F$176:$F$199=J56)*(成型機資料庫!$G$176:$G$199=K56)),成型機資料庫!$I$176:$I$199),0)</f>
        <v>0</v>
      </c>
      <c r="U56" s="483">
        <f>IFERROR(LOOKUP(1,0/((成型機資料庫!$F$176:$F$199=J56)*(成型機資料庫!$G$176:$G$199=K56)),成型機資料庫!$J$176:$J$199),0)</f>
        <v>0</v>
      </c>
      <c r="V56" s="900">
        <f>IFERROR(LOOKUP(1,0/((成型機資料庫!$F$176:$F$199=J56)*(成型機資料庫!$G$176:$G$199=K56)),成型機資料庫!$L$176:$L$199),0)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6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IFERROR(LOOKUP(1,0/((成型機資料庫!$F$176:$F$199=J57)*(成型機資料庫!$G$176:$G$199=K57)),成型機資料庫!$K$176:$K$199),0)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IFERROR(LOOKUP(1,0/((成型機資料庫!$F$176:$F$199=J57)*(成型機資料庫!$G$176:$G$199=K57)),成型機資料庫!$I$176:$I$199),0)</f>
        <v>0</v>
      </c>
      <c r="U57" s="483">
        <f>IFERROR(LOOKUP(1,0/((成型機資料庫!$F$176:$F$199=J57)*(成型機資料庫!$G$176:$G$199=K57)),成型機資料庫!$J$176:$J$199),0)</f>
        <v>0</v>
      </c>
      <c r="V57" s="900">
        <f>IFERROR(LOOKUP(1,0/((成型機資料庫!$F$176:$F$199=J57)*(成型機資料庫!$G$176:$G$199=K57)),成型機資料庫!$L$176:$L$199),0)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879"/>
      <c r="AE57" s="438"/>
      <c r="AF57" s="438"/>
    </row>
    <row r="58" spans="1:56" s="433" customFormat="1" ht="15.75">
      <c r="A58" s="434">
        <v>113</v>
      </c>
      <c r="B58" s="581"/>
      <c r="C58" s="581">
        <v>7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IFERROR(LOOKUP(1,0/((成型機資料庫!$F$176:$F$199=J58)*(成型機資料庫!$G$176:$G$199=K58)),成型機資料庫!$K$176:$K$199),0)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IFERROR(LOOKUP(1,0/((成型機資料庫!$F$176:$F$199=J58)*(成型機資料庫!$G$176:$G$199=K58)),成型機資料庫!$I$176:$I$199),0)</f>
        <v>0</v>
      </c>
      <c r="U58" s="483">
        <f>IFERROR(LOOKUP(1,0/((成型機資料庫!$F$176:$F$199=J58)*(成型機資料庫!$G$176:$G$199=K58)),成型機資料庫!$J$176:$J$199),0)</f>
        <v>0</v>
      </c>
      <c r="V58" s="900">
        <f>IFERROR(LOOKUP(1,0/((成型機資料庫!$F$176:$F$199=J58)*(成型機資料庫!$G$176:$G$199=K58)),成型機資料庫!$L$176:$L$199),0)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8</v>
      </c>
      <c r="D59" s="581"/>
      <c r="E59" s="581" t="s">
        <v>43</v>
      </c>
      <c r="F59" s="436" t="s">
        <v>44</v>
      </c>
      <c r="G59" s="927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IFERROR(LOOKUP(1,0/((成型機資料庫!$F$176:$F$199=J59)*(成型機資料庫!$G$176:$G$199=K59)),成型機資料庫!$K$176:$K$199),0)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IFERROR(LOOKUP(1,0/((成型機資料庫!$F$176:$F$199=J59)*(成型機資料庫!$G$176:$G$199=K59)),成型機資料庫!$I$176:$I$199),0)</f>
        <v>0</v>
      </c>
      <c r="U59" s="483">
        <f>IFERROR(LOOKUP(1,0/((成型機資料庫!$F$176:$F$199=J59)*(成型機資料庫!$G$176:$G$199=K59)),成型機資料庫!$J$176:$J$199),0)</f>
        <v>0</v>
      </c>
      <c r="V59" s="900">
        <f>IFERROR(LOOKUP(1,0/((成型機資料庫!$F$176:$F$199=J59)*(成型機資料庫!$G$176:$G$199=K59)),成型機資料庫!$L$176:$L$199),0)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9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IFERROR(LOOKUP(1,0/((成型機資料庫!$F$176:$F$199=J60)*(成型機資料庫!$G$176:$G$199=K60)),成型機資料庫!$K$176:$K$199),0)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IFERROR(LOOKUP(1,0/((成型機資料庫!$F$176:$F$199=J60)*(成型機資料庫!$G$176:$G$199=K60)),成型機資料庫!$I$176:$I$199),0)</f>
        <v>0</v>
      </c>
      <c r="U60" s="483">
        <f>IFERROR(LOOKUP(1,0/((成型機資料庫!$F$176:$F$199=J60)*(成型機資料庫!$G$176:$G$199=K60)),成型機資料庫!$J$176:$J$199),0)</f>
        <v>0</v>
      </c>
      <c r="V60" s="900">
        <f>IFERROR(LOOKUP(1,0/((成型機資料庫!$F$176:$F$199=J60)*(成型機資料庫!$G$176:$G$199=K60)),成型機資料庫!$L$176:$L$199),0)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10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IFERROR(LOOKUP(1,0/((成型機資料庫!$F$176:$F$199=J61)*(成型機資料庫!$G$176:$G$199=K61)),成型機資料庫!$K$176:$K$199),0)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IFERROR(LOOKUP(1,0/((成型機資料庫!$F$176:$F$199=J61)*(成型機資料庫!$G$176:$G$199=K61)),成型機資料庫!$I$176:$I$199),0)</f>
        <v>0</v>
      </c>
      <c r="U61" s="483">
        <f>IFERROR(LOOKUP(1,0/((成型機資料庫!$F$176:$F$199=J61)*(成型機資料庫!$G$176:$G$199=K61)),成型機資料庫!$J$176:$J$199),0)</f>
        <v>0</v>
      </c>
      <c r="V61" s="900">
        <f>IFERROR(LOOKUP(1,0/((成型機資料庫!$F$176:$F$199=J61)*(成型機資料庫!$G$176:$G$199=K61)),成型機資料庫!$L$176:$L$199),0)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38"/>
      <c r="AE61" s="438"/>
      <c r="AF61" s="438"/>
    </row>
    <row r="62" spans="1:56" s="433" customFormat="1" ht="15.75">
      <c r="A62" s="434">
        <v>113</v>
      </c>
      <c r="B62" s="581"/>
      <c r="C62" s="581">
        <v>11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IFERROR(LOOKUP(1,0/((成型機資料庫!$F$176:$F$199=J62)*(成型機資料庫!$G$176:$G$199=K62)),成型機資料庫!$K$176:$K$199),0)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IFERROR(LOOKUP(1,0/((成型機資料庫!$F$176:$F$199=J62)*(成型機資料庫!$G$176:$G$199=K62)),成型機資料庫!$I$176:$I$199),0)</f>
        <v>0</v>
      </c>
      <c r="U62" s="483">
        <f>IFERROR(LOOKUP(1,0/((成型機資料庫!$F$176:$F$199=J62)*(成型機資料庫!$G$176:$G$199=K62)),成型機資料庫!$J$176:$J$199),0)</f>
        <v>0</v>
      </c>
      <c r="V62" s="900">
        <f>IFERROR(LOOKUP(1,0/((成型機資料庫!$F$176:$F$199=J62)*(成型機資料庫!$G$176:$G$199=K62)),成型機資料庫!$L$176:$L$199),0)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12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IFERROR(LOOKUP(1,0/((成型機資料庫!$F$176:$F$199=J63)*(成型機資料庫!$G$176:$G$199=K63)),成型機資料庫!$K$176:$K$199),0)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IFERROR(LOOKUP(1,0/((成型機資料庫!$F$176:$F$199=J63)*(成型機資料庫!$G$176:$G$199=K63)),成型機資料庫!$I$176:$I$199),0)</f>
        <v>0</v>
      </c>
      <c r="U63" s="483">
        <f>IFERROR(LOOKUP(1,0/((成型機資料庫!$F$176:$F$199=J63)*(成型機資料庫!$G$176:$G$199=K63)),成型機資料庫!$J$176:$J$199),0)</f>
        <v>0</v>
      </c>
      <c r="V63" s="900">
        <f>IFERROR(LOOKUP(1,0/((成型機資料庫!$F$176:$F$199=J63)*(成型機資料庫!$G$176:$G$199=K63)),成型機資料庫!$L$176:$L$199),0)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13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IFERROR(LOOKUP(1,0/((成型機資料庫!$F$176:$F$199=J64)*(成型機資料庫!$G$176:$G$199=K64)),成型機資料庫!$K$176:$K$199),0)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IFERROR(LOOKUP(1,0/((成型機資料庫!$F$176:$F$199=J64)*(成型機資料庫!$G$176:$G$199=K64)),成型機資料庫!$I$176:$I$199),0)</f>
        <v>0</v>
      </c>
      <c r="U64" s="483">
        <f>IFERROR(LOOKUP(1,0/((成型機資料庫!$F$176:$F$199=J64)*(成型機資料庫!$G$176:$G$199=K64)),成型機資料庫!$J$176:$J$199),0)</f>
        <v>0</v>
      </c>
      <c r="V64" s="900">
        <f>IFERROR(LOOKUP(1,0/((成型機資料庫!$F$176:$F$199=J64)*(成型機資料庫!$G$176:$G$199=K64)),成型機資料庫!$L$176:$L$199),0)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14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IFERROR(LOOKUP(1,0/((成型機資料庫!$F$176:$F$199=J65)*(成型機資料庫!$G$176:$G$199=K65)),成型機資料庫!$K$176:$K$199),0)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IFERROR(LOOKUP(1,0/((成型機資料庫!$F$176:$F$199=J65)*(成型機資料庫!$G$176:$G$199=K65)),成型機資料庫!$I$176:$I$199),0)</f>
        <v>0</v>
      </c>
      <c r="U65" s="483">
        <f>IFERROR(LOOKUP(1,0/((成型機資料庫!$F$176:$F$199=J65)*(成型機資料庫!$G$176:$G$199=K65)),成型機資料庫!$J$176:$J$199),0)</f>
        <v>0</v>
      </c>
      <c r="V65" s="900">
        <f>IFERROR(LOOKUP(1,0/((成型機資料庫!$F$176:$F$199=J65)*(成型機資料庫!$G$176:$G$199=K65)),成型機資料庫!$L$176:$L$199),0)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581"/>
      <c r="C66" s="581">
        <v>15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IFERROR(LOOKUP(1,0/((成型機資料庫!$F$176:$F$199=J66)*(成型機資料庫!$G$176:$G$199=K66)),成型機資料庫!$K$176:$K$199),0)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IFERROR(LOOKUP(1,0/((成型機資料庫!$F$176:$F$199=J66)*(成型機資料庫!$G$176:$G$199=K66)),成型機資料庫!$I$176:$I$199),0)</f>
        <v>0</v>
      </c>
      <c r="U66" s="483">
        <f>IFERROR(LOOKUP(1,0/((成型機資料庫!$F$176:$F$199=J66)*(成型機資料庫!$G$176:$G$199=K66)),成型機資料庫!$J$176:$J$199),0)</f>
        <v>0</v>
      </c>
      <c r="V66" s="900">
        <f>IFERROR(LOOKUP(1,0/((成型機資料庫!$F$176:$F$199=J66)*(成型機資料庫!$G$176:$G$199=K66)),成型機資料庫!$L$176:$L$199),0)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38"/>
      <c r="AE66" s="438"/>
      <c r="AF66" s="438"/>
    </row>
    <row r="67" spans="1:32" s="433" customFormat="1" ht="15.75">
      <c r="A67" s="434">
        <v>113</v>
      </c>
      <c r="B67" s="581"/>
      <c r="C67" s="581">
        <v>16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IFERROR(LOOKUP(1,0/((成型機資料庫!$F$176:$F$199=J67)*(成型機資料庫!$G$176:$G$199=K67)),成型機資料庫!$K$176:$K$199),0)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IFERROR(LOOKUP(1,0/((成型機資料庫!$F$176:$F$199=J67)*(成型機資料庫!$G$176:$G$199=K67)),成型機資料庫!$I$176:$I$199),0)</f>
        <v>0</v>
      </c>
      <c r="U67" s="483">
        <f>IFERROR(LOOKUP(1,0/((成型機資料庫!$F$176:$F$199=J67)*(成型機資料庫!$G$176:$G$199=K67)),成型機資料庫!$J$176:$J$199),0)</f>
        <v>0</v>
      </c>
      <c r="V67" s="900">
        <f>IFERROR(LOOKUP(1,0/((成型機資料庫!$F$176:$F$199=J67)*(成型機資料庫!$G$176:$G$199=K67)),成型機資料庫!$L$176:$L$199),0)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64"/>
      <c r="AF67" s="438"/>
    </row>
    <row r="68" spans="1:32" s="433" customFormat="1" ht="15.75">
      <c r="A68" s="434">
        <v>113</v>
      </c>
      <c r="B68" s="581"/>
      <c r="C68" s="581">
        <v>17</v>
      </c>
      <c r="D68" s="581"/>
      <c r="E68" s="581" t="s">
        <v>43</v>
      </c>
      <c r="F68" s="436" t="s">
        <v>44</v>
      </c>
      <c r="G68" s="927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IFERROR(LOOKUP(1,0/((成型機資料庫!$F$176:$F$199=J68)*(成型機資料庫!$G$176:$G$199=K68)),成型機資料庫!$K$176:$K$199),0)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IFERROR(LOOKUP(1,0/((成型機資料庫!$F$176:$F$199=J68)*(成型機資料庫!$G$176:$G$199=K68)),成型機資料庫!$I$176:$I$199),0)</f>
        <v>0</v>
      </c>
      <c r="U68" s="483">
        <f>IFERROR(LOOKUP(1,0/((成型機資料庫!$F$176:$F$199=J68)*(成型機資料庫!$G$176:$G$199=K68)),成型機資料庫!$J$176:$J$199),0)</f>
        <v>0</v>
      </c>
      <c r="V68" s="900">
        <f>IFERROR(LOOKUP(1,0/((成型機資料庫!$F$176:$F$199=J68)*(成型機資料庫!$G$176:$G$199=K68)),成型機資料庫!$L$176:$L$199),0)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18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IFERROR(LOOKUP(1,0/((成型機資料庫!$F$176:$F$199=J69)*(成型機資料庫!$G$176:$G$199=K69)),成型機資料庫!$K$176:$K$199),0)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IFERROR(LOOKUP(1,0/((成型機資料庫!$F$176:$F$199=J69)*(成型機資料庫!$G$176:$G$199=K69)),成型機資料庫!$I$176:$I$199),0)</f>
        <v>0</v>
      </c>
      <c r="U69" s="483">
        <f>IFERROR(LOOKUP(1,0/((成型機資料庫!$F$176:$F$199=J69)*(成型機資料庫!$G$176:$G$199=K69)),成型機資料庫!$J$176:$J$199),0)</f>
        <v>0</v>
      </c>
      <c r="V69" s="900">
        <f>IFERROR(LOOKUP(1,0/((成型機資料庫!$F$176:$F$199=J69)*(成型機資料庫!$G$176:$G$199=K69)),成型機資料庫!$L$176:$L$199),0)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19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IFERROR(LOOKUP(1,0/((成型機資料庫!$F$176:$F$199=J70)*(成型機資料庫!$G$176:$G$199=K70)),成型機資料庫!$K$176:$K$199),0)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IFERROR(LOOKUP(1,0/((成型機資料庫!$F$176:$F$199=J70)*(成型機資料庫!$G$176:$G$199=K70)),成型機資料庫!$I$176:$I$199),0)</f>
        <v>0</v>
      </c>
      <c r="U70" s="483">
        <f>IFERROR(LOOKUP(1,0/((成型機資料庫!$F$176:$F$199=J70)*(成型機資料庫!$G$176:$G$199=K70)),成型機資料庫!$J$176:$J$199),0)</f>
        <v>0</v>
      </c>
      <c r="V70" s="900">
        <f>IFERROR(LOOKUP(1,0/((成型機資料庫!$F$176:$F$199=J70)*(成型機資料庫!$G$176:$G$199=K70)),成型機資料庫!$L$176:$L$199),0)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20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IFERROR(LOOKUP(1,0/((成型機資料庫!$F$176:$F$199=J71)*(成型機資料庫!$G$176:$G$199=K71)),成型機資料庫!$K$176:$K$199),0)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IFERROR(LOOKUP(1,0/((成型機資料庫!$F$176:$F$199=J71)*(成型機資料庫!$G$176:$G$199=K71)),成型機資料庫!$I$176:$I$199),0)</f>
        <v>0</v>
      </c>
      <c r="U71" s="483">
        <f>IFERROR(LOOKUP(1,0/((成型機資料庫!$F$176:$F$199=J71)*(成型機資料庫!$G$176:$G$199=K71)),成型機資料庫!$J$176:$J$199),0)</f>
        <v>0</v>
      </c>
      <c r="V71" s="900">
        <f>IFERROR(LOOKUP(1,0/((成型機資料庫!$F$176:$F$199=J71)*(成型機資料庫!$G$176:$G$199=K71)),成型機資料庫!$L$176:$L$199),0)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21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IFERROR(LOOKUP(1,0/((成型機資料庫!$F$176:$F$199=J72)*(成型機資料庫!$G$176:$G$199=K72)),成型機資料庫!$K$176:$K$199),0)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IFERROR(LOOKUP(1,0/((成型機資料庫!$F$176:$F$199=J72)*(成型機資料庫!$G$176:$G$199=K72)),成型機資料庫!$I$176:$I$199),0)</f>
        <v>0</v>
      </c>
      <c r="U72" s="483">
        <f>IFERROR(LOOKUP(1,0/((成型機資料庫!$F$176:$F$199=J72)*(成型機資料庫!$G$176:$G$199=K72)),成型機資料庫!$J$176:$J$199),0)</f>
        <v>0</v>
      </c>
      <c r="V72" s="900">
        <f>IFERROR(LOOKUP(1,0/((成型機資料庫!$F$176:$F$199=J72)*(成型機資料庫!$G$176:$G$199=K72)),成型機資料庫!$L$176:$L$199),0)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22</v>
      </c>
      <c r="D73" s="581"/>
      <c r="E73" s="581" t="s">
        <v>43</v>
      </c>
      <c r="F73" s="436" t="s">
        <v>44</v>
      </c>
      <c r="G73" s="927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IFERROR(LOOKUP(1,0/((成型機資料庫!$F$176:$F$199=J73)*(成型機資料庫!$G$176:$G$199=K73)),成型機資料庫!$K$176:$K$199),0)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IFERROR(LOOKUP(1,0/((成型機資料庫!$F$176:$F$199=J73)*(成型機資料庫!$G$176:$G$199=K73)),成型機資料庫!$I$176:$I$199),0)</f>
        <v>0</v>
      </c>
      <c r="U73" s="483">
        <f>IFERROR(LOOKUP(1,0/((成型機資料庫!$F$176:$F$199=J73)*(成型機資料庫!$G$176:$G$199=K73)),成型機資料庫!$J$176:$J$199),0)</f>
        <v>0</v>
      </c>
      <c r="V73" s="900">
        <f>IFERROR(LOOKUP(1,0/((成型機資料庫!$F$176:$F$199=J73)*(成型機資料庫!$G$176:$G$199=K73)),成型機資料庫!$L$176:$L$199),0)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23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IFERROR(LOOKUP(1,0/((成型機資料庫!$F$176:$F$199=J74)*(成型機資料庫!$G$176:$G$199=K74)),成型機資料庫!$K$176:$K$199),0)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IFERROR(LOOKUP(1,0/((成型機資料庫!$F$176:$F$199=J74)*(成型機資料庫!$G$176:$G$199=K74)),成型機資料庫!$I$176:$I$199),0)</f>
        <v>0</v>
      </c>
      <c r="U74" s="483">
        <f>IFERROR(LOOKUP(1,0/((成型機資料庫!$F$176:$F$199=J74)*(成型機資料庫!$G$176:$G$199=K74)),成型機資料庫!$J$176:$J$199),0)</f>
        <v>0</v>
      </c>
      <c r="V74" s="900">
        <f>IFERROR(LOOKUP(1,0/((成型機資料庫!$F$176:$F$199=J74)*(成型機資料庫!$G$176:$G$199=K74)),成型機資料庫!$L$176:$L$199),0)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64"/>
      <c r="AF74" s="438"/>
    </row>
    <row r="75" spans="1:32" s="433" customFormat="1" ht="15.75">
      <c r="A75" s="434">
        <v>113</v>
      </c>
      <c r="B75" s="434"/>
      <c r="C75" s="434">
        <v>24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IFERROR(LOOKUP(1,0/((成型機資料庫!$F$176:$F$199=J75)*(成型機資料庫!$G$176:$G$199=K75)),成型機資料庫!$K$176:$K$199),0)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IFERROR(LOOKUP(1,0/((成型機資料庫!$F$176:$F$199=J75)*(成型機資料庫!$G$176:$G$199=K75)),成型機資料庫!$I$176:$I$199),0)</f>
        <v>0</v>
      </c>
      <c r="U75" s="483">
        <f>IFERROR(LOOKUP(1,0/((成型機資料庫!$F$176:$F$199=J75)*(成型機資料庫!$G$176:$G$199=K75)),成型機資料庫!$J$176:$J$199),0)</f>
        <v>0</v>
      </c>
      <c r="V75" s="900">
        <f>IFERROR(LOOKUP(1,0/((成型機資料庫!$F$176:$F$199=J75)*(成型機資料庫!$G$176:$G$199=K75)),成型機資料庫!$L$176:$L$199),0)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25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IFERROR(LOOKUP(1,0/((成型機資料庫!$F$176:$F$199=J76)*(成型機資料庫!$G$176:$G$199=K76)),成型機資料庫!$K$176:$K$199),0)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IFERROR(LOOKUP(1,0/((成型機資料庫!$F$176:$F$199=J76)*(成型機資料庫!$G$176:$G$199=K76)),成型機資料庫!$I$176:$I$199),0)</f>
        <v>0</v>
      </c>
      <c r="U76" s="483">
        <f>IFERROR(LOOKUP(1,0/((成型機資料庫!$F$176:$F$199=J76)*(成型機資料庫!$G$176:$G$199=K76)),成型機資料庫!$J$176:$J$199),0)</f>
        <v>0</v>
      </c>
      <c r="V76" s="900">
        <f>IFERROR(LOOKUP(1,0/((成型機資料庫!$F$176:$F$199=J76)*(成型機資料庫!$G$176:$G$199=K76)),成型機資料庫!$L$176:$L$199),0)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26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IFERROR(LOOKUP(1,0/((成型機資料庫!$F$176:$F$199=J77)*(成型機資料庫!$G$176:$G$199=K77)),成型機資料庫!$K$176:$K$199),0)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IFERROR(LOOKUP(1,0/((成型機資料庫!$F$176:$F$199=J77)*(成型機資料庫!$G$176:$G$199=K77)),成型機資料庫!$I$176:$I$199),0)</f>
        <v>0</v>
      </c>
      <c r="U77" s="483">
        <f>IFERROR(LOOKUP(1,0/((成型機資料庫!$F$176:$F$199=J77)*(成型機資料庫!$G$176:$G$199=K77)),成型機資料庫!$J$176:$J$199),0)</f>
        <v>0</v>
      </c>
      <c r="V77" s="900">
        <f>IFERROR(LOOKUP(1,0/((成型機資料庫!$F$176:$F$199=J77)*(成型機資料庫!$G$176:$G$199=K77)),成型機資料庫!$L$176:$L$199),0)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38"/>
      <c r="AE77" s="464"/>
      <c r="AF77" s="438"/>
    </row>
    <row r="78" spans="1:32" s="433" customFormat="1" ht="15.75">
      <c r="A78" s="434">
        <v>113</v>
      </c>
      <c r="B78" s="434"/>
      <c r="C78" s="434">
        <v>27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IFERROR(LOOKUP(1,0/((成型機資料庫!$F$176:$F$199=J78)*(成型機資料庫!$G$176:$G$199=K78)),成型機資料庫!$K$176:$K$199),0)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IFERROR(LOOKUP(1,0/((成型機資料庫!$F$176:$F$199=J78)*(成型機資料庫!$G$176:$G$199=K78)),成型機資料庫!$I$176:$I$199),0)</f>
        <v>0</v>
      </c>
      <c r="U78" s="483">
        <f>IFERROR(LOOKUP(1,0/((成型機資料庫!$F$176:$F$199=J78)*(成型機資料庫!$G$176:$G$199=K78)),成型機資料庫!$J$176:$J$199),0)</f>
        <v>0</v>
      </c>
      <c r="V78" s="900">
        <f>IFERROR(LOOKUP(1,0/((成型機資料庫!$F$176:$F$199=J78)*(成型機資料庫!$G$176:$G$199=K78)),成型機資料庫!$L$176:$L$199),0)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28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IFERROR(LOOKUP(1,0/((成型機資料庫!$F$176:$F$199=J79)*(成型機資料庫!$G$176:$G$199=K79)),成型機資料庫!$K$176:$K$199),0)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IFERROR(LOOKUP(1,0/((成型機資料庫!$F$176:$F$199=J79)*(成型機資料庫!$G$176:$G$199=K79)),成型機資料庫!$I$176:$I$199),0)</f>
        <v>0</v>
      </c>
      <c r="U79" s="483">
        <f>IFERROR(LOOKUP(1,0/((成型機資料庫!$F$176:$F$199=J79)*(成型機資料庫!$G$176:$G$199=K79)),成型機資料庫!$J$176:$J$199),0)</f>
        <v>0</v>
      </c>
      <c r="V79" s="900">
        <f>IFERROR(LOOKUP(1,0/((成型機資料庫!$F$176:$F$199=J79)*(成型機資料庫!$G$176:$G$199=K79)),成型機資料庫!$L$176:$L$199),0)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38"/>
      <c r="AF79" s="438"/>
    </row>
    <row r="80" spans="1:32" s="433" customFormat="1" ht="15.75">
      <c r="A80" s="434">
        <v>113</v>
      </c>
      <c r="B80" s="581"/>
      <c r="C80" s="581">
        <v>29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IFERROR(LOOKUP(1,0/((成型機資料庫!$F$176:$F$199=J80)*(成型機資料庫!$G$176:$G$199=K80)),成型機資料庫!$K$176:$K$199),0)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IFERROR(LOOKUP(1,0/((成型機資料庫!$F$176:$F$199=J80)*(成型機資料庫!$G$176:$G$199=K80)),成型機資料庫!$I$176:$I$199),0)</f>
        <v>0</v>
      </c>
      <c r="U80" s="483">
        <f>IFERROR(LOOKUP(1,0/((成型機資料庫!$F$176:$F$199=J80)*(成型機資料庫!$G$176:$G$199=K80)),成型機資料庫!$J$176:$J$199),0)</f>
        <v>0</v>
      </c>
      <c r="V80" s="900">
        <f>IFERROR(LOOKUP(1,0/((成型機資料庫!$F$176:$F$199=J80)*(成型機資料庫!$G$176:$G$199=K80)),成型機資料庫!$L$176:$L$199),0)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64"/>
      <c r="AF80" s="438"/>
    </row>
    <row r="81" spans="1:32" s="433" customFormat="1" ht="15.75">
      <c r="A81" s="434">
        <v>113</v>
      </c>
      <c r="B81" s="581"/>
      <c r="C81" s="581">
        <v>30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IFERROR(LOOKUP(1,0/((成型機資料庫!$F$176:$F$199=J81)*(成型機資料庫!$G$176:$G$199=K81)),成型機資料庫!$K$176:$K$199),0)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IFERROR(LOOKUP(1,0/((成型機資料庫!$F$176:$F$199=J81)*(成型機資料庫!$G$176:$G$199=K81)),成型機資料庫!$I$176:$I$199),0)</f>
        <v>0</v>
      </c>
      <c r="U81" s="483">
        <f>IFERROR(LOOKUP(1,0/((成型機資料庫!$F$176:$F$199=J81)*(成型機資料庫!$G$176:$G$199=K81)),成型機資料庫!$J$176:$J$199),0)</f>
        <v>0</v>
      </c>
      <c r="V81" s="900">
        <f>IFERROR(LOOKUP(1,0/((成型機資料庫!$F$176:$F$199=J81)*(成型機資料庫!$G$176:$G$199=K81)),成型機資料庫!$L$176:$L$199),0)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32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32" s="433" customFormat="1" ht="15.75">
      <c r="A83" s="446"/>
      <c r="B83" s="456"/>
      <c r="C83" s="456"/>
      <c r="D83" s="456"/>
      <c r="E83" s="456"/>
      <c r="F83" s="448"/>
      <c r="G83" s="951"/>
      <c r="H83" s="452"/>
      <c r="I83" s="430"/>
      <c r="J83" s="469"/>
      <c r="K83" s="469"/>
      <c r="L83" s="452"/>
      <c r="M83" s="452"/>
      <c r="N83" s="945"/>
      <c r="O83" s="946"/>
      <c r="P83" s="868"/>
      <c r="Q83" s="467"/>
      <c r="R83" s="948"/>
      <c r="S83" s="936"/>
      <c r="T83" s="936"/>
      <c r="U83" s="936"/>
      <c r="V83" s="945"/>
      <c r="W83" s="936"/>
      <c r="X83" s="947"/>
      <c r="Y83" s="936"/>
      <c r="Z83" s="947"/>
      <c r="AA83" s="488"/>
      <c r="AB83" s="439"/>
      <c r="AC83" s="471"/>
      <c r="AD83" s="452"/>
      <c r="AE83" s="439"/>
      <c r="AF83" s="439"/>
    </row>
    <row r="84" spans="1:32" s="433" customFormat="1" thickBot="1">
      <c r="A84" s="446"/>
      <c r="B84" s="446"/>
      <c r="C84" s="446"/>
      <c r="D84" s="446"/>
      <c r="E84" s="446"/>
      <c r="F84" s="448"/>
      <c r="G84" s="448"/>
      <c r="H84" s="430"/>
      <c r="I84" s="430"/>
      <c r="J84" s="430"/>
      <c r="K84" s="430"/>
      <c r="L84" s="439"/>
      <c r="M84" s="452"/>
      <c r="N84" s="452"/>
      <c r="O84" s="457"/>
      <c r="P84" s="466"/>
      <c r="Q84" s="467"/>
      <c r="R84" s="486"/>
      <c r="S84" s="457"/>
      <c r="T84" s="457"/>
      <c r="U84" s="457"/>
      <c r="V84" s="458"/>
      <c r="W84" s="487">
        <f>SUM(W52:W81)</f>
        <v>0</v>
      </c>
      <c r="X84" s="487"/>
      <c r="Y84" s="487"/>
      <c r="Z84" s="487"/>
      <c r="AA84" s="488"/>
      <c r="AB84" s="489"/>
      <c r="AC84" s="489"/>
      <c r="AD84" s="469" t="s">
        <v>46</v>
      </c>
      <c r="AE84" s="439"/>
      <c r="AF84" s="439"/>
    </row>
    <row r="85" spans="1:32" s="469" customFormat="1" ht="31.5">
      <c r="A85" s="479"/>
      <c r="B85" s="479"/>
      <c r="C85" s="479"/>
      <c r="D85" s="479"/>
      <c r="E85" s="479"/>
      <c r="F85" s="452"/>
      <c r="G85" s="524" t="s">
        <v>503</v>
      </c>
      <c r="H85" s="517"/>
      <c r="I85" s="518"/>
      <c r="L85" s="1842" t="s">
        <v>1349</v>
      </c>
      <c r="M85" s="525" t="s">
        <v>1294</v>
      </c>
      <c r="N85" s="525" t="s">
        <v>1295</v>
      </c>
      <c r="O85" s="526" t="s">
        <v>458</v>
      </c>
      <c r="P85" s="520"/>
      <c r="Q85" s="521"/>
      <c r="R85" s="524" t="s">
        <v>504</v>
      </c>
      <c r="S85" s="524" t="s">
        <v>455</v>
      </c>
      <c r="T85" s="521"/>
      <c r="U85" s="521"/>
      <c r="V85" s="524" t="s">
        <v>1293</v>
      </c>
      <c r="W85" s="524" t="s">
        <v>459</v>
      </c>
      <c r="X85" s="521"/>
      <c r="Y85" s="524" t="s">
        <v>1345</v>
      </c>
      <c r="Z85" s="524" t="s">
        <v>1350</v>
      </c>
      <c r="AA85" s="524" t="s">
        <v>1351</v>
      </c>
      <c r="AB85" s="524" t="s">
        <v>1353</v>
      </c>
      <c r="AC85" s="524" t="s">
        <v>1352</v>
      </c>
      <c r="AD85" s="469" t="s">
        <v>253</v>
      </c>
      <c r="AE85" s="452"/>
      <c r="AF85" s="452"/>
    </row>
    <row r="86" spans="1:32" thickBot="1">
      <c r="G86" s="522">
        <f>SUM(G52:G81)</f>
        <v>0</v>
      </c>
      <c r="I86" s="431"/>
      <c r="J86" s="518"/>
      <c r="K86" s="518"/>
      <c r="L86" s="1843"/>
      <c r="M86" s="522">
        <f>SUM(M52:M81)</f>
        <v>0</v>
      </c>
      <c r="N86" s="522">
        <f>SUM(N52:N81)</f>
        <v>0</v>
      </c>
      <c r="O86" s="902">
        <f>SUM(O52:O81)</f>
        <v>0</v>
      </c>
      <c r="P86" s="470"/>
      <c r="R86" s="924">
        <f>SUM(R52:R81)</f>
        <v>0</v>
      </c>
      <c r="S86" s="897" t="e">
        <f>(G86-R86)/G86</f>
        <v>#DIV/0!</v>
      </c>
      <c r="T86" s="446"/>
      <c r="U86" s="446"/>
      <c r="V86" s="686" t="e">
        <f>N86/W86</f>
        <v>#DIV/0!</v>
      </c>
      <c r="W86" s="516" t="e">
        <f>W84/Y86</f>
        <v>#DIV/0!</v>
      </c>
      <c r="X86" s="446"/>
      <c r="Y86" s="516"/>
      <c r="Z86" s="958">
        <f>SUM(Z52:Z81)</f>
        <v>0</v>
      </c>
      <c r="AA86" s="516">
        <f>SUM(AA52:AA81)</f>
        <v>0</v>
      </c>
      <c r="AB86" s="516">
        <f>Z86-AA86</f>
        <v>0</v>
      </c>
      <c r="AC86" s="896" t="e">
        <f>AA86/Z86</f>
        <v>#DIV/0!</v>
      </c>
    </row>
    <row r="87" spans="1:32">
      <c r="O87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50:AF51"/>
    <mergeCell ref="L85:L86"/>
    <mergeCell ref="X50:X51"/>
    <mergeCell ref="Y50:Y51"/>
    <mergeCell ref="Z50:Z51"/>
    <mergeCell ref="AA50:AA51"/>
    <mergeCell ref="AB50:AC50"/>
    <mergeCell ref="AD50:AD51"/>
    <mergeCell ref="R50:R51"/>
    <mergeCell ref="S50:S51"/>
    <mergeCell ref="T50:T51"/>
    <mergeCell ref="U50:U51"/>
    <mergeCell ref="V50:V51"/>
    <mergeCell ref="W50:W51"/>
    <mergeCell ref="L50:L51"/>
    <mergeCell ref="P50:P51"/>
    <mergeCell ref="AB2:AC2"/>
    <mergeCell ref="AD2:AD3"/>
    <mergeCell ref="AE2:AE3"/>
    <mergeCell ref="M50:M51"/>
    <mergeCell ref="N50:N51"/>
    <mergeCell ref="O50:O51"/>
    <mergeCell ref="Q50:Q51"/>
    <mergeCell ref="AE50:AE51"/>
    <mergeCell ref="AF2:AF3"/>
    <mergeCell ref="L46:L47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50:A51"/>
    <mergeCell ref="B50:B51"/>
    <mergeCell ref="C50:C51"/>
    <mergeCell ref="D50:D51"/>
    <mergeCell ref="E50:E51"/>
    <mergeCell ref="K50:K51"/>
    <mergeCell ref="F50:F51"/>
    <mergeCell ref="G50:G51"/>
    <mergeCell ref="H50:H51"/>
    <mergeCell ref="I50:I51"/>
    <mergeCell ref="J50:J51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9">
    <cfRule type="cellIs" dxfId="503" priority="3" stopIfTrue="1" operator="equal">
      <formula>"未開機"</formula>
    </cfRule>
  </conditionalFormatting>
  <conditionalFormatting sqref="R52:U83">
    <cfRule type="expression" dxfId="502" priority="1" stopIfTrue="1">
      <formula>R52=0</formula>
    </cfRule>
  </conditionalFormatting>
  <conditionalFormatting sqref="W13:W44">
    <cfRule type="cellIs" dxfId="501" priority="34" stopIfTrue="1" operator="between">
      <formula>0.851</formula>
      <formula>1</formula>
    </cfRule>
    <cfRule type="cellIs" dxfId="500" priority="33" stopIfTrue="1" operator="lessThan">
      <formula>0.7</formula>
    </cfRule>
    <cfRule type="expression" dxfId="499" priority="32" stopIfTrue="1">
      <formula>W13=0</formula>
    </cfRule>
    <cfRule type="expression" dxfId="498" priority="36" stopIfTrue="1">
      <formula>W13=0</formula>
    </cfRule>
    <cfRule type="cellIs" dxfId="497" priority="35" stopIfTrue="1" operator="between">
      <formula>0.7</formula>
      <formula>0.85</formula>
    </cfRule>
  </conditionalFormatting>
  <conditionalFormatting sqref="W52:W83">
    <cfRule type="expression" dxfId="496" priority="15" stopIfTrue="1">
      <formula>W52=0</formula>
    </cfRule>
    <cfRule type="cellIs" dxfId="495" priority="16" stopIfTrue="1" operator="lessThan">
      <formula>0.7</formula>
    </cfRule>
    <cfRule type="cellIs" dxfId="494" priority="17" stopIfTrue="1" operator="between">
      <formula>0.851</formula>
      <formula>1</formula>
    </cfRule>
    <cfRule type="cellIs" dxfId="493" priority="18" stopIfTrue="1" operator="between">
      <formula>0.7</formula>
      <formula>0.85</formula>
    </cfRule>
    <cfRule type="expression" dxfId="492" priority="19" stopIfTrue="1">
      <formula>W52=0</formula>
    </cfRule>
  </conditionalFormatting>
  <conditionalFormatting sqref="W4:Y11 S4:U4 S5:S11 T5:U42 R13:S42 Z13:Z44 R43:U44">
    <cfRule type="expression" dxfId="491" priority="40" stopIfTrue="1">
      <formula>R4=0</formula>
    </cfRule>
  </conditionalFormatting>
  <conditionalFormatting sqref="W4:Y11">
    <cfRule type="cellIs" dxfId="490" priority="37" stopIfTrue="1" operator="lessThan">
      <formula>0.7</formula>
    </cfRule>
    <cfRule type="cellIs" dxfId="489" priority="38" stopIfTrue="1" operator="between">
      <formula>0.851</formula>
      <formula>1</formula>
    </cfRule>
    <cfRule type="cellIs" dxfId="488" priority="39" stopIfTrue="1" operator="between">
      <formula>0.7</formula>
      <formula>0.85</formula>
    </cfRule>
  </conditionalFormatting>
  <conditionalFormatting sqref="X14:X44">
    <cfRule type="cellIs" dxfId="487" priority="22" stopIfTrue="1" operator="lessThan">
      <formula>0.7</formula>
    </cfRule>
    <cfRule type="cellIs" dxfId="486" priority="23" stopIfTrue="1" operator="between">
      <formula>0.851</formula>
      <formula>1</formula>
    </cfRule>
    <cfRule type="cellIs" dxfId="485" priority="24" stopIfTrue="1" operator="between">
      <formula>0.7</formula>
      <formula>0.85</formula>
    </cfRule>
    <cfRule type="expression" dxfId="484" priority="25" stopIfTrue="1">
      <formula>X14=0</formula>
    </cfRule>
    <cfRule type="expression" dxfId="483" priority="21" stopIfTrue="1">
      <formula>X14=0</formula>
    </cfRule>
  </conditionalFormatting>
  <conditionalFormatting sqref="X53:X83">
    <cfRule type="expression" dxfId="482" priority="4" stopIfTrue="1">
      <formula>X53=0</formula>
    </cfRule>
    <cfRule type="cellIs" dxfId="481" priority="5" stopIfTrue="1" operator="lessThan">
      <formula>0.7</formula>
    </cfRule>
    <cfRule type="cellIs" dxfId="480" priority="6" stopIfTrue="1" operator="between">
      <formula>0.851</formula>
      <formula>1</formula>
    </cfRule>
    <cfRule type="cellIs" dxfId="479" priority="7" stopIfTrue="1" operator="between">
      <formula>0.7</formula>
      <formula>0.85</formula>
    </cfRule>
    <cfRule type="expression" dxfId="478" priority="8" stopIfTrue="1">
      <formula>X53=0</formula>
    </cfRule>
  </conditionalFormatting>
  <conditionalFormatting sqref="X13:Y13 Y14:Y44">
    <cfRule type="expression" dxfId="477" priority="27" stopIfTrue="1">
      <formula>X13=0</formula>
    </cfRule>
    <cfRule type="cellIs" dxfId="476" priority="28" stopIfTrue="1" operator="lessThan">
      <formula>0.7</formula>
    </cfRule>
    <cfRule type="cellIs" dxfId="475" priority="29" stopIfTrue="1" operator="between">
      <formula>0.851</formula>
      <formula>1</formula>
    </cfRule>
    <cfRule type="cellIs" dxfId="474" priority="30" stopIfTrue="1" operator="between">
      <formula>0.7</formula>
      <formula>0.85</formula>
    </cfRule>
    <cfRule type="expression" dxfId="473" priority="31" stopIfTrue="1">
      <formula>X13=0</formula>
    </cfRule>
  </conditionalFormatting>
  <conditionalFormatting sqref="X52:Y52 Y53:Y83">
    <cfRule type="expression" dxfId="472" priority="10" stopIfTrue="1">
      <formula>X52=0</formula>
    </cfRule>
    <cfRule type="expression" dxfId="471" priority="14" stopIfTrue="1">
      <formula>X52=0</formula>
    </cfRule>
    <cfRule type="cellIs" dxfId="470" priority="13" stopIfTrue="1" operator="between">
      <formula>0.7</formula>
      <formula>0.85</formula>
    </cfRule>
    <cfRule type="cellIs" dxfId="469" priority="12" stopIfTrue="1" operator="between">
      <formula>0.851</formula>
      <formula>1</formula>
    </cfRule>
    <cfRule type="cellIs" dxfId="468" priority="11" stopIfTrue="1" operator="lessThan">
      <formula>0.7</formula>
    </cfRule>
  </conditionalFormatting>
  <conditionalFormatting sqref="Y13:Y44">
    <cfRule type="cellIs" dxfId="467" priority="26" stopIfTrue="1" operator="greaterThan">
      <formula>1</formula>
    </cfRule>
  </conditionalFormatting>
  <conditionalFormatting sqref="Y52:Y83">
    <cfRule type="cellIs" dxfId="466" priority="9" stopIfTrue="1" operator="greaterThan">
      <formula>1</formula>
    </cfRule>
  </conditionalFormatting>
  <conditionalFormatting sqref="Z52:Z83">
    <cfRule type="expression" dxfId="465" priority="20" stopIfTrue="1">
      <formula>Z52=0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82EB539-FFBD-4914-B39F-06889E89BA69}">
          <x14:formula1>
            <xm:f>成型機資料庫!$A$9:$A$11</xm:f>
          </x14:formula1>
          <xm:sqref>K4:K42 K52:K81</xm:sqref>
        </x14:dataValidation>
        <x14:dataValidation type="list" allowBlank="1" showInputMessage="1" showErrorMessage="1" xr:uid="{1A13C6F2-737E-4C68-A7B6-495FB6F939FA}">
          <x14:formula1>
            <xm:f>規格清單!$A$42:$A$49</xm:f>
          </x14:formula1>
          <xm:sqref>J52:J81 J4:J42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A0F3-B694-4DB8-93B7-99F9995B6819}">
  <dimension ref="A1:BD89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480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64" t="s">
        <v>1381</v>
      </c>
      <c r="I4" s="429" t="s">
        <v>1382</v>
      </c>
      <c r="J4" s="429" t="s">
        <v>1452</v>
      </c>
      <c r="K4" s="429" t="s">
        <v>1301</v>
      </c>
      <c r="L4" s="464">
        <v>230</v>
      </c>
      <c r="M4" s="464"/>
      <c r="N4" s="464"/>
      <c r="O4" s="443">
        <f>L4*M4</f>
        <v>0</v>
      </c>
      <c r="P4" s="461">
        <v>6.2</v>
      </c>
      <c r="Q4" s="438">
        <f>IFERROR(LOOKUP(1,0/((成型機資料庫!$F$200:$F$229=J4)*(成型機資料庫!$G$200:$G$229=K4)),成型機資料庫!$K$200:$K$229),0)</f>
        <v>2000</v>
      </c>
      <c r="R4" s="477">
        <f>M4*Q4*P4/1000</f>
        <v>0</v>
      </c>
      <c r="S4" s="898">
        <f>IFERROR((G4-R4)/G4,0)</f>
        <v>0</v>
      </c>
      <c r="T4" s="482">
        <f>IFERROR(LOOKUP(1,0/((成型機資料庫!$F$200:$F$229=J4)*(成型機資料庫!$G$200:$G$229=K4)),成型機資料庫!$I$200:$I$229),0)</f>
        <v>14</v>
      </c>
      <c r="U4" s="483">
        <f>IFERROR(LOOKUP(1,0/((成型機資料庫!$F$200:$F$229=J4)*(成型機資料庫!$G$200:$G$229=K4)),成型機資料庫!$J$200:$J$229),0)</f>
        <v>20.8</v>
      </c>
      <c r="V4" s="900">
        <f>IFERROR(LOOKUP(1,0/((成型機資料庫!$F$200:$F$229=J4)*(成型機資料庫!$G$200:$G$229=K4)),成型機資料庫!$L$200:$L$229),0)</f>
        <v>96.096000000000004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59</v>
      </c>
      <c r="G5" s="464"/>
      <c r="H5" s="464" t="s">
        <v>1383</v>
      </c>
      <c r="I5" s="429" t="s">
        <v>1384</v>
      </c>
      <c r="J5" s="429" t="s">
        <v>1453</v>
      </c>
      <c r="K5" s="429" t="s">
        <v>1301</v>
      </c>
      <c r="L5" s="464">
        <v>300</v>
      </c>
      <c r="M5" s="464"/>
      <c r="N5" s="464"/>
      <c r="O5" s="443">
        <f t="shared" ref="O5:O44" si="0">L5*M5</f>
        <v>0</v>
      </c>
      <c r="P5" s="461">
        <v>7.8</v>
      </c>
      <c r="Q5" s="438">
        <f>IFERROR(LOOKUP(1,0/((成型機資料庫!$F$200:$F$229=J5)*(成型機資料庫!$G$200:$G$229=K5)),成型機資料庫!$K$200:$K$229),0)</f>
        <v>2000</v>
      </c>
      <c r="R5" s="477"/>
      <c r="S5" s="898"/>
      <c r="T5" s="482">
        <f>IFERROR(LOOKUP(1,0/((成型機資料庫!$F$200:$F$229=J5)*(成型機資料庫!$G$200:$G$229=K5)),成型機資料庫!$I$200:$I$229),0)</f>
        <v>14</v>
      </c>
      <c r="U5" s="483">
        <f>IFERROR(LOOKUP(1,0/((成型機資料庫!$F$200:$F$229=J5)*(成型機資料庫!$G$200:$G$229=K5)),成型機資料庫!$J$200:$J$229),0)</f>
        <v>20.8</v>
      </c>
      <c r="V5" s="900">
        <f>IFERROR(LOOKUP(1,0/((成型機資料庫!$F$200:$F$229=J5)*(成型機資料庫!$G$200:$G$229=K5)),成型機資料庫!$L$200:$L$229),0)</f>
        <v>96.096000000000004</v>
      </c>
      <c r="W5" s="898"/>
      <c r="X5" s="898"/>
      <c r="Y5" s="898"/>
      <c r="Z5" s="485"/>
      <c r="AA5" s="478">
        <f t="shared" ref="AA5:AA44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947</v>
      </c>
      <c r="I6" s="429" t="s">
        <v>1385</v>
      </c>
      <c r="J6" s="429" t="s">
        <v>1454</v>
      </c>
      <c r="K6" s="429" t="s">
        <v>1301</v>
      </c>
      <c r="L6" s="464"/>
      <c r="M6" s="464"/>
      <c r="N6" s="464"/>
      <c r="O6" s="443">
        <f t="shared" si="0"/>
        <v>0</v>
      </c>
      <c r="P6" s="461">
        <v>11</v>
      </c>
      <c r="Q6" s="438">
        <f>IFERROR(LOOKUP(1,0/((成型機資料庫!$F$200:$F$229=J6)*(成型機資料庫!$G$200:$G$229=K6)),成型機資料庫!$K$200:$K$229),0)</f>
        <v>500</v>
      </c>
      <c r="R6" s="477"/>
      <c r="S6" s="898"/>
      <c r="T6" s="482">
        <f>IFERROR(LOOKUP(1,0/((成型機資料庫!$F$200:$F$229=J6)*(成型機資料庫!$G$200:$G$229=K6)),成型機資料庫!$I$200:$I$229),0)</f>
        <v>10</v>
      </c>
      <c r="U6" s="483">
        <f>IFERROR(LOOKUP(1,0/((成型機資料庫!$F$200:$F$229=J6)*(成型機資料庫!$G$200:$G$229=K6)),成型機資料庫!$J$200:$J$229),0)</f>
        <v>20</v>
      </c>
      <c r="V6" s="900">
        <f>IFERROR(LOOKUP(1,0/((成型機資料庫!$F$200:$F$229=J6)*(成型機資料庫!$G$200:$G$229=K6)),成型機資料庫!$L$200:$L$229),0)</f>
        <v>264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64" t="s">
        <v>730</v>
      </c>
      <c r="I7" s="429" t="s">
        <v>388</v>
      </c>
      <c r="J7" s="429" t="s">
        <v>1488</v>
      </c>
      <c r="K7" s="429" t="s">
        <v>1301</v>
      </c>
      <c r="L7" s="532">
        <v>465</v>
      </c>
      <c r="M7" s="464"/>
      <c r="N7" s="464"/>
      <c r="O7" s="443">
        <f t="shared" si="0"/>
        <v>0</v>
      </c>
      <c r="P7" s="461">
        <v>10</v>
      </c>
      <c r="Q7" s="438">
        <f>IFERROR(LOOKUP(1,0/((成型機資料庫!$F$200:$F$229=J7)*(成型機資料庫!$G$200:$G$229=K7)),成型機資料庫!$K$200:$K$229),0)</f>
        <v>500</v>
      </c>
      <c r="R7" s="477"/>
      <c r="S7" s="898"/>
      <c r="T7" s="482">
        <f>IFERROR(LOOKUP(1,0/((成型機資料庫!$F$200:$F$229=J7)*(成型機資料庫!$G$200:$G$229=K7)),成型機資料庫!$I$200:$I$229),0)</f>
        <v>11</v>
      </c>
      <c r="U7" s="483">
        <f>IFERROR(LOOKUP(1,0/((成型機資料庫!$F$200:$F$229=J7)*(成型機資料庫!$G$200:$G$229=K7)),成型機資料庫!$J$200:$J$229),0)</f>
        <v>20.100000000000001</v>
      </c>
      <c r="V7" s="900">
        <f>IFERROR(LOOKUP(1,0/((成型機資料庫!$F$200:$F$229=J7)*(成型機資料庫!$G$200:$G$229=K7)),成型機資料庫!$L$200:$L$229),0)</f>
        <v>291.85200000000003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59</v>
      </c>
      <c r="G8" s="464"/>
      <c r="H8" s="464" t="s">
        <v>1386</v>
      </c>
      <c r="I8" s="429" t="s">
        <v>482</v>
      </c>
      <c r="J8" s="429" t="s">
        <v>1486</v>
      </c>
      <c r="K8" s="429" t="s">
        <v>1301</v>
      </c>
      <c r="L8" s="464">
        <v>310</v>
      </c>
      <c r="M8" s="464"/>
      <c r="N8" s="464"/>
      <c r="O8" s="443">
        <f t="shared" si="0"/>
        <v>0</v>
      </c>
      <c r="P8" s="461">
        <v>1.5</v>
      </c>
      <c r="Q8" s="438">
        <f>IFERROR(LOOKUP(1,0/((成型機資料庫!$F$200:$F$229=J8)*(成型機資料庫!$G$200:$G$229=K8)),成型機資料庫!$K$200:$K$229),0)</f>
        <v>2500</v>
      </c>
      <c r="R8" s="477"/>
      <c r="S8" s="898"/>
      <c r="T8" s="482">
        <f>IFERROR(LOOKUP(1,0/((成型機資料庫!$F$200:$F$229=J8)*(成型機資料庫!$G$200:$G$229=K8)),成型機資料庫!$I$200:$I$229),0)</f>
        <v>33</v>
      </c>
      <c r="U8" s="483">
        <f>IFERROR(LOOKUP(1,0/((成型機資料庫!$F$200:$F$229=J8)*(成型機資料庫!$G$200:$G$229=K8)),成型機資料庫!$J$200:$J$229),0)</f>
        <v>21.6</v>
      </c>
      <c r="V8" s="900">
        <f>IFERROR(LOOKUP(1,0/((成型機資料庫!$F$200:$F$229=J8)*(成型機資料庫!$G$200:$G$229=K8)),成型機資料庫!$L$200:$L$229),0)</f>
        <v>188.17920000000004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934"/>
      <c r="B9" s="934"/>
      <c r="C9" s="934"/>
      <c r="D9" s="934"/>
      <c r="E9" s="934"/>
      <c r="F9" s="435" t="s">
        <v>59</v>
      </c>
      <c r="G9" s="437"/>
      <c r="H9" s="464" t="s">
        <v>1387</v>
      </c>
      <c r="I9" s="429" t="s">
        <v>483</v>
      </c>
      <c r="J9" s="429" t="s">
        <v>1455</v>
      </c>
      <c r="K9" s="429" t="s">
        <v>1301</v>
      </c>
      <c r="L9" s="464">
        <v>310</v>
      </c>
      <c r="M9" s="437"/>
      <c r="N9" s="437"/>
      <c r="O9" s="443"/>
      <c r="P9" s="461">
        <v>1</v>
      </c>
      <c r="Q9" s="438">
        <f>IFERROR(LOOKUP(1,0/((成型機資料庫!$F$200:$F$229=J9)*(成型機資料庫!$G$200:$G$229=K9)),成型機資料庫!$K$200:$K$229),0)</f>
        <v>2500</v>
      </c>
      <c r="R9" s="1003"/>
      <c r="S9" s="1004"/>
      <c r="T9" s="482">
        <f>IFERROR(LOOKUP(1,0/((成型機資料庫!$F$200:$F$229=J9)*(成型機資料庫!$G$200:$G$229=K9)),成型機資料庫!$I$200:$I$229),0)</f>
        <v>33</v>
      </c>
      <c r="U9" s="483">
        <f>IFERROR(LOOKUP(1,0/((成型機資料庫!$F$200:$F$229=J9)*(成型機資料庫!$G$200:$G$229=K9)),成型機資料庫!$J$200:$J$229),0)</f>
        <v>19.2</v>
      </c>
      <c r="V9" s="900">
        <f>IFERROR(LOOKUP(1,0/((成型機資料庫!$F$200:$F$229=J9)*(成型機資料庫!$G$200:$G$229=K9)),成型機資料庫!$L$200:$L$229),0)</f>
        <v>167.2704</v>
      </c>
      <c r="W9" s="1004"/>
      <c r="X9" s="1004"/>
      <c r="Y9" s="1004"/>
      <c r="Z9" s="960"/>
      <c r="AA9" s="478"/>
      <c r="AB9" s="539"/>
      <c r="AC9" s="969"/>
      <c r="AD9" s="1006"/>
      <c r="AE9" s="539"/>
      <c r="AF9" s="539"/>
    </row>
    <row r="10" spans="1:56" s="439" customFormat="1" ht="15.75">
      <c r="A10" s="934"/>
      <c r="B10" s="934"/>
      <c r="C10" s="934"/>
      <c r="D10" s="934"/>
      <c r="E10" s="934"/>
      <c r="F10" s="435" t="s">
        <v>59</v>
      </c>
      <c r="G10" s="437"/>
      <c r="H10" s="464" t="s">
        <v>1388</v>
      </c>
      <c r="I10" s="429" t="s">
        <v>1389</v>
      </c>
      <c r="J10" s="429" t="s">
        <v>1442</v>
      </c>
      <c r="K10" s="429" t="s">
        <v>1301</v>
      </c>
      <c r="L10" s="464">
        <v>800</v>
      </c>
      <c r="M10" s="437"/>
      <c r="N10" s="437"/>
      <c r="O10" s="443"/>
      <c r="P10" s="461">
        <v>6.2</v>
      </c>
      <c r="Q10" s="438">
        <f>IFERROR(LOOKUP(1,0/((成型機資料庫!$F$200:$F$229=J10)*(成型機資料庫!$G$200:$G$229=K10)),成型機資料庫!$K$200:$K$229),0)</f>
        <v>2000</v>
      </c>
      <c r="R10" s="1003"/>
      <c r="S10" s="1004"/>
      <c r="T10" s="482">
        <f>IFERROR(LOOKUP(1,0/((成型機資料庫!$F$200:$F$229=J10)*(成型機資料庫!$G$200:$G$229=K10)),成型機資料庫!$I$200:$I$229),0)</f>
        <v>14</v>
      </c>
      <c r="U10" s="483">
        <f>IFERROR(LOOKUP(1,0/((成型機資料庫!$F$200:$F$229=J10)*(成型機資料庫!$G$200:$G$229=K10)),成型機資料庫!$J$200:$J$229),0)</f>
        <v>20.8</v>
      </c>
      <c r="V10" s="900">
        <f>IFERROR(LOOKUP(1,0/((成型機資料庫!$F$200:$F$229=J10)*(成型機資料庫!$G$200:$G$229=K10)),成型機資料庫!$L$200:$L$229),0)</f>
        <v>96.096000000000004</v>
      </c>
      <c r="W10" s="1004"/>
      <c r="X10" s="1004"/>
      <c r="Y10" s="1004"/>
      <c r="Z10" s="960"/>
      <c r="AA10" s="478"/>
      <c r="AB10" s="539"/>
      <c r="AC10" s="969"/>
      <c r="AD10" s="1006"/>
      <c r="AE10" s="539"/>
      <c r="AF10" s="539"/>
    </row>
    <row r="11" spans="1:56" s="439" customFormat="1" ht="15.75">
      <c r="A11" s="934"/>
      <c r="B11" s="934"/>
      <c r="C11" s="934"/>
      <c r="D11" s="934"/>
      <c r="E11" s="934"/>
      <c r="F11" s="435" t="s">
        <v>59</v>
      </c>
      <c r="G11" s="437"/>
      <c r="H11" s="464" t="s">
        <v>798</v>
      </c>
      <c r="I11" s="429" t="s">
        <v>1390</v>
      </c>
      <c r="J11" s="429" t="s">
        <v>1443</v>
      </c>
      <c r="K11" s="429" t="s">
        <v>1301</v>
      </c>
      <c r="L11" s="464">
        <v>1020</v>
      </c>
      <c r="M11" s="437"/>
      <c r="N11" s="437"/>
      <c r="O11" s="443">
        <f t="shared" si="0"/>
        <v>0</v>
      </c>
      <c r="P11" s="461">
        <v>7.8</v>
      </c>
      <c r="Q11" s="438">
        <f>IFERROR(LOOKUP(1,0/((成型機資料庫!$F$200:$F$229=J11)*(成型機資料庫!$G$200:$G$229=K11)),成型機資料庫!$K$200:$K$229),0)</f>
        <v>2000</v>
      </c>
      <c r="R11" s="1003"/>
      <c r="S11" s="1004"/>
      <c r="T11" s="482">
        <f>IFERROR(LOOKUP(1,0/((成型機資料庫!$F$200:$F$229=J11)*(成型機資料庫!$G$200:$G$229=K11)),成型機資料庫!$I$200:$I$229),0)</f>
        <v>14</v>
      </c>
      <c r="U11" s="483">
        <f>IFERROR(LOOKUP(1,0/((成型機資料庫!$F$200:$F$229=J11)*(成型機資料庫!$G$200:$G$229=K11)),成型機資料庫!$J$200:$J$229),0)</f>
        <v>20.8</v>
      </c>
      <c r="V11" s="900">
        <f>IFERROR(LOOKUP(1,0/((成型機資料庫!$F$200:$F$229=J11)*(成型機資料庫!$G$200:$G$229=K11)),成型機資料庫!$L$200:$L$229),0)</f>
        <v>96.096000000000004</v>
      </c>
      <c r="W11" s="1004"/>
      <c r="X11" s="1004"/>
      <c r="Y11" s="1004"/>
      <c r="Z11" s="960"/>
      <c r="AA11" s="478">
        <f t="shared" si="1"/>
        <v>0</v>
      </c>
      <c r="AB11" s="539"/>
      <c r="AC11" s="969"/>
      <c r="AD11" s="1006"/>
      <c r="AE11" s="539"/>
      <c r="AF11" s="539"/>
    </row>
    <row r="12" spans="1:56" s="439" customFormat="1" ht="15.75">
      <c r="A12" s="934"/>
      <c r="B12" s="934"/>
      <c r="C12" s="934"/>
      <c r="D12" s="934"/>
      <c r="E12" s="934"/>
      <c r="F12" s="435" t="s">
        <v>59</v>
      </c>
      <c r="G12" s="437"/>
      <c r="H12" s="437" t="s">
        <v>685</v>
      </c>
      <c r="I12" s="429" t="s">
        <v>493</v>
      </c>
      <c r="J12" s="429" t="s">
        <v>1440</v>
      </c>
      <c r="K12" s="429" t="s">
        <v>1301</v>
      </c>
      <c r="L12" s="464">
        <v>475</v>
      </c>
      <c r="M12" s="437"/>
      <c r="N12" s="437"/>
      <c r="O12" s="443">
        <f t="shared" si="0"/>
        <v>0</v>
      </c>
      <c r="P12" s="461">
        <v>15.5</v>
      </c>
      <c r="Q12" s="438">
        <f>IFERROR(LOOKUP(1,0/((成型機資料庫!$F$200:$F$229=J12)*(成型機資料庫!$G$200:$G$229=K12)),成型機資料庫!$K$200:$K$229),0)</f>
        <v>500</v>
      </c>
      <c r="R12" s="1003"/>
      <c r="S12" s="1004"/>
      <c r="T12" s="482">
        <f>IFERROR(LOOKUP(1,0/((成型機資料庫!$F$200:$F$229=J12)*(成型機資料庫!$G$200:$G$229=K12)),成型機資料庫!$I$200:$I$229),0)</f>
        <v>10</v>
      </c>
      <c r="U12" s="483">
        <f>IFERROR(LOOKUP(1,0/((成型機資料庫!$F$200:$F$229=J12)*(成型機資料庫!$G$200:$G$229=K12)),成型機資料庫!$J$200:$J$229),0)</f>
        <v>18</v>
      </c>
      <c r="V12" s="900">
        <f>IFERROR(LOOKUP(1,0/((成型機資料庫!$F$200:$F$229=J12)*(成型機資料庫!$G$200:$G$229=K12)),成型機資料庫!$L$200:$L$229),0)</f>
        <v>237.6</v>
      </c>
      <c r="W12" s="1004"/>
      <c r="X12" s="1004"/>
      <c r="Y12" s="1004"/>
      <c r="Z12" s="960"/>
      <c r="AA12" s="478">
        <f t="shared" si="1"/>
        <v>0</v>
      </c>
      <c r="AB12" s="539"/>
      <c r="AC12" s="969"/>
      <c r="AD12" s="1006"/>
      <c r="AE12" s="539"/>
      <c r="AF12" s="539"/>
    </row>
    <row r="13" spans="1:56" s="439" customFormat="1" ht="15.75">
      <c r="A13" s="934"/>
      <c r="B13" s="934"/>
      <c r="C13" s="934"/>
      <c r="D13" s="934"/>
      <c r="E13" s="934"/>
      <c r="F13" s="959" t="s">
        <v>59</v>
      </c>
      <c r="G13" s="437"/>
      <c r="H13" s="437" t="s">
        <v>685</v>
      </c>
      <c r="I13" s="429" t="s">
        <v>686</v>
      </c>
      <c r="J13" s="429" t="s">
        <v>1441</v>
      </c>
      <c r="K13" s="429" t="s">
        <v>1301</v>
      </c>
      <c r="L13" s="464">
        <v>475</v>
      </c>
      <c r="M13" s="437"/>
      <c r="N13" s="437"/>
      <c r="O13" s="1002"/>
      <c r="P13" s="460">
        <v>15.5</v>
      </c>
      <c r="Q13" s="438">
        <f>IFERROR(LOOKUP(1,0/((成型機資料庫!$F$200:$F$229=J13)*(成型機資料庫!$G$200:$G$229=K13)),成型機資料庫!$K$200:$K$229),0)</f>
        <v>500</v>
      </c>
      <c r="R13" s="1003"/>
      <c r="S13" s="1004"/>
      <c r="T13" s="482">
        <f>IFERROR(LOOKUP(1,0/((成型機資料庫!$F$200:$F$229=J13)*(成型機資料庫!$G$200:$G$229=K13)),成型機資料庫!$I$200:$I$229),0)</f>
        <v>10</v>
      </c>
      <c r="U13" s="483">
        <f>IFERROR(LOOKUP(1,0/((成型機資料庫!$F$200:$F$229=J13)*(成型機資料庫!$G$200:$G$229=K13)),成型機資料庫!$J$200:$J$229),0)</f>
        <v>16.2</v>
      </c>
      <c r="V13" s="900">
        <f>IFERROR(LOOKUP(1,0/((成型機資料庫!$F$200:$F$229=J13)*(成型機資料庫!$G$200:$G$229=K13)),成型機資料庫!$L$200:$L$229),0)</f>
        <v>213.84</v>
      </c>
      <c r="W13" s="1004"/>
      <c r="X13" s="1004"/>
      <c r="Y13" s="1004"/>
      <c r="Z13" s="960"/>
      <c r="AA13" s="478"/>
      <c r="AB13" s="539"/>
      <c r="AC13" s="969"/>
      <c r="AD13" s="1006"/>
      <c r="AE13" s="539"/>
      <c r="AF13" s="539"/>
    </row>
    <row r="14" spans="1:56" s="439" customFormat="1" thickBot="1">
      <c r="A14" s="496"/>
      <c r="B14" s="496"/>
      <c r="C14" s="496"/>
      <c r="D14" s="496"/>
      <c r="E14" s="496"/>
      <c r="F14" s="497"/>
      <c r="G14" s="500"/>
      <c r="H14" s="500"/>
      <c r="I14" s="498"/>
      <c r="J14" s="498"/>
      <c r="K14" s="498"/>
      <c r="L14" s="500"/>
      <c r="M14" s="500"/>
      <c r="N14" s="500"/>
      <c r="O14" s="501">
        <f t="shared" si="0"/>
        <v>0</v>
      </c>
      <c r="P14" s="528"/>
      <c r="Q14" s="499">
        <f>IFERROR(LOOKUP(1,0/((成型機資料庫!$F$200:$F$229=J14)*(成型機資料庫!$G$200:$G$229=K14)),成型機資料庫!$K$200:$K$229),0)</f>
        <v>0</v>
      </c>
      <c r="R14" s="502"/>
      <c r="S14" s="503"/>
      <c r="T14" s="509">
        <f>IFERROR(LOOKUP(1,0/((成型機資料庫!$F$200:$F$229=J14)*(成型機資料庫!$G$200:$G$229=K14)),成型機資料庫!$I$200:$I$229),0)</f>
        <v>0</v>
      </c>
      <c r="U14" s="505">
        <f>IFERROR(LOOKUP(1,0/((成型機資料庫!$F$200:$F$229=J14)*(成型機資料庫!$G$200:$G$229=K14)),成型機資料庫!$J$200:$J$229),0)</f>
        <v>0</v>
      </c>
      <c r="V14" s="991">
        <f>IFERROR(LOOKUP(1,0/((成型機資料庫!$F$200:$F$229=J14)*(成型機資料庫!$G$200:$G$229=K14)),成型機資料庫!$L$200:$L$229),0)</f>
        <v>0</v>
      </c>
      <c r="W14" s="507"/>
      <c r="X14" s="507"/>
      <c r="Y14" s="507"/>
      <c r="Z14" s="507"/>
      <c r="AA14" s="478">
        <f t="shared" si="1"/>
        <v>0</v>
      </c>
      <c r="AB14" s="499"/>
      <c r="AC14" s="509"/>
      <c r="AD14" s="529"/>
      <c r="AE14" s="499"/>
      <c r="AF14" s="499"/>
    </row>
    <row r="15" spans="1:56" s="433" customFormat="1" ht="15.75">
      <c r="A15" s="935">
        <v>113</v>
      </c>
      <c r="B15" s="935"/>
      <c r="C15" s="935">
        <v>1</v>
      </c>
      <c r="D15" s="889"/>
      <c r="E15" s="889" t="s">
        <v>0</v>
      </c>
      <c r="F15" s="962" t="s">
        <v>44</v>
      </c>
      <c r="G15" s="999"/>
      <c r="H15" s="532"/>
      <c r="I15" s="964"/>
      <c r="J15" s="964"/>
      <c r="K15" s="964"/>
      <c r="L15" s="532"/>
      <c r="M15" s="532"/>
      <c r="N15" s="927">
        <f>M15*Q15</f>
        <v>0</v>
      </c>
      <c r="O15" s="995">
        <f t="shared" si="0"/>
        <v>0</v>
      </c>
      <c r="P15" s="1000"/>
      <c r="Q15" s="480">
        <f>IFERROR(LOOKUP(1,0/((成型機資料庫!$F$200:$F$229=J15)*(成型機資料庫!$G$200:$G$229=K15)),成型機資料庫!$K$200:$K$229),0)</f>
        <v>0</v>
      </c>
      <c r="R15" s="997">
        <f t="shared" ref="R15:R44" si="2">M15*Q15*P15/1000</f>
        <v>0</v>
      </c>
      <c r="S15" s="996">
        <f t="shared" ref="S15:S44" si="3">IFERROR((G15-R15)/G15,0)</f>
        <v>0</v>
      </c>
      <c r="T15" s="968">
        <f>IFERROR(LOOKUP(1,0/((成型機資料庫!$F$200:$F$229=J15)*(成型機資料庫!$G$200:$G$229=K15)),成型機資料庫!$I$200:$I$229),0)</f>
        <v>0</v>
      </c>
      <c r="U15" s="967">
        <f>IFERROR(LOOKUP(1,0/((成型機資料庫!$F$200:$F$229=J15)*(成型機資料庫!$G$200:$G$229=K15)),成型機資料庫!$J$200:$J$229),0)</f>
        <v>0</v>
      </c>
      <c r="V15" s="927">
        <f>IFERROR(LOOKUP(1,0/((成型機資料庫!$F$200:$F$229=J15)*(成型機資料庫!$G$200:$G$229=K15)),成型機資料庫!$L$200:$L$229),0)</f>
        <v>0</v>
      </c>
      <c r="W15" s="996">
        <f t="shared" ref="W15:W44" si="4">IFERROR(M15/V15,0)</f>
        <v>0</v>
      </c>
      <c r="X15" s="987">
        <f>IFERROR(T15*U15*60*AA15/Q15,0)</f>
        <v>0</v>
      </c>
      <c r="Y15" s="996">
        <f>IFERROR(M15/X15,0)</f>
        <v>0</v>
      </c>
      <c r="Z15" s="987"/>
      <c r="AA15" s="495">
        <f t="shared" si="1"/>
        <v>0</v>
      </c>
      <c r="AB15" s="480"/>
      <c r="AC15" s="968"/>
      <c r="AD15" s="532"/>
      <c r="AE15" s="480"/>
      <c r="AF15" s="480"/>
    </row>
    <row r="16" spans="1:56" s="433" customFormat="1" ht="15.75">
      <c r="A16" s="434">
        <v>113</v>
      </c>
      <c r="B16" s="581"/>
      <c r="C16" s="581">
        <v>2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ref="N16:N44" si="5">M16*Q16</f>
        <v>0</v>
      </c>
      <c r="O16" s="901">
        <f t="shared" si="0"/>
        <v>0</v>
      </c>
      <c r="P16" s="460"/>
      <c r="Q16" s="438">
        <f>IFERROR(LOOKUP(1,0/((成型機資料庫!$F$200:$F$229=J16)*(成型機資料庫!$G$200:$G$229=K16)),成型機資料庫!$K$200:$K$229),0)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IFERROR(LOOKUP(1,0/((成型機資料庫!$F$200:$F$229=J16)*(成型機資料庫!$G$200:$G$229=K16)),成型機資料庫!$I$200:$I$229),0)</f>
        <v>0</v>
      </c>
      <c r="U16" s="483">
        <f>IFERROR(LOOKUP(1,0/((成型機資料庫!$F$200:$F$229=J16)*(成型機資料庫!$G$200:$G$229=K16)),成型機資料庫!$J$200:$J$229),0)</f>
        <v>0</v>
      </c>
      <c r="V16" s="900">
        <f>IFERROR(LOOKUP(1,0/((成型機資料庫!$F$200:$F$229=J16)*(成型機資料庫!$G$200:$G$229=K16)),成型機資料庫!$L$200:$L$229),0)</f>
        <v>0</v>
      </c>
      <c r="W16" s="898">
        <f t="shared" si="4"/>
        <v>0</v>
      </c>
      <c r="X16" s="923">
        <f t="shared" ref="X16:X44" si="6">IFERROR(T16*U16*60*AA16/Q16,0)</f>
        <v>0</v>
      </c>
      <c r="Y16" s="898">
        <f t="shared" ref="Y16:Y44" si="7">IFERROR(M16/X16,0)</f>
        <v>0</v>
      </c>
      <c r="Z16" s="923"/>
      <c r="AA16" s="478">
        <f t="shared" si="1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3</v>
      </c>
      <c r="D17" s="581"/>
      <c r="E17" s="581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IFERROR(LOOKUP(1,0/((成型機資料庫!$F$200:$F$229=J17)*(成型機資料庫!$G$200:$G$229=K17)),成型機資料庫!$K$200:$K$229),0)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IFERROR(LOOKUP(1,0/((成型機資料庫!$F$200:$F$229=J17)*(成型機資料庫!$G$200:$G$229=K17)),成型機資料庫!$I$200:$I$229),0)</f>
        <v>0</v>
      </c>
      <c r="U17" s="483">
        <f>IFERROR(LOOKUP(1,0/((成型機資料庫!$F$200:$F$229=J17)*(成型機資料庫!$G$200:$G$229=K17)),成型機資料庫!$J$200:$J$229),0)</f>
        <v>0</v>
      </c>
      <c r="V17" s="900">
        <f>IFERROR(LOOKUP(1,0/((成型機資料庫!$F$200:$F$229=J17)*(成型機資料庫!$G$200:$G$229=K17)),成型機資料庫!$L$200:$L$229),0)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4</v>
      </c>
      <c r="D18" s="581"/>
      <c r="E18" s="581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IFERROR(LOOKUP(1,0/((成型機資料庫!$F$200:$F$229=J18)*(成型機資料庫!$G$200:$G$229=K18)),成型機資料庫!$K$200:$K$229),0)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IFERROR(LOOKUP(1,0/((成型機資料庫!$F$200:$F$229=J18)*(成型機資料庫!$G$200:$G$229=K18)),成型機資料庫!$I$200:$I$229),0)</f>
        <v>0</v>
      </c>
      <c r="U18" s="483">
        <f>IFERROR(LOOKUP(1,0/((成型機資料庫!$F$200:$F$229=J18)*(成型機資料庫!$G$200:$G$229=K18)),成型機資料庫!$J$200:$J$229),0)</f>
        <v>0</v>
      </c>
      <c r="V18" s="900">
        <f>IFERROR(LOOKUP(1,0/((成型機資料庫!$F$200:$F$229=J18)*(成型機資料庫!$G$200:$G$229=K18)),成型機資料庫!$L$200:$L$229),0)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438"/>
      <c r="AE18" s="464"/>
      <c r="AF18" s="438"/>
    </row>
    <row r="19" spans="1:32" s="433" customFormat="1" ht="15.75">
      <c r="A19" s="434">
        <v>113</v>
      </c>
      <c r="B19" s="581"/>
      <c r="C19" s="581">
        <v>5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IFERROR(LOOKUP(1,0/((成型機資料庫!$F$200:$F$229=J19)*(成型機資料庫!$G$200:$G$229=K19)),成型機資料庫!$K$200:$K$229),0)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IFERROR(LOOKUP(1,0/((成型機資料庫!$F$200:$F$229=J19)*(成型機資料庫!$G$200:$G$229=K19)),成型機資料庫!$I$200:$I$229),0)</f>
        <v>0</v>
      </c>
      <c r="U19" s="483">
        <f>IFERROR(LOOKUP(1,0/((成型機資料庫!$F$200:$F$229=J19)*(成型機資料庫!$G$200:$G$229=K19)),成型機資料庫!$J$200:$J$229),0)</f>
        <v>0</v>
      </c>
      <c r="V19" s="900">
        <f>IFERROR(LOOKUP(1,0/((成型機資料庫!$F$200:$F$229=J19)*(成型機資料庫!$G$200:$G$229=K19)),成型機資料庫!$L$200:$L$229),0)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38"/>
      <c r="AE19" s="438"/>
      <c r="AF19" s="438"/>
    </row>
    <row r="20" spans="1:32" s="433" customFormat="1" ht="15.75">
      <c r="A20" s="434">
        <v>113</v>
      </c>
      <c r="B20" s="581"/>
      <c r="C20" s="581">
        <v>6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IFERROR(LOOKUP(1,0/((成型機資料庫!$F$200:$F$229=J20)*(成型機資料庫!$G$200:$G$229=K20)),成型機資料庫!$K$200:$K$229),0)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IFERROR(LOOKUP(1,0/((成型機資料庫!$F$200:$F$229=J20)*(成型機資料庫!$G$200:$G$229=K20)),成型機資料庫!$I$200:$I$229),0)</f>
        <v>0</v>
      </c>
      <c r="U20" s="483">
        <f>IFERROR(LOOKUP(1,0/((成型機資料庫!$F$200:$F$229=J20)*(成型機資料庫!$G$200:$G$229=K20)),成型機資料庫!$J$200:$J$229),0)</f>
        <v>0</v>
      </c>
      <c r="V20" s="900">
        <f>IFERROR(LOOKUP(1,0/((成型機資料庫!$F$200:$F$229=J20)*(成型機資料庫!$G$200:$G$229=K20)),成型機資料庫!$L$200:$L$229),0)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879"/>
      <c r="AE20" s="438"/>
      <c r="AF20" s="438"/>
    </row>
    <row r="21" spans="1:32" s="433" customFormat="1" ht="15.75">
      <c r="A21" s="434">
        <v>113</v>
      </c>
      <c r="B21" s="581"/>
      <c r="C21" s="581">
        <v>7</v>
      </c>
      <c r="D21" s="581"/>
      <c r="E21" s="889" t="s">
        <v>0</v>
      </c>
      <c r="F21" s="962" t="s">
        <v>44</v>
      </c>
      <c r="G21" s="927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IFERROR(LOOKUP(1,0/((成型機資料庫!$F$200:$F$229=J21)*(成型機資料庫!$G$200:$G$229=K21)),成型機資料庫!$K$200:$K$229),0)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IFERROR(LOOKUP(1,0/((成型機資料庫!$F$200:$F$229=J21)*(成型機資料庫!$G$200:$G$229=K21)),成型機資料庫!$I$200:$I$229),0)</f>
        <v>0</v>
      </c>
      <c r="U21" s="483">
        <f>IFERROR(LOOKUP(1,0/((成型機資料庫!$F$200:$F$229=J21)*(成型機資料庫!$G$200:$G$229=K21)),成型機資料庫!$J$200:$J$229),0)</f>
        <v>0</v>
      </c>
      <c r="V21" s="900">
        <f>IFERROR(LOOKUP(1,0/((成型機資料庫!$F$200:$F$229=J21)*(成型機資料庫!$G$200:$G$229=K21)),成型機資料庫!$L$200:$L$229),0)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8</v>
      </c>
      <c r="D22" s="581"/>
      <c r="E22" s="889" t="s">
        <v>0</v>
      </c>
      <c r="F22" s="962" t="s">
        <v>44</v>
      </c>
      <c r="G22" s="927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IFERROR(LOOKUP(1,0/((成型機資料庫!$F$200:$F$229=J22)*(成型機資料庫!$G$200:$G$229=K22)),成型機資料庫!$K$200:$K$229),0)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IFERROR(LOOKUP(1,0/((成型機資料庫!$F$200:$F$229=J22)*(成型機資料庫!$G$200:$G$229=K22)),成型機資料庫!$I$200:$I$229),0)</f>
        <v>0</v>
      </c>
      <c r="U22" s="483">
        <f>IFERROR(LOOKUP(1,0/((成型機資料庫!$F$200:$F$229=J22)*(成型機資料庫!$G$200:$G$229=K22)),成型機資料庫!$J$200:$J$229),0)</f>
        <v>0</v>
      </c>
      <c r="V22" s="900">
        <f>IFERROR(LOOKUP(1,0/((成型機資料庫!$F$200:$F$229=J22)*(成型機資料庫!$G$200:$G$229=K22)),成型機資料庫!$L$200:$L$229),0)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9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IFERROR(LOOKUP(1,0/((成型機資料庫!$F$200:$F$229=J23)*(成型機資料庫!$G$200:$G$229=K23)),成型機資料庫!$K$200:$K$229),0)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IFERROR(LOOKUP(1,0/((成型機資料庫!$F$200:$F$229=J23)*(成型機資料庫!$G$200:$G$229=K23)),成型機資料庫!$I$200:$I$229),0)</f>
        <v>0</v>
      </c>
      <c r="U23" s="483">
        <f>IFERROR(LOOKUP(1,0/((成型機資料庫!$F$200:$F$229=J23)*(成型機資料庫!$G$200:$G$229=K23)),成型機資料庫!$J$200:$J$229),0)</f>
        <v>0</v>
      </c>
      <c r="V23" s="900">
        <f>IFERROR(LOOKUP(1,0/((成型機資料庫!$F$200:$F$229=J23)*(成型機資料庫!$G$200:$G$229=K23)),成型機資料庫!$L$200:$L$229),0)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10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IFERROR(LOOKUP(1,0/((成型機資料庫!$F$200:$F$229=J24)*(成型機資料庫!$G$200:$G$229=K24)),成型機資料庫!$K$200:$K$229),0)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IFERROR(LOOKUP(1,0/((成型機資料庫!$F$200:$F$229=J24)*(成型機資料庫!$G$200:$G$229=K24)),成型機資料庫!$I$200:$I$229),0)</f>
        <v>0</v>
      </c>
      <c r="U24" s="483">
        <f>IFERROR(LOOKUP(1,0/((成型機資料庫!$F$200:$F$229=J24)*(成型機資料庫!$G$200:$G$229=K24)),成型機資料庫!$J$200:$J$229),0)</f>
        <v>0</v>
      </c>
      <c r="V24" s="900">
        <f>IFERROR(LOOKUP(1,0/((成型機資料庫!$F$200:$F$229=J24)*(成型機資料庫!$G$200:$G$229=K24)),成型機資料庫!$L$200:$L$229),0)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11</v>
      </c>
      <c r="D25" s="581"/>
      <c r="E25" s="581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IFERROR(LOOKUP(1,0/((成型機資料庫!$F$200:$F$229=J25)*(成型機資料庫!$G$200:$G$229=K25)),成型機資料庫!$K$200:$K$229),0)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IFERROR(LOOKUP(1,0/((成型機資料庫!$F$200:$F$229=J25)*(成型機資料庫!$G$200:$G$229=K25)),成型機資料庫!$I$200:$I$229),0)</f>
        <v>0</v>
      </c>
      <c r="U25" s="483">
        <f>IFERROR(LOOKUP(1,0/((成型機資料庫!$F$200:$F$229=J25)*(成型機資料庫!$G$200:$G$229=K25)),成型機資料庫!$J$200:$J$229),0)</f>
        <v>0</v>
      </c>
      <c r="V25" s="900">
        <f>IFERROR(LOOKUP(1,0/((成型機資料庫!$F$200:$F$229=J25)*(成型機資料庫!$G$200:$G$229=K25)),成型機資料庫!$L$200:$L$229),0)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12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IFERROR(LOOKUP(1,0/((成型機資料庫!$F$200:$F$229=J26)*(成型機資料庫!$G$200:$G$229=K26)),成型機資料庫!$K$200:$K$229),0)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IFERROR(LOOKUP(1,0/((成型機資料庫!$F$200:$F$229=J26)*(成型機資料庫!$G$200:$G$229=K26)),成型機資料庫!$I$200:$I$229),0)</f>
        <v>0</v>
      </c>
      <c r="U26" s="483">
        <f>IFERROR(LOOKUP(1,0/((成型機資料庫!$F$200:$F$229=J26)*(成型機資料庫!$G$200:$G$229=K26)),成型機資料庫!$J$200:$J$229),0)</f>
        <v>0</v>
      </c>
      <c r="V26" s="900">
        <f>IFERROR(LOOKUP(1,0/((成型機資料庫!$F$200:$F$229=J26)*(成型機資料庫!$G$200:$G$229=K26)),成型機資料庫!$L$200:$L$229),0)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13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IFERROR(LOOKUP(1,0/((成型機資料庫!$F$200:$F$229=J27)*(成型機資料庫!$G$200:$G$229=K27)),成型機資料庫!$K$200:$K$229),0)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IFERROR(LOOKUP(1,0/((成型機資料庫!$F$200:$F$229=J27)*(成型機資料庫!$G$200:$G$229=K27)),成型機資料庫!$I$200:$I$229),0)</f>
        <v>0</v>
      </c>
      <c r="U27" s="483">
        <f>IFERROR(LOOKUP(1,0/((成型機資料庫!$F$200:$F$229=J27)*(成型機資料庫!$G$200:$G$229=K27)),成型機資料庫!$J$200:$J$229),0)</f>
        <v>0</v>
      </c>
      <c r="V27" s="900">
        <f>IFERROR(LOOKUP(1,0/((成型機資料庫!$F$200:$F$229=J27)*(成型機資料庫!$G$200:$G$229=K27)),成型機資料庫!$L$200:$L$229),0)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581"/>
      <c r="C28" s="581">
        <v>14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IFERROR(LOOKUP(1,0/((成型機資料庫!$F$200:$F$229=J28)*(成型機資料庫!$G$200:$G$229=K28)),成型機資料庫!$K$200:$K$229),0)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IFERROR(LOOKUP(1,0/((成型機資料庫!$F$200:$F$229=J28)*(成型機資料庫!$G$200:$G$229=K28)),成型機資料庫!$I$200:$I$229),0)</f>
        <v>0</v>
      </c>
      <c r="U28" s="483">
        <f>IFERROR(LOOKUP(1,0/((成型機資料庫!$F$200:$F$229=J28)*(成型機資料庫!$G$200:$G$229=K28)),成型機資料庫!$J$200:$J$229),0)</f>
        <v>0</v>
      </c>
      <c r="V28" s="900">
        <f>IFERROR(LOOKUP(1,0/((成型機資料庫!$F$200:$F$229=J28)*(成型機資料庫!$G$200:$G$229=K28)),成型機資料庫!$L$200:$L$229),0)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581"/>
      <c r="C29" s="581">
        <v>15</v>
      </c>
      <c r="D29" s="581"/>
      <c r="E29" s="889" t="s">
        <v>0</v>
      </c>
      <c r="F29" s="962" t="s">
        <v>44</v>
      </c>
      <c r="G29" s="927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IFERROR(LOOKUP(1,0/((成型機資料庫!$F$200:$F$229=J29)*(成型機資料庫!$G$200:$G$229=K29)),成型機資料庫!$K$200:$K$229),0)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IFERROR(LOOKUP(1,0/((成型機資料庫!$F$200:$F$229=J29)*(成型機資料庫!$G$200:$G$229=K29)),成型機資料庫!$I$200:$I$229),0)</f>
        <v>0</v>
      </c>
      <c r="U29" s="483">
        <f>IFERROR(LOOKUP(1,0/((成型機資料庫!$F$200:$F$229=J29)*(成型機資料庫!$G$200:$G$229=K29)),成型機資料庫!$J$200:$J$229),0)</f>
        <v>0</v>
      </c>
      <c r="V29" s="900">
        <f>IFERROR(LOOKUP(1,0/((成型機資料庫!$F$200:$F$229=J29)*(成型機資料庫!$G$200:$G$229=K29)),成型機資料庫!$L$200:$L$229),0)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38"/>
      <c r="AE29" s="438"/>
      <c r="AF29" s="438"/>
    </row>
    <row r="30" spans="1:32" s="433" customFormat="1" ht="15.75">
      <c r="A30" s="434">
        <v>113</v>
      </c>
      <c r="B30" s="581"/>
      <c r="C30" s="581">
        <v>16</v>
      </c>
      <c r="D30" s="581"/>
      <c r="E30" s="889" t="s">
        <v>0</v>
      </c>
      <c r="F30" s="962" t="s">
        <v>44</v>
      </c>
      <c r="G30" s="927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IFERROR(LOOKUP(1,0/((成型機資料庫!$F$200:$F$229=J30)*(成型機資料庫!$G$200:$G$229=K30)),成型機資料庫!$K$200:$K$229),0)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IFERROR(LOOKUP(1,0/((成型機資料庫!$F$200:$F$229=J30)*(成型機資料庫!$G$200:$G$229=K30)),成型機資料庫!$I$200:$I$229),0)</f>
        <v>0</v>
      </c>
      <c r="U30" s="483">
        <f>IFERROR(LOOKUP(1,0/((成型機資料庫!$F$200:$F$229=J30)*(成型機資料庫!$G$200:$G$229=K30)),成型機資料庫!$J$200:$J$229),0)</f>
        <v>0</v>
      </c>
      <c r="V30" s="900">
        <f>IFERROR(LOOKUP(1,0/((成型機資料庫!$F$200:$F$229=J30)*(成型機資料庫!$G$200:$G$229=K30)),成型機資料庫!$L$200:$L$229),0)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64"/>
      <c r="AF30" s="438"/>
    </row>
    <row r="31" spans="1:32" s="433" customFormat="1" ht="15.75">
      <c r="A31" s="434">
        <v>113</v>
      </c>
      <c r="B31" s="581"/>
      <c r="C31" s="581">
        <v>17</v>
      </c>
      <c r="D31" s="581"/>
      <c r="E31" s="889" t="s">
        <v>0</v>
      </c>
      <c r="F31" s="962" t="s">
        <v>44</v>
      </c>
      <c r="G31" s="927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IFERROR(LOOKUP(1,0/((成型機資料庫!$F$200:$F$229=J31)*(成型機資料庫!$G$200:$G$229=K31)),成型機資料庫!$K$200:$K$229),0)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IFERROR(LOOKUP(1,0/((成型機資料庫!$F$200:$F$229=J31)*(成型機資料庫!$G$200:$G$229=K31)),成型機資料庫!$I$200:$I$229),0)</f>
        <v>0</v>
      </c>
      <c r="U31" s="483">
        <f>IFERROR(LOOKUP(1,0/((成型機資料庫!$F$200:$F$229=J31)*(成型機資料庫!$G$200:$G$229=K31)),成型機資料庫!$J$200:$J$229),0)</f>
        <v>0</v>
      </c>
      <c r="V31" s="900">
        <f>IFERROR(LOOKUP(1,0/((成型機資料庫!$F$200:$F$229=J31)*(成型機資料庫!$G$200:$G$229=K31)),成型機資料庫!$L$200:$L$229),0)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18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IFERROR(LOOKUP(1,0/((成型機資料庫!$F$200:$F$229=J32)*(成型機資料庫!$G$200:$G$229=K32)),成型機資料庫!$K$200:$K$229),0)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IFERROR(LOOKUP(1,0/((成型機資料庫!$F$200:$F$229=J32)*(成型機資料庫!$G$200:$G$229=K32)),成型機資料庫!$I$200:$I$229),0)</f>
        <v>0</v>
      </c>
      <c r="U32" s="483">
        <f>IFERROR(LOOKUP(1,0/((成型機資料庫!$F$200:$F$229=J32)*(成型機資料庫!$G$200:$G$229=K32)),成型機資料庫!$J$200:$J$229),0)</f>
        <v>0</v>
      </c>
      <c r="V32" s="900">
        <f>IFERROR(LOOKUP(1,0/((成型機資料庫!$F$200:$F$229=J32)*(成型機資料庫!$G$200:$G$229=K32)),成型機資料庫!$L$200:$L$229),0)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19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IFERROR(LOOKUP(1,0/((成型機資料庫!$F$200:$F$229=J33)*(成型機資料庫!$G$200:$G$229=K33)),成型機資料庫!$K$200:$K$229),0)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IFERROR(LOOKUP(1,0/((成型機資料庫!$F$200:$F$229=J33)*(成型機資料庫!$G$200:$G$229=K33)),成型機資料庫!$I$200:$I$229),0)</f>
        <v>0</v>
      </c>
      <c r="U33" s="483">
        <f>IFERROR(LOOKUP(1,0/((成型機資料庫!$F$200:$F$229=J33)*(成型機資料庫!$G$200:$G$229=K33)),成型機資料庫!$J$200:$J$229),0)</f>
        <v>0</v>
      </c>
      <c r="V33" s="900">
        <f>IFERROR(LOOKUP(1,0/((成型機資料庫!$F$200:$F$229=J33)*(成型機資料庫!$G$200:$G$229=K33)),成型機資料庫!$L$200:$L$229),0)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20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IFERROR(LOOKUP(1,0/((成型機資料庫!$F$200:$F$229=J34)*(成型機資料庫!$G$200:$G$229=K34)),成型機資料庫!$K$200:$K$229),0)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IFERROR(LOOKUP(1,0/((成型機資料庫!$F$200:$F$229=J34)*(成型機資料庫!$G$200:$G$229=K34)),成型機資料庫!$I$200:$I$229),0)</f>
        <v>0</v>
      </c>
      <c r="U34" s="483">
        <f>IFERROR(LOOKUP(1,0/((成型機資料庫!$F$200:$F$229=J34)*(成型機資料庫!$G$200:$G$229=K34)),成型機資料庫!$J$200:$J$229),0)</f>
        <v>0</v>
      </c>
      <c r="V34" s="900">
        <f>IFERROR(LOOKUP(1,0/((成型機資料庫!$F$200:$F$229=J34)*(成型機資料庫!$G$200:$G$229=K34)),成型機資料庫!$L$200:$L$229),0)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21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IFERROR(LOOKUP(1,0/((成型機資料庫!$F$200:$F$229=J35)*(成型機資料庫!$G$200:$G$229=K35)),成型機資料庫!$K$200:$K$229),0)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IFERROR(LOOKUP(1,0/((成型機資料庫!$F$200:$F$229=J35)*(成型機資料庫!$G$200:$G$229=K35)),成型機資料庫!$I$200:$I$229),0)</f>
        <v>0</v>
      </c>
      <c r="U35" s="483">
        <f>IFERROR(LOOKUP(1,0/((成型機資料庫!$F$200:$F$229=J35)*(成型機資料庫!$G$200:$G$229=K35)),成型機資料庫!$J$200:$J$229),0)</f>
        <v>0</v>
      </c>
      <c r="V35" s="900">
        <f>IFERROR(LOOKUP(1,0/((成型機資料庫!$F$200:$F$229=J35)*(成型機資料庫!$G$200:$G$229=K35)),成型機資料庫!$L$200:$L$229),0)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22</v>
      </c>
      <c r="D36" s="581"/>
      <c r="E36" s="889" t="s">
        <v>0</v>
      </c>
      <c r="F36" s="962" t="s">
        <v>44</v>
      </c>
      <c r="G36" s="927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IFERROR(LOOKUP(1,0/((成型機資料庫!$F$200:$F$229=J36)*(成型機資料庫!$G$200:$G$229=K36)),成型機資料庫!$K$200:$K$229),0)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IFERROR(LOOKUP(1,0/((成型機資料庫!$F$200:$F$229=J36)*(成型機資料庫!$G$200:$G$229=K36)),成型機資料庫!$I$200:$I$229),0)</f>
        <v>0</v>
      </c>
      <c r="U36" s="483">
        <f>IFERROR(LOOKUP(1,0/((成型機資料庫!$F$200:$F$229=J36)*(成型機資料庫!$G$200:$G$229=K36)),成型機資料庫!$J$200:$J$229),0)</f>
        <v>0</v>
      </c>
      <c r="V36" s="900">
        <f>IFERROR(LOOKUP(1,0/((成型機資料庫!$F$200:$F$229=J36)*(成型機資料庫!$G$200:$G$229=K36)),成型機資料庫!$L$200:$L$229),0)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23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IFERROR(LOOKUP(1,0/((成型機資料庫!$F$200:$F$229=J37)*(成型機資料庫!$G$200:$G$229=K37)),成型機資料庫!$K$200:$K$229),0)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IFERROR(LOOKUP(1,0/((成型機資料庫!$F$200:$F$229=J37)*(成型機資料庫!$G$200:$G$229=K37)),成型機資料庫!$I$200:$I$229),0)</f>
        <v>0</v>
      </c>
      <c r="U37" s="483">
        <f>IFERROR(LOOKUP(1,0/((成型機資料庫!$F$200:$F$229=J37)*(成型機資料庫!$G$200:$G$229=K37)),成型機資料庫!$J$200:$J$229),0)</f>
        <v>0</v>
      </c>
      <c r="V37" s="900">
        <f>IFERROR(LOOKUP(1,0/((成型機資料庫!$F$200:$F$229=J37)*(成型機資料庫!$G$200:$G$229=K37)),成型機資料庫!$L$200:$L$229),0)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24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IFERROR(LOOKUP(1,0/((成型機資料庫!$F$200:$F$229=J38)*(成型機資料庫!$G$200:$G$229=K38)),成型機資料庫!$K$200:$K$229),0)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IFERROR(LOOKUP(1,0/((成型機資料庫!$F$200:$F$229=J38)*(成型機資料庫!$G$200:$G$229=K38)),成型機資料庫!$I$200:$I$229),0)</f>
        <v>0</v>
      </c>
      <c r="U38" s="483">
        <f>IFERROR(LOOKUP(1,0/((成型機資料庫!$F$200:$F$229=J38)*(成型機資料庫!$G$200:$G$229=K38)),成型機資料庫!$J$200:$J$229),0)</f>
        <v>0</v>
      </c>
      <c r="V38" s="900">
        <f>IFERROR(LOOKUP(1,0/((成型機資料庫!$F$200:$F$229=J38)*(成型機資料庫!$G$200:$G$229=K38)),成型機資料庫!$L$200:$L$229),0)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434"/>
      <c r="C39" s="434">
        <v>25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IFERROR(LOOKUP(1,0/((成型機資料庫!$F$200:$F$229=J39)*(成型機資料庫!$G$200:$G$229=K39)),成型機資料庫!$K$200:$K$229),0)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IFERROR(LOOKUP(1,0/((成型機資料庫!$F$200:$F$229=J39)*(成型機資料庫!$G$200:$G$229=K39)),成型機資料庫!$I$200:$I$229),0)</f>
        <v>0</v>
      </c>
      <c r="U39" s="483">
        <f>IFERROR(LOOKUP(1,0/((成型機資料庫!$F$200:$F$229=J39)*(成型機資料庫!$G$200:$G$229=K39)),成型機資料庫!$J$200:$J$229),0)</f>
        <v>0</v>
      </c>
      <c r="V39" s="900">
        <f>IFERROR(LOOKUP(1,0/((成型機資料庫!$F$200:$F$229=J39)*(成型機資料庫!$G$200:$G$229=K39)),成型機資料庫!$L$200:$L$229),0)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64"/>
      <c r="AF39" s="438"/>
    </row>
    <row r="40" spans="1:32" s="433" customFormat="1" ht="15.75">
      <c r="A40" s="434">
        <v>113</v>
      </c>
      <c r="B40" s="434"/>
      <c r="C40" s="434">
        <v>26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IFERROR(LOOKUP(1,0/((成型機資料庫!$F$200:$F$229=J40)*(成型機資料庫!$G$200:$G$229=K40)),成型機資料庫!$K$200:$K$229),0)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IFERROR(LOOKUP(1,0/((成型機資料庫!$F$200:$F$229=J40)*(成型機資料庫!$G$200:$G$229=K40)),成型機資料庫!$I$200:$I$229),0)</f>
        <v>0</v>
      </c>
      <c r="U40" s="483">
        <f>IFERROR(LOOKUP(1,0/((成型機資料庫!$F$200:$F$229=J40)*(成型機資料庫!$G$200:$G$229=K40)),成型機資料庫!$J$200:$J$229),0)</f>
        <v>0</v>
      </c>
      <c r="V40" s="900">
        <f>IFERROR(LOOKUP(1,0/((成型機資料庫!$F$200:$F$229=J40)*(成型機資料庫!$G$200:$G$229=K40)),成型機資料庫!$L$200:$L$229),0)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38"/>
      <c r="AE40" s="464"/>
      <c r="AF40" s="438"/>
    </row>
    <row r="41" spans="1:32" s="433" customFormat="1" ht="15.75">
      <c r="A41" s="434">
        <v>113</v>
      </c>
      <c r="B41" s="434"/>
      <c r="C41" s="434">
        <v>27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IFERROR(LOOKUP(1,0/((成型機資料庫!$F$200:$F$229=J41)*(成型機資料庫!$G$200:$G$229=K41)),成型機資料庫!$K$200:$K$229),0)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IFERROR(LOOKUP(1,0/((成型機資料庫!$F$200:$F$229=J41)*(成型機資料庫!$G$200:$G$229=K41)),成型機資料庫!$I$200:$I$229),0)</f>
        <v>0</v>
      </c>
      <c r="U41" s="483">
        <f>IFERROR(LOOKUP(1,0/((成型機資料庫!$F$200:$F$229=J41)*(成型機資料庫!$G$200:$G$229=K41)),成型機資料庫!$J$200:$J$229),0)</f>
        <v>0</v>
      </c>
      <c r="V41" s="900">
        <f>IFERROR(LOOKUP(1,0/((成型機資料庫!$F$200:$F$229=J41)*(成型機資料庫!$G$200:$G$229=K41)),成型機資料庫!$L$200:$L$229),0)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38"/>
      <c r="AF41" s="438"/>
    </row>
    <row r="42" spans="1:32" s="433" customFormat="1" ht="15.75">
      <c r="A42" s="434">
        <v>113</v>
      </c>
      <c r="B42" s="581"/>
      <c r="C42" s="581">
        <v>28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IFERROR(LOOKUP(1,0/((成型機資料庫!$F$200:$F$229=J42)*(成型機資料庫!$G$200:$G$229=K42)),成型機資料庫!$K$200:$K$229),0)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IFERROR(LOOKUP(1,0/((成型機資料庫!$F$200:$F$229=J42)*(成型機資料庫!$G$200:$G$229=K42)),成型機資料庫!$I$200:$I$229),0)</f>
        <v>0</v>
      </c>
      <c r="U42" s="483">
        <f>IFERROR(LOOKUP(1,0/((成型機資料庫!$F$200:$F$229=J42)*(成型機資料庫!$G$200:$G$229=K42)),成型機資料庫!$J$200:$J$229),0)</f>
        <v>0</v>
      </c>
      <c r="V42" s="900">
        <f>IFERROR(LOOKUP(1,0/((成型機資料庫!$F$200:$F$229=J42)*(成型機資料庫!$G$200:$G$229=K42)),成型機資料庫!$L$200:$L$229),0)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34">
        <v>113</v>
      </c>
      <c r="B43" s="581"/>
      <c r="C43" s="581">
        <v>29</v>
      </c>
      <c r="D43" s="581"/>
      <c r="E43" s="889" t="s">
        <v>0</v>
      </c>
      <c r="F43" s="962" t="s">
        <v>44</v>
      </c>
      <c r="G43" s="926"/>
      <c r="H43" s="464"/>
      <c r="I43" s="429"/>
      <c r="J43" s="429"/>
      <c r="K43" s="429"/>
      <c r="L43" s="464"/>
      <c r="M43" s="464"/>
      <c r="N43" s="900">
        <f t="shared" si="5"/>
        <v>0</v>
      </c>
      <c r="O43" s="901">
        <f t="shared" si="0"/>
        <v>0</v>
      </c>
      <c r="P43" s="460"/>
      <c r="Q43" s="438">
        <f>IFERROR(LOOKUP(1,0/((成型機資料庫!$F$200:$F$229=J43)*(成型機資料庫!$G$200:$G$229=K43)),成型機資料庫!$K$200:$K$229),0)</f>
        <v>0</v>
      </c>
      <c r="R43" s="899">
        <f t="shared" si="2"/>
        <v>0</v>
      </c>
      <c r="S43" s="898">
        <f t="shared" si="3"/>
        <v>0</v>
      </c>
      <c r="T43" s="482">
        <f>IFERROR(LOOKUP(1,0/((成型機資料庫!$F$200:$F$229=J43)*(成型機資料庫!$G$200:$G$229=K43)),成型機資料庫!$I$200:$I$229),0)</f>
        <v>0</v>
      </c>
      <c r="U43" s="483">
        <f>IFERROR(LOOKUP(1,0/((成型機資料庫!$F$200:$F$229=J43)*(成型機資料庫!$G$200:$G$229=K43)),成型機資料庫!$J$200:$J$229),0)</f>
        <v>0</v>
      </c>
      <c r="V43" s="900">
        <f>IFERROR(LOOKUP(1,0/((成型機資料庫!$F$200:$F$229=J43)*(成型機資料庫!$G$200:$G$229=K43)),成型機資料庫!$L$200:$L$229),0)</f>
        <v>0</v>
      </c>
      <c r="W43" s="898">
        <f t="shared" si="4"/>
        <v>0</v>
      </c>
      <c r="X43" s="923">
        <f t="shared" si="6"/>
        <v>0</v>
      </c>
      <c r="Y43" s="898">
        <f t="shared" si="7"/>
        <v>0</v>
      </c>
      <c r="Z43" s="923"/>
      <c r="AA43" s="478">
        <f t="shared" si="1"/>
        <v>0</v>
      </c>
      <c r="AB43" s="438"/>
      <c r="AC43" s="482"/>
      <c r="AD43" s="464"/>
      <c r="AE43" s="464"/>
      <c r="AF43" s="438"/>
    </row>
    <row r="44" spans="1:32" s="433" customFormat="1" ht="15.75">
      <c r="A44" s="434">
        <v>113</v>
      </c>
      <c r="B44" s="581"/>
      <c r="C44" s="581">
        <v>30</v>
      </c>
      <c r="D44" s="581"/>
      <c r="E44" s="889" t="s">
        <v>0</v>
      </c>
      <c r="F44" s="962" t="s">
        <v>44</v>
      </c>
      <c r="G44" s="926"/>
      <c r="H44" s="464"/>
      <c r="I44" s="429"/>
      <c r="J44" s="429"/>
      <c r="K44" s="429"/>
      <c r="L44" s="464"/>
      <c r="M44" s="464"/>
      <c r="N44" s="900">
        <f t="shared" si="5"/>
        <v>0</v>
      </c>
      <c r="O44" s="901">
        <f t="shared" si="0"/>
        <v>0</v>
      </c>
      <c r="P44" s="460"/>
      <c r="Q44" s="438">
        <f>IFERROR(LOOKUP(1,0/((成型機資料庫!$F$200:$F$229=J44)*(成型機資料庫!$G$200:$G$229=K44)),成型機資料庫!$K$200:$K$229),0)</f>
        <v>0</v>
      </c>
      <c r="R44" s="899">
        <f t="shared" si="2"/>
        <v>0</v>
      </c>
      <c r="S44" s="898">
        <f t="shared" si="3"/>
        <v>0</v>
      </c>
      <c r="T44" s="482">
        <f>IFERROR(LOOKUP(1,0/((成型機資料庫!$F$200:$F$229=J44)*(成型機資料庫!$G$200:$G$229=K44)),成型機資料庫!$I$200:$I$229),0)</f>
        <v>0</v>
      </c>
      <c r="U44" s="483">
        <f>IFERROR(LOOKUP(1,0/((成型機資料庫!$F$200:$F$229=J44)*(成型機資料庫!$G$200:$G$229=K44)),成型機資料庫!$J$200:$J$229),0)</f>
        <v>0</v>
      </c>
      <c r="V44" s="900">
        <f>IFERROR(LOOKUP(1,0/((成型機資料庫!$F$200:$F$229=J44)*(成型機資料庫!$G$200:$G$229=K44)),成型機資料庫!$L$200:$L$229),0)</f>
        <v>0</v>
      </c>
      <c r="W44" s="898">
        <f t="shared" si="4"/>
        <v>0</v>
      </c>
      <c r="X44" s="923">
        <f t="shared" si="6"/>
        <v>0</v>
      </c>
      <c r="Y44" s="898">
        <f t="shared" si="7"/>
        <v>0</v>
      </c>
      <c r="Z44" s="923"/>
      <c r="AA44" s="478">
        <f t="shared" si="1"/>
        <v>0</v>
      </c>
      <c r="AB44" s="438"/>
      <c r="AC44" s="482"/>
      <c r="AD44" s="464"/>
      <c r="AE44" s="438"/>
      <c r="AF44" s="438"/>
    </row>
    <row r="45" spans="1:32" s="433" customFormat="1" ht="15.75">
      <c r="A45" s="446"/>
      <c r="B45" s="456"/>
      <c r="C45" s="456"/>
      <c r="D45" s="456"/>
      <c r="E45" s="456"/>
      <c r="F45" s="448"/>
      <c r="G45" s="951"/>
      <c r="H45" s="452"/>
      <c r="I45" s="430"/>
      <c r="J45" s="430"/>
      <c r="K45" s="430"/>
      <c r="L45" s="452"/>
      <c r="M45" s="452"/>
      <c r="N45" s="945"/>
      <c r="O45" s="946"/>
      <c r="P45" s="868"/>
      <c r="Q45" s="467"/>
      <c r="R45" s="948"/>
      <c r="S45" s="936"/>
      <c r="T45" s="936"/>
      <c r="U45" s="936"/>
      <c r="V45" s="945"/>
      <c r="W45" s="936"/>
      <c r="X45" s="947"/>
      <c r="Y45" s="936"/>
      <c r="Z45" s="947"/>
      <c r="AA45" s="488"/>
      <c r="AB45" s="439"/>
      <c r="AC45" s="471"/>
      <c r="AD45" s="452"/>
      <c r="AE45" s="439"/>
      <c r="AF45" s="439"/>
    </row>
    <row r="46" spans="1:32" s="433" customFormat="1" ht="15.75">
      <c r="A46" s="446"/>
      <c r="B46" s="456"/>
      <c r="C46" s="456"/>
      <c r="D46" s="456"/>
      <c r="E46" s="456"/>
      <c r="F46" s="448"/>
      <c r="G46" s="951"/>
      <c r="H46" s="452"/>
      <c r="I46" s="430"/>
      <c r="J46" s="430"/>
      <c r="K46" s="430"/>
      <c r="L46" s="452"/>
      <c r="M46" s="452"/>
      <c r="N46" s="945"/>
      <c r="O46" s="946"/>
      <c r="P46" s="868"/>
      <c r="Q46" s="467"/>
      <c r="R46" s="948"/>
      <c r="S46" s="936"/>
      <c r="T46" s="936"/>
      <c r="U46" s="936"/>
      <c r="V46" s="945"/>
      <c r="W46" s="936"/>
      <c r="X46" s="947"/>
      <c r="Y46" s="936"/>
      <c r="Z46" s="947"/>
      <c r="AA46" s="488"/>
      <c r="AB46" s="439"/>
      <c r="AC46" s="471"/>
      <c r="AD46" s="452"/>
      <c r="AE46" s="439"/>
      <c r="AF46" s="439"/>
    </row>
    <row r="47" spans="1:32" s="433" customFormat="1" thickBot="1">
      <c r="A47" s="446"/>
      <c r="B47" s="446"/>
      <c r="C47" s="446"/>
      <c r="D47" s="446"/>
      <c r="E47" s="446"/>
      <c r="F47" s="448"/>
      <c r="G47" s="448"/>
      <c r="H47" s="430"/>
      <c r="I47" s="430"/>
      <c r="J47" s="430"/>
      <c r="K47" s="430"/>
      <c r="L47" s="439"/>
      <c r="M47" s="452"/>
      <c r="N47" s="452"/>
      <c r="O47" s="457"/>
      <c r="P47" s="466"/>
      <c r="Q47" s="467"/>
      <c r="R47" s="486"/>
      <c r="S47" s="457"/>
      <c r="T47" s="457"/>
      <c r="U47" s="457"/>
      <c r="V47" s="458"/>
      <c r="W47" s="487">
        <f>SUM(W15:W44)</f>
        <v>0</v>
      </c>
      <c r="X47" s="487"/>
      <c r="Y47" s="487"/>
      <c r="Z47" s="487"/>
      <c r="AA47" s="488"/>
      <c r="AB47" s="489"/>
      <c r="AC47" s="489"/>
      <c r="AD47" s="469" t="s">
        <v>46</v>
      </c>
      <c r="AE47" s="439"/>
      <c r="AF47" s="439"/>
    </row>
    <row r="48" spans="1:32" s="469" customFormat="1" ht="31.5">
      <c r="A48" s="479"/>
      <c r="B48" s="479"/>
      <c r="C48" s="479"/>
      <c r="D48" s="479"/>
      <c r="E48" s="479"/>
      <c r="F48" s="452"/>
      <c r="G48" s="524" t="s">
        <v>503</v>
      </c>
      <c r="H48" s="517"/>
      <c r="I48" s="518"/>
      <c r="L48" s="1842" t="s">
        <v>1348</v>
      </c>
      <c r="M48" s="525" t="s">
        <v>1294</v>
      </c>
      <c r="N48" s="525" t="s">
        <v>1295</v>
      </c>
      <c r="O48" s="526" t="s">
        <v>458</v>
      </c>
      <c r="P48" s="520"/>
      <c r="Q48" s="521"/>
      <c r="R48" s="524" t="s">
        <v>504</v>
      </c>
      <c r="S48" s="524" t="s">
        <v>455</v>
      </c>
      <c r="T48" s="521"/>
      <c r="U48" s="521"/>
      <c r="V48" s="524" t="s">
        <v>1293</v>
      </c>
      <c r="W48" s="524" t="s">
        <v>459</v>
      </c>
      <c r="X48" s="521"/>
      <c r="Y48" s="524" t="s">
        <v>1345</v>
      </c>
      <c r="Z48" s="524" t="s">
        <v>1350</v>
      </c>
      <c r="AA48" s="524" t="s">
        <v>1351</v>
      </c>
      <c r="AB48" s="524" t="s">
        <v>1353</v>
      </c>
      <c r="AC48" s="524" t="s">
        <v>1352</v>
      </c>
      <c r="AD48" s="469" t="s">
        <v>253</v>
      </c>
      <c r="AE48" s="452"/>
      <c r="AF48" s="452"/>
    </row>
    <row r="49" spans="1:56" thickBot="1">
      <c r="G49" s="522">
        <f>SUM(G15:G44)</f>
        <v>0</v>
      </c>
      <c r="I49" s="431"/>
      <c r="J49" s="518"/>
      <c r="K49" s="518"/>
      <c r="L49" s="1843"/>
      <c r="M49" s="522">
        <f>SUM(M15:M44)</f>
        <v>0</v>
      </c>
      <c r="N49" s="522">
        <f>SUM(N15:N44)</f>
        <v>0</v>
      </c>
      <c r="O49" s="902">
        <f>SUM(O15:O44)</f>
        <v>0</v>
      </c>
      <c r="P49" s="470"/>
      <c r="R49" s="924">
        <f>SUM(R15:R44)</f>
        <v>0</v>
      </c>
      <c r="S49" s="897" t="e">
        <f>(G49-R49)/G49</f>
        <v>#DIV/0!</v>
      </c>
      <c r="T49" s="446"/>
      <c r="U49" s="446"/>
      <c r="V49" s="686" t="e">
        <f>N49/W49</f>
        <v>#DIV/0!</v>
      </c>
      <c r="W49" s="516" t="e">
        <f>W47/Y49</f>
        <v>#DIV/0!</v>
      </c>
      <c r="X49" s="446"/>
      <c r="Y49" s="516"/>
      <c r="Z49" s="958">
        <f>SUM(Z15:Z44)</f>
        <v>0</v>
      </c>
      <c r="AA49" s="516">
        <f>SUM(AA15:AA44)</f>
        <v>0</v>
      </c>
      <c r="AB49" s="516">
        <f>Z49-AA49</f>
        <v>0</v>
      </c>
      <c r="AC49" s="896" t="e">
        <f>AA49/Z49</f>
        <v>#DIV/0!</v>
      </c>
    </row>
    <row r="50" spans="1:56">
      <c r="G50" s="453"/>
      <c r="M50" s="453"/>
      <c r="N50" s="453"/>
      <c r="O50"/>
      <c r="P50" s="470"/>
      <c r="R50"/>
      <c r="S50"/>
      <c r="T50"/>
      <c r="U50"/>
    </row>
    <row r="51" spans="1:56" ht="17.25" thickBot="1"/>
    <row r="52" spans="1:56" ht="15.75">
      <c r="A52" s="1824" t="s">
        <v>668</v>
      </c>
      <c r="B52" s="1824" t="s">
        <v>330</v>
      </c>
      <c r="C52" s="1826" t="s">
        <v>311</v>
      </c>
      <c r="D52" s="1828" t="s">
        <v>331</v>
      </c>
      <c r="E52" s="1828" t="s">
        <v>332</v>
      </c>
      <c r="F52" s="1830" t="s">
        <v>194</v>
      </c>
      <c r="G52" s="1830" t="s">
        <v>386</v>
      </c>
      <c r="H52" s="1832" t="s">
        <v>360</v>
      </c>
      <c r="I52" s="1832" t="s">
        <v>361</v>
      </c>
      <c r="J52" s="1832" t="s">
        <v>510</v>
      </c>
      <c r="K52" s="1832" t="s">
        <v>1320</v>
      </c>
      <c r="L52" s="1828" t="s">
        <v>362</v>
      </c>
      <c r="M52" s="1828" t="s">
        <v>514</v>
      </c>
      <c r="N52" s="1856" t="s">
        <v>511</v>
      </c>
      <c r="O52" s="1858" t="s">
        <v>457</v>
      </c>
      <c r="P52" s="1836" t="s">
        <v>379</v>
      </c>
      <c r="Q52" s="1828" t="s">
        <v>627</v>
      </c>
      <c r="R52" s="1852" t="s">
        <v>381</v>
      </c>
      <c r="S52" s="1854" t="s">
        <v>435</v>
      </c>
      <c r="T52" s="1834" t="s">
        <v>365</v>
      </c>
      <c r="U52" s="1836" t="s">
        <v>366</v>
      </c>
      <c r="V52" s="1844" t="s">
        <v>1286</v>
      </c>
      <c r="W52" s="1846" t="s">
        <v>201</v>
      </c>
      <c r="X52" s="1846" t="s">
        <v>1318</v>
      </c>
      <c r="Y52" s="1846" t="s">
        <v>1319</v>
      </c>
      <c r="Z52" s="1849" t="s">
        <v>1285</v>
      </c>
      <c r="AA52" s="1849" t="s">
        <v>339</v>
      </c>
      <c r="AB52" s="1860" t="s">
        <v>340</v>
      </c>
      <c r="AC52" s="1861"/>
      <c r="AD52" s="1862" t="s">
        <v>371</v>
      </c>
      <c r="AE52" s="1862" t="s">
        <v>383</v>
      </c>
      <c r="AF52" s="1840" t="s">
        <v>29</v>
      </c>
    </row>
    <row r="53" spans="1:56" s="447" customFormat="1" thickBot="1">
      <c r="A53" s="1825"/>
      <c r="B53" s="1825"/>
      <c r="C53" s="1827"/>
      <c r="D53" s="1829"/>
      <c r="E53" s="1829"/>
      <c r="F53" s="1831"/>
      <c r="G53" s="1831"/>
      <c r="H53" s="1833"/>
      <c r="I53" s="1833"/>
      <c r="J53" s="1833"/>
      <c r="K53" s="1838"/>
      <c r="L53" s="1829"/>
      <c r="M53" s="1839"/>
      <c r="N53" s="1857"/>
      <c r="O53" s="1859"/>
      <c r="P53" s="1837"/>
      <c r="Q53" s="1829"/>
      <c r="R53" s="1853"/>
      <c r="S53" s="1855"/>
      <c r="T53" s="1835"/>
      <c r="U53" s="1837"/>
      <c r="V53" s="1845"/>
      <c r="W53" s="1847"/>
      <c r="X53" s="1848"/>
      <c r="Y53" s="1848"/>
      <c r="Z53" s="1850"/>
      <c r="AA53" s="1851"/>
      <c r="AB53" s="491" t="s">
        <v>350</v>
      </c>
      <c r="AC53" s="491" t="s">
        <v>351</v>
      </c>
      <c r="AD53" s="1863"/>
      <c r="AE53" s="1863"/>
      <c r="AF53" s="1841"/>
      <c r="AG53" s="446"/>
      <c r="AH53" s="446"/>
      <c r="AU53" s="446"/>
      <c r="AV53" s="446"/>
      <c r="AW53" s="446"/>
      <c r="AX53" s="446"/>
      <c r="AY53" s="446"/>
      <c r="AZ53" s="446"/>
      <c r="BA53" s="446"/>
      <c r="BB53" s="446"/>
      <c r="BC53" s="446"/>
      <c r="BD53" s="446"/>
    </row>
    <row r="54" spans="1:56" s="433" customFormat="1" ht="15.75">
      <c r="A54" s="434">
        <v>113</v>
      </c>
      <c r="B54" s="434"/>
      <c r="C54" s="434">
        <v>1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>M54*Q54</f>
        <v>0</v>
      </c>
      <c r="O54" s="901">
        <f t="shared" ref="O54:O83" si="8">L54*M54</f>
        <v>0</v>
      </c>
      <c r="P54" s="460"/>
      <c r="Q54" s="438">
        <f>IFERROR(LOOKUP(1,0/((成型機資料庫!$F$200:$F$229=J54)*(成型機資料庫!$G$200:$G$229=K54)),成型機資料庫!$K$200:$K$229),0)</f>
        <v>0</v>
      </c>
      <c r="R54" s="899">
        <f t="shared" ref="R54:R83" si="9">M54*Q54*P54/1000</f>
        <v>0</v>
      </c>
      <c r="S54" s="898">
        <f t="shared" ref="S54:S83" si="10">IFERROR((G54-R54)/G54,0)</f>
        <v>0</v>
      </c>
      <c r="T54" s="482">
        <f>IFERROR(LOOKUP(1,0/((成型機資料庫!$F$200:$F$229=J54)*(成型機資料庫!$G$200:$G$229=K54)),成型機資料庫!$I$200:$I$229),0)</f>
        <v>0</v>
      </c>
      <c r="U54" s="483">
        <f>IFERROR(LOOKUP(1,0/((成型機資料庫!$F$200:$F$229=J54)*(成型機資料庫!$G$200:$G$229=K54)),成型機資料庫!$J$200:$J$229),0)</f>
        <v>0</v>
      </c>
      <c r="V54" s="900">
        <f>IFERROR(LOOKUP(1,0/((成型機資料庫!$F$200:$F$229=J54)*(成型機資料庫!$G$200:$G$229=K54)),成型機資料庫!$L$200:$L$229),0)</f>
        <v>0</v>
      </c>
      <c r="W54" s="898">
        <f t="shared" ref="W54:W83" si="11">IFERROR(M54/V54,0)</f>
        <v>0</v>
      </c>
      <c r="X54" s="923">
        <f>IFERROR(T54*U54*60*AA54/Q54,0)</f>
        <v>0</v>
      </c>
      <c r="Y54" s="898">
        <f>IFERROR(M54/X54,0)</f>
        <v>0</v>
      </c>
      <c r="Z54" s="923"/>
      <c r="AA54" s="478">
        <f t="shared" ref="AA54:AA83" si="12">AB54+AC54/60</f>
        <v>0</v>
      </c>
      <c r="AB54" s="438"/>
      <c r="AC54" s="482"/>
      <c r="AD54" s="464"/>
      <c r="AE54" s="438"/>
      <c r="AF54" s="438"/>
    </row>
    <row r="55" spans="1:56" s="433" customFormat="1" ht="15.75">
      <c r="A55" s="434">
        <v>113</v>
      </c>
      <c r="B55" s="581"/>
      <c r="C55" s="581">
        <v>2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ref="N55:N83" si="13">M55*Q55</f>
        <v>0</v>
      </c>
      <c r="O55" s="901">
        <f t="shared" si="8"/>
        <v>0</v>
      </c>
      <c r="P55" s="460"/>
      <c r="Q55" s="438">
        <f>IFERROR(LOOKUP(1,0/((成型機資料庫!$F$200:$F$229=J55)*(成型機資料庫!$G$200:$G$229=K55)),成型機資料庫!$K$200:$K$229),0)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IFERROR(LOOKUP(1,0/((成型機資料庫!$F$200:$F$229=J55)*(成型機資料庫!$G$200:$G$229=K55)),成型機資料庫!$I$200:$I$229),0)</f>
        <v>0</v>
      </c>
      <c r="U55" s="483">
        <f>IFERROR(LOOKUP(1,0/((成型機資料庫!$F$200:$F$229=J55)*(成型機資料庫!$G$200:$G$229=K55)),成型機資料庫!$J$200:$J$229),0)</f>
        <v>0</v>
      </c>
      <c r="V55" s="900">
        <f>IFERROR(LOOKUP(1,0/((成型機資料庫!$F$200:$F$229=J55)*(成型機資料庫!$G$200:$G$229=K55)),成型機資料庫!$L$200:$L$229),0)</f>
        <v>0</v>
      </c>
      <c r="W55" s="898">
        <f t="shared" si="11"/>
        <v>0</v>
      </c>
      <c r="X55" s="923">
        <f t="shared" ref="X55:X83" si="14">IFERROR(T55*U55*60*AA55/Q55,0)</f>
        <v>0</v>
      </c>
      <c r="Y55" s="898">
        <f t="shared" ref="Y55:Y83" si="15">IFERROR(M55/X55,0)</f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56" s="433" customFormat="1" ht="15.75">
      <c r="A56" s="434">
        <v>113</v>
      </c>
      <c r="B56" s="581"/>
      <c r="C56" s="581">
        <v>3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IFERROR(LOOKUP(1,0/((成型機資料庫!$F$200:$F$229=J56)*(成型機資料庫!$G$200:$G$229=K56)),成型機資料庫!$K$200:$K$229),0)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IFERROR(LOOKUP(1,0/((成型機資料庫!$F$200:$F$229=J56)*(成型機資料庫!$G$200:$G$229=K56)),成型機資料庫!$I$200:$I$229),0)</f>
        <v>0</v>
      </c>
      <c r="U56" s="483">
        <f>IFERROR(LOOKUP(1,0/((成型機資料庫!$F$200:$F$229=J56)*(成型機資料庫!$G$200:$G$229=K56)),成型機資料庫!$J$200:$J$229),0)</f>
        <v>0</v>
      </c>
      <c r="V56" s="900">
        <f>IFERROR(LOOKUP(1,0/((成型機資料庫!$F$200:$F$229=J56)*(成型機資料庫!$G$200:$G$229=K56)),成型機資料庫!$L$200:$L$229),0)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4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IFERROR(LOOKUP(1,0/((成型機資料庫!$F$200:$F$229=J57)*(成型機資料庫!$G$200:$G$229=K57)),成型機資料庫!$K$200:$K$229),0)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IFERROR(LOOKUP(1,0/((成型機資料庫!$F$200:$F$229=J57)*(成型機資料庫!$G$200:$G$229=K57)),成型機資料庫!$I$200:$I$229),0)</f>
        <v>0</v>
      </c>
      <c r="U57" s="483">
        <f>IFERROR(LOOKUP(1,0/((成型機資料庫!$F$200:$F$229=J57)*(成型機資料庫!$G$200:$G$229=K57)),成型機資料庫!$J$200:$J$229),0)</f>
        <v>0</v>
      </c>
      <c r="V57" s="900">
        <f>IFERROR(LOOKUP(1,0/((成型機資料庫!$F$200:$F$229=J57)*(成型機資料庫!$G$200:$G$229=K57)),成型機資料庫!$L$200:$L$229),0)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438"/>
      <c r="AE57" s="464"/>
      <c r="AF57" s="438"/>
    </row>
    <row r="58" spans="1:56" s="433" customFormat="1" ht="15.75">
      <c r="A58" s="434">
        <v>113</v>
      </c>
      <c r="B58" s="581"/>
      <c r="C58" s="581">
        <v>5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IFERROR(LOOKUP(1,0/((成型機資料庫!$F$200:$F$229=J58)*(成型機資料庫!$G$200:$G$229=K58)),成型機資料庫!$K$200:$K$229),0)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IFERROR(LOOKUP(1,0/((成型機資料庫!$F$200:$F$229=J58)*(成型機資料庫!$G$200:$G$229=K58)),成型機資料庫!$I$200:$I$229),0)</f>
        <v>0</v>
      </c>
      <c r="U58" s="483">
        <f>IFERROR(LOOKUP(1,0/((成型機資料庫!$F$200:$F$229=J58)*(成型機資料庫!$G$200:$G$229=K58)),成型機資料庫!$J$200:$J$229),0)</f>
        <v>0</v>
      </c>
      <c r="V58" s="900">
        <f>IFERROR(LOOKUP(1,0/((成型機資料庫!$F$200:$F$229=J58)*(成型機資料庫!$G$200:$G$229=K58)),成型機資料庫!$L$200:$L$229),0)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38"/>
      <c r="AE58" s="438"/>
      <c r="AF58" s="438"/>
    </row>
    <row r="59" spans="1:56" s="433" customFormat="1" ht="15.75">
      <c r="A59" s="434">
        <v>113</v>
      </c>
      <c r="B59" s="581"/>
      <c r="C59" s="581">
        <v>6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IFERROR(LOOKUP(1,0/((成型機資料庫!$F$200:$F$229=J59)*(成型機資料庫!$G$200:$G$229=K59)),成型機資料庫!$K$200:$K$229),0)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IFERROR(LOOKUP(1,0/((成型機資料庫!$F$200:$F$229=J59)*(成型機資料庫!$G$200:$G$229=K59)),成型機資料庫!$I$200:$I$229),0)</f>
        <v>0</v>
      </c>
      <c r="U59" s="483">
        <f>IFERROR(LOOKUP(1,0/((成型機資料庫!$F$200:$F$229=J59)*(成型機資料庫!$G$200:$G$229=K59)),成型機資料庫!$J$200:$J$229),0)</f>
        <v>0</v>
      </c>
      <c r="V59" s="900">
        <f>IFERROR(LOOKUP(1,0/((成型機資料庫!$F$200:$F$229=J59)*(成型機資料庫!$G$200:$G$229=K59)),成型機資料庫!$L$200:$L$229),0)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879"/>
      <c r="AE59" s="438"/>
      <c r="AF59" s="438"/>
    </row>
    <row r="60" spans="1:56" s="433" customFormat="1" ht="15.75">
      <c r="A60" s="434">
        <v>113</v>
      </c>
      <c r="B60" s="581"/>
      <c r="C60" s="581">
        <v>7</v>
      </c>
      <c r="D60" s="581"/>
      <c r="E60" s="581" t="s">
        <v>43</v>
      </c>
      <c r="F60" s="436" t="s">
        <v>44</v>
      </c>
      <c r="G60" s="927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IFERROR(LOOKUP(1,0/((成型機資料庫!$F$200:$F$229=J60)*(成型機資料庫!$G$200:$G$229=K60)),成型機資料庫!$K$200:$K$229),0)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IFERROR(LOOKUP(1,0/((成型機資料庫!$F$200:$F$229=J60)*(成型機資料庫!$G$200:$G$229=K60)),成型機資料庫!$I$200:$I$229),0)</f>
        <v>0</v>
      </c>
      <c r="U60" s="483">
        <f>IFERROR(LOOKUP(1,0/((成型機資料庫!$F$200:$F$229=J60)*(成型機資料庫!$G$200:$G$229=K60)),成型機資料庫!$J$200:$J$229),0)</f>
        <v>0</v>
      </c>
      <c r="V60" s="900">
        <f>IFERROR(LOOKUP(1,0/((成型機資料庫!$F$200:$F$229=J60)*(成型機資料庫!$G$200:$G$229=K60)),成型機資料庫!$L$200:$L$229),0)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8</v>
      </c>
      <c r="D61" s="581"/>
      <c r="E61" s="581" t="s">
        <v>43</v>
      </c>
      <c r="F61" s="436" t="s">
        <v>44</v>
      </c>
      <c r="G61" s="927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IFERROR(LOOKUP(1,0/((成型機資料庫!$F$200:$F$229=J61)*(成型機資料庫!$G$200:$G$229=K61)),成型機資料庫!$K$200:$K$229),0)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IFERROR(LOOKUP(1,0/((成型機資料庫!$F$200:$F$229=J61)*(成型機資料庫!$G$200:$G$229=K61)),成型機資料庫!$I$200:$I$229),0)</f>
        <v>0</v>
      </c>
      <c r="U61" s="483">
        <f>IFERROR(LOOKUP(1,0/((成型機資料庫!$F$200:$F$229=J61)*(成型機資料庫!$G$200:$G$229=K61)),成型機資料庫!$J$200:$J$229),0)</f>
        <v>0</v>
      </c>
      <c r="V61" s="900">
        <f>IFERROR(LOOKUP(1,0/((成型機資料庫!$F$200:$F$229=J61)*(成型機資料庫!$G$200:$G$229=K61)),成型機資料庫!$L$200:$L$229),0)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9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IFERROR(LOOKUP(1,0/((成型機資料庫!$F$200:$F$229=J62)*(成型機資料庫!$G$200:$G$229=K62)),成型機資料庫!$K$200:$K$229),0)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IFERROR(LOOKUP(1,0/((成型機資料庫!$F$200:$F$229=J62)*(成型機資料庫!$G$200:$G$229=K62)),成型機資料庫!$I$200:$I$229),0)</f>
        <v>0</v>
      </c>
      <c r="U62" s="483">
        <f>IFERROR(LOOKUP(1,0/((成型機資料庫!$F$200:$F$229=J62)*(成型機資料庫!$G$200:$G$229=K62)),成型機資料庫!$J$200:$J$229),0)</f>
        <v>0</v>
      </c>
      <c r="V62" s="900">
        <f>IFERROR(LOOKUP(1,0/((成型機資料庫!$F$200:$F$229=J62)*(成型機資料庫!$G$200:$G$229=K62)),成型機資料庫!$L$200:$L$229),0)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10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IFERROR(LOOKUP(1,0/((成型機資料庫!$F$200:$F$229=J63)*(成型機資料庫!$G$200:$G$229=K63)),成型機資料庫!$K$200:$K$229),0)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IFERROR(LOOKUP(1,0/((成型機資料庫!$F$200:$F$229=J63)*(成型機資料庫!$G$200:$G$229=K63)),成型機資料庫!$I$200:$I$229),0)</f>
        <v>0</v>
      </c>
      <c r="U63" s="483">
        <f>IFERROR(LOOKUP(1,0/((成型機資料庫!$F$200:$F$229=J63)*(成型機資料庫!$G$200:$G$229=K63)),成型機資料庫!$J$200:$J$229),0)</f>
        <v>0</v>
      </c>
      <c r="V63" s="900">
        <f>IFERROR(LOOKUP(1,0/((成型機資料庫!$F$200:$F$229=J63)*(成型機資料庫!$G$200:$G$229=K63)),成型機資料庫!$L$200:$L$229),0)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11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IFERROR(LOOKUP(1,0/((成型機資料庫!$F$200:$F$229=J64)*(成型機資料庫!$G$200:$G$229=K64)),成型機資料庫!$K$200:$K$229),0)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IFERROR(LOOKUP(1,0/((成型機資料庫!$F$200:$F$229=J64)*(成型機資料庫!$G$200:$G$229=K64)),成型機資料庫!$I$200:$I$229),0)</f>
        <v>0</v>
      </c>
      <c r="U64" s="483">
        <f>IFERROR(LOOKUP(1,0/((成型機資料庫!$F$200:$F$229=J64)*(成型機資料庫!$G$200:$G$229=K64)),成型機資料庫!$J$200:$J$229),0)</f>
        <v>0</v>
      </c>
      <c r="V64" s="900">
        <f>IFERROR(LOOKUP(1,0/((成型機資料庫!$F$200:$F$229=J64)*(成型機資料庫!$G$200:$G$229=K64)),成型機資料庫!$L$200:$L$229),0)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12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IFERROR(LOOKUP(1,0/((成型機資料庫!$F$200:$F$229=J65)*(成型機資料庫!$G$200:$G$229=K65)),成型機資料庫!$K$200:$K$229),0)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IFERROR(LOOKUP(1,0/((成型機資料庫!$F$200:$F$229=J65)*(成型機資料庫!$G$200:$G$229=K65)),成型機資料庫!$I$200:$I$229),0)</f>
        <v>0</v>
      </c>
      <c r="U65" s="483">
        <f>IFERROR(LOOKUP(1,0/((成型機資料庫!$F$200:$F$229=J65)*(成型機資料庫!$G$200:$G$229=K65)),成型機資料庫!$J$200:$J$229),0)</f>
        <v>0</v>
      </c>
      <c r="V65" s="900">
        <f>IFERROR(LOOKUP(1,0/((成型機資料庫!$F$200:$F$229=J65)*(成型機資料庫!$G$200:$G$229=K65)),成型機資料庫!$L$200:$L$229),0)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13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IFERROR(LOOKUP(1,0/((成型機資料庫!$F$200:$F$229=J66)*(成型機資料庫!$G$200:$G$229=K66)),成型機資料庫!$K$200:$K$229),0)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IFERROR(LOOKUP(1,0/((成型機資料庫!$F$200:$F$229=J66)*(成型機資料庫!$G$200:$G$229=K66)),成型機資料庫!$I$200:$I$229),0)</f>
        <v>0</v>
      </c>
      <c r="U66" s="483">
        <f>IFERROR(LOOKUP(1,0/((成型機資料庫!$F$200:$F$229=J66)*(成型機資料庫!$G$200:$G$229=K66)),成型機資料庫!$J$200:$J$229),0)</f>
        <v>0</v>
      </c>
      <c r="V66" s="900">
        <f>IFERROR(LOOKUP(1,0/((成型機資料庫!$F$200:$F$229=J66)*(成型機資料庫!$G$200:$G$229=K66)),成型機資料庫!$L$200:$L$229),0)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581"/>
      <c r="C67" s="581">
        <v>14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IFERROR(LOOKUP(1,0/((成型機資料庫!$F$200:$F$229=J67)*(成型機資料庫!$G$200:$G$229=K67)),成型機資料庫!$K$200:$K$229),0)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IFERROR(LOOKUP(1,0/((成型機資料庫!$F$200:$F$229=J67)*(成型機資料庫!$G$200:$G$229=K67)),成型機資料庫!$I$200:$I$229),0)</f>
        <v>0</v>
      </c>
      <c r="U67" s="483">
        <f>IFERROR(LOOKUP(1,0/((成型機資料庫!$F$200:$F$229=J67)*(成型機資料庫!$G$200:$G$229=K67)),成型機資料庫!$J$200:$J$229),0)</f>
        <v>0</v>
      </c>
      <c r="V67" s="900">
        <f>IFERROR(LOOKUP(1,0/((成型機資料庫!$F$200:$F$229=J67)*(成型機資料庫!$G$200:$G$229=K67)),成型機資料庫!$L$200:$L$229),0)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581"/>
      <c r="C68" s="581">
        <v>15</v>
      </c>
      <c r="D68" s="581"/>
      <c r="E68" s="581" t="s">
        <v>43</v>
      </c>
      <c r="F68" s="436" t="s">
        <v>44</v>
      </c>
      <c r="G68" s="927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IFERROR(LOOKUP(1,0/((成型機資料庫!$F$200:$F$229=J68)*(成型機資料庫!$G$200:$G$229=K68)),成型機資料庫!$K$200:$K$229),0)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IFERROR(LOOKUP(1,0/((成型機資料庫!$F$200:$F$229=J68)*(成型機資料庫!$G$200:$G$229=K68)),成型機資料庫!$I$200:$I$229),0)</f>
        <v>0</v>
      </c>
      <c r="U68" s="483">
        <f>IFERROR(LOOKUP(1,0/((成型機資料庫!$F$200:$F$229=J68)*(成型機資料庫!$G$200:$G$229=K68)),成型機資料庫!$J$200:$J$229),0)</f>
        <v>0</v>
      </c>
      <c r="V68" s="900">
        <f>IFERROR(LOOKUP(1,0/((成型機資料庫!$F$200:$F$229=J68)*(成型機資料庫!$G$200:$G$229=K68)),成型機資料庫!$L$200:$L$229),0)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38"/>
      <c r="AE68" s="438"/>
      <c r="AF68" s="438"/>
    </row>
    <row r="69" spans="1:32" s="433" customFormat="1" ht="15.75">
      <c r="A69" s="434">
        <v>113</v>
      </c>
      <c r="B69" s="581"/>
      <c r="C69" s="581">
        <v>16</v>
      </c>
      <c r="D69" s="581"/>
      <c r="E69" s="581" t="s">
        <v>43</v>
      </c>
      <c r="F69" s="436" t="s">
        <v>44</v>
      </c>
      <c r="G69" s="927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IFERROR(LOOKUP(1,0/((成型機資料庫!$F$200:$F$229=J69)*(成型機資料庫!$G$200:$G$229=K69)),成型機資料庫!$K$200:$K$229),0)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IFERROR(LOOKUP(1,0/((成型機資料庫!$F$200:$F$229=J69)*(成型機資料庫!$G$200:$G$229=K69)),成型機資料庫!$I$200:$I$229),0)</f>
        <v>0</v>
      </c>
      <c r="U69" s="483">
        <f>IFERROR(LOOKUP(1,0/((成型機資料庫!$F$200:$F$229=J69)*(成型機資料庫!$G$200:$G$229=K69)),成型機資料庫!$J$200:$J$229),0)</f>
        <v>0</v>
      </c>
      <c r="V69" s="900">
        <f>IFERROR(LOOKUP(1,0/((成型機資料庫!$F$200:$F$229=J69)*(成型機資料庫!$G$200:$G$229=K69)),成型機資料庫!$L$200:$L$229),0)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64"/>
      <c r="AF69" s="438"/>
    </row>
    <row r="70" spans="1:32" s="433" customFormat="1" ht="15.75">
      <c r="A70" s="434">
        <v>113</v>
      </c>
      <c r="B70" s="581"/>
      <c r="C70" s="581">
        <v>17</v>
      </c>
      <c r="D70" s="581"/>
      <c r="E70" s="581" t="s">
        <v>43</v>
      </c>
      <c r="F70" s="436" t="s">
        <v>44</v>
      </c>
      <c r="G70" s="927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IFERROR(LOOKUP(1,0/((成型機資料庫!$F$200:$F$229=J70)*(成型機資料庫!$G$200:$G$229=K70)),成型機資料庫!$K$200:$K$229),0)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IFERROR(LOOKUP(1,0/((成型機資料庫!$F$200:$F$229=J70)*(成型機資料庫!$G$200:$G$229=K70)),成型機資料庫!$I$200:$I$229),0)</f>
        <v>0</v>
      </c>
      <c r="U70" s="483">
        <f>IFERROR(LOOKUP(1,0/((成型機資料庫!$F$200:$F$229=J70)*(成型機資料庫!$G$200:$G$229=K70)),成型機資料庫!$J$200:$J$229),0)</f>
        <v>0</v>
      </c>
      <c r="V70" s="900">
        <f>IFERROR(LOOKUP(1,0/((成型機資料庫!$F$200:$F$229=J70)*(成型機資料庫!$G$200:$G$229=K70)),成型機資料庫!$L$200:$L$229),0)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18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IFERROR(LOOKUP(1,0/((成型機資料庫!$F$200:$F$229=J71)*(成型機資料庫!$G$200:$G$229=K71)),成型機資料庫!$K$200:$K$229),0)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IFERROR(LOOKUP(1,0/((成型機資料庫!$F$200:$F$229=J71)*(成型機資料庫!$G$200:$G$229=K71)),成型機資料庫!$I$200:$I$229),0)</f>
        <v>0</v>
      </c>
      <c r="U71" s="483">
        <f>IFERROR(LOOKUP(1,0/((成型機資料庫!$F$200:$F$229=J71)*(成型機資料庫!$G$200:$G$229=K71)),成型機資料庫!$J$200:$J$229),0)</f>
        <v>0</v>
      </c>
      <c r="V71" s="900">
        <f>IFERROR(LOOKUP(1,0/((成型機資料庫!$F$200:$F$229=J71)*(成型機資料庫!$G$200:$G$229=K71)),成型機資料庫!$L$200:$L$229),0)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19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IFERROR(LOOKUP(1,0/((成型機資料庫!$F$200:$F$229=J72)*(成型機資料庫!$G$200:$G$229=K72)),成型機資料庫!$K$200:$K$229),0)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IFERROR(LOOKUP(1,0/((成型機資料庫!$F$200:$F$229=J72)*(成型機資料庫!$G$200:$G$229=K72)),成型機資料庫!$I$200:$I$229),0)</f>
        <v>0</v>
      </c>
      <c r="U72" s="483">
        <f>IFERROR(LOOKUP(1,0/((成型機資料庫!$F$200:$F$229=J72)*(成型機資料庫!$G$200:$G$229=K72)),成型機資料庫!$J$200:$J$229),0)</f>
        <v>0</v>
      </c>
      <c r="V72" s="900">
        <f>IFERROR(LOOKUP(1,0/((成型機資料庫!$F$200:$F$229=J72)*(成型機資料庫!$G$200:$G$229=K72)),成型機資料庫!$L$200:$L$229),0)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20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IFERROR(LOOKUP(1,0/((成型機資料庫!$F$200:$F$229=J73)*(成型機資料庫!$G$200:$G$229=K73)),成型機資料庫!$K$200:$K$229),0)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IFERROR(LOOKUP(1,0/((成型機資料庫!$F$200:$F$229=J73)*(成型機資料庫!$G$200:$G$229=K73)),成型機資料庫!$I$200:$I$229),0)</f>
        <v>0</v>
      </c>
      <c r="U73" s="483">
        <f>IFERROR(LOOKUP(1,0/((成型機資料庫!$F$200:$F$229=J73)*(成型機資料庫!$G$200:$G$229=K73)),成型機資料庫!$J$200:$J$229),0)</f>
        <v>0</v>
      </c>
      <c r="V73" s="900">
        <f>IFERROR(LOOKUP(1,0/((成型機資料庫!$F$200:$F$229=J73)*(成型機資料庫!$G$200:$G$229=K73)),成型機資料庫!$L$200:$L$229),0)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21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IFERROR(LOOKUP(1,0/((成型機資料庫!$F$200:$F$229=J74)*(成型機資料庫!$G$200:$G$229=K74)),成型機資料庫!$K$200:$K$229),0)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IFERROR(LOOKUP(1,0/((成型機資料庫!$F$200:$F$229=J74)*(成型機資料庫!$G$200:$G$229=K74)),成型機資料庫!$I$200:$I$229),0)</f>
        <v>0</v>
      </c>
      <c r="U74" s="483">
        <f>IFERROR(LOOKUP(1,0/((成型機資料庫!$F$200:$F$229=J74)*(成型機資料庫!$G$200:$G$229=K74)),成型機資料庫!$J$200:$J$229),0)</f>
        <v>0</v>
      </c>
      <c r="V74" s="900">
        <f>IFERROR(LOOKUP(1,0/((成型機資料庫!$F$200:$F$229=J74)*(成型機資料庫!$G$200:$G$229=K74)),成型機資料庫!$L$200:$L$229),0)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22</v>
      </c>
      <c r="D75" s="581"/>
      <c r="E75" s="581" t="s">
        <v>43</v>
      </c>
      <c r="F75" s="436" t="s">
        <v>44</v>
      </c>
      <c r="G75" s="927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IFERROR(LOOKUP(1,0/((成型機資料庫!$F$200:$F$229=J75)*(成型機資料庫!$G$200:$G$229=K75)),成型機資料庫!$K$200:$K$229),0)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IFERROR(LOOKUP(1,0/((成型機資料庫!$F$200:$F$229=J75)*(成型機資料庫!$G$200:$G$229=K75)),成型機資料庫!$I$200:$I$229),0)</f>
        <v>0</v>
      </c>
      <c r="U75" s="483">
        <f>IFERROR(LOOKUP(1,0/((成型機資料庫!$F$200:$F$229=J75)*(成型機資料庫!$G$200:$G$229=K75)),成型機資料庫!$J$200:$J$229),0)</f>
        <v>0</v>
      </c>
      <c r="V75" s="900">
        <f>IFERROR(LOOKUP(1,0/((成型機資料庫!$F$200:$F$229=J75)*(成型機資料庫!$G$200:$G$229=K75)),成型機資料庫!$L$200:$L$229),0)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23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IFERROR(LOOKUP(1,0/((成型機資料庫!$F$200:$F$229=J76)*(成型機資料庫!$G$200:$G$229=K76)),成型機資料庫!$K$200:$K$229),0)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IFERROR(LOOKUP(1,0/((成型機資料庫!$F$200:$F$229=J76)*(成型機資料庫!$G$200:$G$229=K76)),成型機資料庫!$I$200:$I$229),0)</f>
        <v>0</v>
      </c>
      <c r="U76" s="483">
        <f>IFERROR(LOOKUP(1,0/((成型機資料庫!$F$200:$F$229=J76)*(成型機資料庫!$G$200:$G$229=K76)),成型機資料庫!$J$200:$J$229),0)</f>
        <v>0</v>
      </c>
      <c r="V76" s="900">
        <f>IFERROR(LOOKUP(1,0/((成型機資料庫!$F$200:$F$229=J76)*(成型機資料庫!$G$200:$G$229=K76)),成型機資料庫!$L$200:$L$229),0)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24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IFERROR(LOOKUP(1,0/((成型機資料庫!$F$200:$F$229=J77)*(成型機資料庫!$G$200:$G$229=K77)),成型機資料庫!$K$200:$K$229),0)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IFERROR(LOOKUP(1,0/((成型機資料庫!$F$200:$F$229=J77)*(成型機資料庫!$G$200:$G$229=K77)),成型機資料庫!$I$200:$I$229),0)</f>
        <v>0</v>
      </c>
      <c r="U77" s="483">
        <f>IFERROR(LOOKUP(1,0/((成型機資料庫!$F$200:$F$229=J77)*(成型機資料庫!$G$200:$G$229=K77)),成型機資料庫!$J$200:$J$229),0)</f>
        <v>0</v>
      </c>
      <c r="V77" s="900">
        <f>IFERROR(LOOKUP(1,0/((成型機資料庫!$F$200:$F$229=J77)*(成型機資料庫!$G$200:$G$229=K77)),成型機資料庫!$L$200:$L$229),0)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434"/>
      <c r="C78" s="434">
        <v>25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IFERROR(LOOKUP(1,0/((成型機資料庫!$F$200:$F$229=J78)*(成型機資料庫!$G$200:$G$229=K78)),成型機資料庫!$K$200:$K$229),0)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IFERROR(LOOKUP(1,0/((成型機資料庫!$F$200:$F$229=J78)*(成型機資料庫!$G$200:$G$229=K78)),成型機資料庫!$I$200:$I$229),0)</f>
        <v>0</v>
      </c>
      <c r="U78" s="483">
        <f>IFERROR(LOOKUP(1,0/((成型機資料庫!$F$200:$F$229=J78)*(成型機資料庫!$G$200:$G$229=K78)),成型機資料庫!$J$200:$J$229),0)</f>
        <v>0</v>
      </c>
      <c r="V78" s="900">
        <f>IFERROR(LOOKUP(1,0/((成型機資料庫!$F$200:$F$229=J78)*(成型機資料庫!$G$200:$G$229=K78)),成型機資料庫!$L$200:$L$229),0)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64"/>
      <c r="AF78" s="438"/>
    </row>
    <row r="79" spans="1:32" s="433" customFormat="1" ht="15.75">
      <c r="A79" s="434">
        <v>113</v>
      </c>
      <c r="B79" s="434"/>
      <c r="C79" s="434">
        <v>26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IFERROR(LOOKUP(1,0/((成型機資料庫!$F$200:$F$229=J79)*(成型機資料庫!$G$200:$G$229=K79)),成型機資料庫!$K$200:$K$229),0)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IFERROR(LOOKUP(1,0/((成型機資料庫!$F$200:$F$229=J79)*(成型機資料庫!$G$200:$G$229=K79)),成型機資料庫!$I$200:$I$229),0)</f>
        <v>0</v>
      </c>
      <c r="U79" s="483">
        <f>IFERROR(LOOKUP(1,0/((成型機資料庫!$F$200:$F$229=J79)*(成型機資料庫!$G$200:$G$229=K79)),成型機資料庫!$J$200:$J$229),0)</f>
        <v>0</v>
      </c>
      <c r="V79" s="900">
        <f>IFERROR(LOOKUP(1,0/((成型機資料庫!$F$200:$F$229=J79)*(成型機資料庫!$G$200:$G$229=K79)),成型機資料庫!$L$200:$L$229),0)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38"/>
      <c r="AE79" s="464"/>
      <c r="AF79" s="438"/>
    </row>
    <row r="80" spans="1:32" s="433" customFormat="1" ht="15.75">
      <c r="A80" s="434">
        <v>113</v>
      </c>
      <c r="B80" s="434"/>
      <c r="C80" s="434">
        <v>27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IFERROR(LOOKUP(1,0/((成型機資料庫!$F$200:$F$229=J80)*(成型機資料庫!$G$200:$G$229=K80)),成型機資料庫!$K$200:$K$229),0)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IFERROR(LOOKUP(1,0/((成型機資料庫!$F$200:$F$229=J80)*(成型機資料庫!$G$200:$G$229=K80)),成型機資料庫!$I$200:$I$229),0)</f>
        <v>0</v>
      </c>
      <c r="U80" s="483">
        <f>IFERROR(LOOKUP(1,0/((成型機資料庫!$F$200:$F$229=J80)*(成型機資料庫!$G$200:$G$229=K80)),成型機資料庫!$J$200:$J$229),0)</f>
        <v>0</v>
      </c>
      <c r="V80" s="900">
        <f>IFERROR(LOOKUP(1,0/((成型機資料庫!$F$200:$F$229=J80)*(成型機資料庫!$G$200:$G$229=K80)),成型機資料庫!$L$200:$L$229),0)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38"/>
      <c r="AF80" s="438"/>
    </row>
    <row r="81" spans="1:32" s="433" customFormat="1" ht="15.75">
      <c r="A81" s="434">
        <v>113</v>
      </c>
      <c r="B81" s="581"/>
      <c r="C81" s="581">
        <v>28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IFERROR(LOOKUP(1,0/((成型機資料庫!$F$200:$F$229=J81)*(成型機資料庫!$G$200:$G$229=K81)),成型機資料庫!$K$200:$K$229),0)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IFERROR(LOOKUP(1,0/((成型機資料庫!$F$200:$F$229=J81)*(成型機資料庫!$G$200:$G$229=K81)),成型機資料庫!$I$200:$I$229),0)</f>
        <v>0</v>
      </c>
      <c r="U81" s="483">
        <f>IFERROR(LOOKUP(1,0/((成型機資料庫!$F$200:$F$229=J81)*(成型機資料庫!$G$200:$G$229=K81)),成型機資料庫!$J$200:$J$229),0)</f>
        <v>0</v>
      </c>
      <c r="V81" s="900">
        <f>IFERROR(LOOKUP(1,0/((成型機資料庫!$F$200:$F$229=J81)*(成型機資料庫!$G$200:$G$229=K81)),成型機資料庫!$L$200:$L$229),0)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32" s="433" customFormat="1" ht="15.75">
      <c r="A82" s="434">
        <v>113</v>
      </c>
      <c r="B82" s="581"/>
      <c r="C82" s="581">
        <v>29</v>
      </c>
      <c r="D82" s="581"/>
      <c r="E82" s="581" t="s">
        <v>43</v>
      </c>
      <c r="F82" s="436" t="s">
        <v>44</v>
      </c>
      <c r="G82" s="926"/>
      <c r="H82" s="464"/>
      <c r="I82" s="429"/>
      <c r="J82" s="429"/>
      <c r="K82" s="429"/>
      <c r="L82" s="464"/>
      <c r="M82" s="464"/>
      <c r="N82" s="900">
        <f t="shared" si="13"/>
        <v>0</v>
      </c>
      <c r="O82" s="901">
        <f t="shared" si="8"/>
        <v>0</v>
      </c>
      <c r="P82" s="460"/>
      <c r="Q82" s="438">
        <f>IFERROR(LOOKUP(1,0/((成型機資料庫!$F$200:$F$229=J82)*(成型機資料庫!$G$200:$G$229=K82)),成型機資料庫!$K$200:$K$229),0)</f>
        <v>0</v>
      </c>
      <c r="R82" s="899">
        <f t="shared" si="9"/>
        <v>0</v>
      </c>
      <c r="S82" s="898">
        <f t="shared" si="10"/>
        <v>0</v>
      </c>
      <c r="T82" s="482">
        <f>IFERROR(LOOKUP(1,0/((成型機資料庫!$F$200:$F$229=J82)*(成型機資料庫!$G$200:$G$229=K82)),成型機資料庫!$I$200:$I$229),0)</f>
        <v>0</v>
      </c>
      <c r="U82" s="483">
        <f>IFERROR(LOOKUP(1,0/((成型機資料庫!$F$200:$F$229=J82)*(成型機資料庫!$G$200:$G$229=K82)),成型機資料庫!$J$200:$J$229),0)</f>
        <v>0</v>
      </c>
      <c r="V82" s="900">
        <f>IFERROR(LOOKUP(1,0/((成型機資料庫!$F$200:$F$229=J82)*(成型機資料庫!$G$200:$G$229=K82)),成型機資料庫!$L$200:$L$229),0)</f>
        <v>0</v>
      </c>
      <c r="W82" s="898">
        <f t="shared" si="11"/>
        <v>0</v>
      </c>
      <c r="X82" s="923">
        <f t="shared" si="14"/>
        <v>0</v>
      </c>
      <c r="Y82" s="898">
        <f t="shared" si="15"/>
        <v>0</v>
      </c>
      <c r="Z82" s="923"/>
      <c r="AA82" s="478">
        <f t="shared" si="12"/>
        <v>0</v>
      </c>
      <c r="AB82" s="438"/>
      <c r="AC82" s="482"/>
      <c r="AD82" s="464"/>
      <c r="AE82" s="464"/>
      <c r="AF82" s="438"/>
    </row>
    <row r="83" spans="1:32" s="433" customFormat="1" ht="15.75">
      <c r="A83" s="434">
        <v>113</v>
      </c>
      <c r="B83" s="581"/>
      <c r="C83" s="581">
        <v>30</v>
      </c>
      <c r="D83" s="581"/>
      <c r="E83" s="581" t="s">
        <v>43</v>
      </c>
      <c r="F83" s="436" t="s">
        <v>44</v>
      </c>
      <c r="G83" s="926"/>
      <c r="H83" s="464"/>
      <c r="I83" s="429"/>
      <c r="J83" s="429"/>
      <c r="K83" s="429"/>
      <c r="L83" s="464"/>
      <c r="M83" s="464"/>
      <c r="N83" s="900">
        <f t="shared" si="13"/>
        <v>0</v>
      </c>
      <c r="O83" s="901">
        <f t="shared" si="8"/>
        <v>0</v>
      </c>
      <c r="P83" s="460"/>
      <c r="Q83" s="438">
        <f>IFERROR(LOOKUP(1,0/((成型機資料庫!$F$200:$F$229=J83)*(成型機資料庫!$G$200:$G$229=K83)),成型機資料庫!$K$200:$K$229),0)</f>
        <v>0</v>
      </c>
      <c r="R83" s="899">
        <f t="shared" si="9"/>
        <v>0</v>
      </c>
      <c r="S83" s="898">
        <f t="shared" si="10"/>
        <v>0</v>
      </c>
      <c r="T83" s="482">
        <f>IFERROR(LOOKUP(1,0/((成型機資料庫!$F$200:$F$229=J83)*(成型機資料庫!$G$200:$G$229=K83)),成型機資料庫!$I$200:$I$229),0)</f>
        <v>0</v>
      </c>
      <c r="U83" s="483">
        <f>IFERROR(LOOKUP(1,0/((成型機資料庫!$F$200:$F$229=J83)*(成型機資料庫!$G$200:$G$229=K83)),成型機資料庫!$J$200:$J$229),0)</f>
        <v>0</v>
      </c>
      <c r="V83" s="900">
        <f>IFERROR(LOOKUP(1,0/((成型機資料庫!$F$200:$F$229=J83)*(成型機資料庫!$G$200:$G$229=K83)),成型機資料庫!$L$200:$L$229),0)</f>
        <v>0</v>
      </c>
      <c r="W83" s="898">
        <f t="shared" si="11"/>
        <v>0</v>
      </c>
      <c r="X83" s="923">
        <f t="shared" si="14"/>
        <v>0</v>
      </c>
      <c r="Y83" s="898">
        <f t="shared" si="15"/>
        <v>0</v>
      </c>
      <c r="Z83" s="923"/>
      <c r="AA83" s="478">
        <f t="shared" si="12"/>
        <v>0</v>
      </c>
      <c r="AB83" s="438"/>
      <c r="AC83" s="482"/>
      <c r="AD83" s="464"/>
      <c r="AE83" s="438"/>
      <c r="AF83" s="438"/>
    </row>
    <row r="84" spans="1:32" s="433" customFormat="1" ht="15.75">
      <c r="A84" s="446"/>
      <c r="B84" s="456"/>
      <c r="C84" s="456"/>
      <c r="D84" s="456"/>
      <c r="E84" s="456"/>
      <c r="F84" s="448"/>
      <c r="G84" s="951"/>
      <c r="H84" s="452"/>
      <c r="I84" s="430"/>
      <c r="J84" s="469"/>
      <c r="K84" s="469"/>
      <c r="L84" s="452"/>
      <c r="M84" s="452"/>
      <c r="N84" s="945"/>
      <c r="O84" s="946"/>
      <c r="P84" s="868"/>
      <c r="Q84" s="467"/>
      <c r="R84" s="948"/>
      <c r="S84" s="936"/>
      <c r="T84" s="936"/>
      <c r="U84" s="936"/>
      <c r="V84" s="945"/>
      <c r="W84" s="936"/>
      <c r="X84" s="947"/>
      <c r="Y84" s="936"/>
      <c r="Z84" s="947"/>
      <c r="AA84" s="488"/>
      <c r="AB84" s="439"/>
      <c r="AC84" s="471"/>
      <c r="AD84" s="452"/>
      <c r="AE84" s="439"/>
      <c r="AF84" s="439"/>
    </row>
    <row r="85" spans="1:32" s="433" customFormat="1" ht="15.75">
      <c r="A85" s="446"/>
      <c r="B85" s="456"/>
      <c r="C85" s="456"/>
      <c r="D85" s="456"/>
      <c r="E85" s="456"/>
      <c r="F85" s="448"/>
      <c r="G85" s="951"/>
      <c r="H85" s="452"/>
      <c r="I85" s="430"/>
      <c r="J85" s="469"/>
      <c r="K85" s="469"/>
      <c r="L85" s="452"/>
      <c r="M85" s="452"/>
      <c r="N85" s="945"/>
      <c r="O85" s="946"/>
      <c r="P85" s="868"/>
      <c r="Q85" s="467"/>
      <c r="R85" s="948"/>
      <c r="S85" s="936"/>
      <c r="T85" s="936"/>
      <c r="U85" s="936"/>
      <c r="V85" s="945"/>
      <c r="W85" s="936"/>
      <c r="X85" s="947"/>
      <c r="Y85" s="936"/>
      <c r="Z85" s="947"/>
      <c r="AA85" s="488"/>
      <c r="AB85" s="439"/>
      <c r="AC85" s="471"/>
      <c r="AD85" s="452"/>
      <c r="AE85" s="439"/>
      <c r="AF85" s="439"/>
    </row>
    <row r="86" spans="1:32" s="433" customFormat="1" thickBot="1">
      <c r="A86" s="446"/>
      <c r="B86" s="446"/>
      <c r="C86" s="446"/>
      <c r="D86" s="446"/>
      <c r="E86" s="446"/>
      <c r="F86" s="448"/>
      <c r="G86" s="448"/>
      <c r="H86" s="430"/>
      <c r="I86" s="430"/>
      <c r="J86" s="430"/>
      <c r="K86" s="430"/>
      <c r="L86" s="439"/>
      <c r="M86" s="452"/>
      <c r="N86" s="452"/>
      <c r="O86" s="457"/>
      <c r="P86" s="466"/>
      <c r="Q86" s="467"/>
      <c r="R86" s="486"/>
      <c r="S86" s="457"/>
      <c r="T86" s="457"/>
      <c r="U86" s="457"/>
      <c r="V86" s="458"/>
      <c r="W86" s="487">
        <f>SUM(W54:W83)</f>
        <v>0</v>
      </c>
      <c r="X86" s="487"/>
      <c r="Y86" s="487"/>
      <c r="Z86" s="487"/>
      <c r="AA86" s="488"/>
      <c r="AB86" s="489"/>
      <c r="AC86" s="489"/>
      <c r="AD86" s="469" t="s">
        <v>46</v>
      </c>
      <c r="AE86" s="439"/>
      <c r="AF86" s="439"/>
    </row>
    <row r="87" spans="1:32" s="469" customFormat="1" ht="31.5">
      <c r="A87" s="479"/>
      <c r="B87" s="479"/>
      <c r="C87" s="479"/>
      <c r="D87" s="479"/>
      <c r="E87" s="479"/>
      <c r="F87" s="452"/>
      <c r="G87" s="524" t="s">
        <v>503</v>
      </c>
      <c r="H87" s="517"/>
      <c r="I87" s="518"/>
      <c r="L87" s="1842" t="s">
        <v>1349</v>
      </c>
      <c r="M87" s="525" t="s">
        <v>1294</v>
      </c>
      <c r="N87" s="525" t="s">
        <v>1295</v>
      </c>
      <c r="O87" s="526" t="s">
        <v>458</v>
      </c>
      <c r="P87" s="520"/>
      <c r="Q87" s="521"/>
      <c r="R87" s="524" t="s">
        <v>504</v>
      </c>
      <c r="S87" s="524" t="s">
        <v>455</v>
      </c>
      <c r="T87" s="521"/>
      <c r="U87" s="521"/>
      <c r="V87" s="524" t="s">
        <v>1293</v>
      </c>
      <c r="W87" s="524" t="s">
        <v>459</v>
      </c>
      <c r="X87" s="521"/>
      <c r="Y87" s="524" t="s">
        <v>1345</v>
      </c>
      <c r="Z87" s="524" t="s">
        <v>1350</v>
      </c>
      <c r="AA87" s="524" t="s">
        <v>1351</v>
      </c>
      <c r="AB87" s="524" t="s">
        <v>1353</v>
      </c>
      <c r="AC87" s="524" t="s">
        <v>1352</v>
      </c>
      <c r="AD87" s="469" t="s">
        <v>253</v>
      </c>
      <c r="AE87" s="452"/>
      <c r="AF87" s="452"/>
    </row>
    <row r="88" spans="1:32" thickBot="1">
      <c r="G88" s="522">
        <f>SUM(G54:G83)</f>
        <v>0</v>
      </c>
      <c r="I88" s="431"/>
      <c r="J88" s="518"/>
      <c r="K88" s="518"/>
      <c r="L88" s="1843"/>
      <c r="M88" s="522">
        <f>SUM(M54:M83)</f>
        <v>0</v>
      </c>
      <c r="N88" s="522">
        <f>SUM(N54:N83)</f>
        <v>0</v>
      </c>
      <c r="O88" s="902">
        <f>SUM(O54:O83)</f>
        <v>0</v>
      </c>
      <c r="P88" s="470"/>
      <c r="R88" s="924">
        <f>SUM(R54:R83)</f>
        <v>0</v>
      </c>
      <c r="S88" s="897" t="e">
        <f>(G88-R88)/G88</f>
        <v>#DIV/0!</v>
      </c>
      <c r="T88" s="446"/>
      <c r="U88" s="446"/>
      <c r="V88" s="686" t="e">
        <f>N88/W88</f>
        <v>#DIV/0!</v>
      </c>
      <c r="W88" s="516" t="e">
        <f>W86/Y88</f>
        <v>#DIV/0!</v>
      </c>
      <c r="X88" s="446"/>
      <c r="Y88" s="516"/>
      <c r="Z88" s="958">
        <f>SUM(Z54:Z83)</f>
        <v>0</v>
      </c>
      <c r="AA88" s="516">
        <f>SUM(AA54:AA83)</f>
        <v>0</v>
      </c>
      <c r="AB88" s="516">
        <f>Z88-AA88</f>
        <v>0</v>
      </c>
      <c r="AC88" s="896" t="e">
        <f>AA88/Z88</f>
        <v>#DIV/0!</v>
      </c>
    </row>
    <row r="89" spans="1:32">
      <c r="O89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52:AF53"/>
    <mergeCell ref="L87:L88"/>
    <mergeCell ref="X52:X53"/>
    <mergeCell ref="Y52:Y53"/>
    <mergeCell ref="Z52:Z53"/>
    <mergeCell ref="AA52:AA53"/>
    <mergeCell ref="AB52:AC52"/>
    <mergeCell ref="AD52:AD53"/>
    <mergeCell ref="R52:R53"/>
    <mergeCell ref="S52:S53"/>
    <mergeCell ref="T52:T53"/>
    <mergeCell ref="U52:U53"/>
    <mergeCell ref="V52:V53"/>
    <mergeCell ref="W52:W53"/>
    <mergeCell ref="L52:L53"/>
    <mergeCell ref="P52:P53"/>
    <mergeCell ref="AB2:AC2"/>
    <mergeCell ref="AD2:AD3"/>
    <mergeCell ref="AE2:AE3"/>
    <mergeCell ref="M52:M53"/>
    <mergeCell ref="N52:N53"/>
    <mergeCell ref="O52:O53"/>
    <mergeCell ref="Q52:Q53"/>
    <mergeCell ref="AE52:AE53"/>
    <mergeCell ref="AF2:AF3"/>
    <mergeCell ref="L48:L49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52:A53"/>
    <mergeCell ref="B52:B53"/>
    <mergeCell ref="C52:C53"/>
    <mergeCell ref="D52:D53"/>
    <mergeCell ref="E52:E53"/>
    <mergeCell ref="K52:K53"/>
    <mergeCell ref="F52:F53"/>
    <mergeCell ref="G52:G53"/>
    <mergeCell ref="H52:H53"/>
    <mergeCell ref="I52:I53"/>
    <mergeCell ref="J52:J53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41">
    <cfRule type="cellIs" dxfId="464" priority="3" stopIfTrue="1" operator="equal">
      <formula>"未開機"</formula>
    </cfRule>
  </conditionalFormatting>
  <conditionalFormatting sqref="R54:U85">
    <cfRule type="expression" dxfId="463" priority="1" stopIfTrue="1">
      <formula>R54=0</formula>
    </cfRule>
  </conditionalFormatting>
  <conditionalFormatting sqref="W15:W46">
    <cfRule type="cellIs" dxfId="462" priority="34" stopIfTrue="1" operator="between">
      <formula>0.851</formula>
      <formula>1</formula>
    </cfRule>
    <cfRule type="cellIs" dxfId="461" priority="33" stopIfTrue="1" operator="lessThan">
      <formula>0.7</formula>
    </cfRule>
    <cfRule type="expression" dxfId="460" priority="32" stopIfTrue="1">
      <formula>W15=0</formula>
    </cfRule>
    <cfRule type="expression" dxfId="459" priority="36" stopIfTrue="1">
      <formula>W15=0</formula>
    </cfRule>
    <cfRule type="cellIs" dxfId="458" priority="35" stopIfTrue="1" operator="between">
      <formula>0.7</formula>
      <formula>0.85</formula>
    </cfRule>
  </conditionalFormatting>
  <conditionalFormatting sqref="W54:W85">
    <cfRule type="expression" dxfId="457" priority="15" stopIfTrue="1">
      <formula>W54=0</formula>
    </cfRule>
    <cfRule type="cellIs" dxfId="456" priority="16" stopIfTrue="1" operator="lessThan">
      <formula>0.7</formula>
    </cfRule>
    <cfRule type="cellIs" dxfId="455" priority="17" stopIfTrue="1" operator="between">
      <formula>0.851</formula>
      <formula>1</formula>
    </cfRule>
    <cfRule type="cellIs" dxfId="454" priority="18" stopIfTrue="1" operator="between">
      <formula>0.7</formula>
      <formula>0.85</formula>
    </cfRule>
    <cfRule type="expression" dxfId="453" priority="19" stopIfTrue="1">
      <formula>W54=0</formula>
    </cfRule>
  </conditionalFormatting>
  <conditionalFormatting sqref="W4:Y13 S4:U4 S5:S13 T5:U44 R15:S44 Z15:Z46 R45:U46">
    <cfRule type="expression" dxfId="452" priority="40" stopIfTrue="1">
      <formula>R4=0</formula>
    </cfRule>
  </conditionalFormatting>
  <conditionalFormatting sqref="W4:Y13">
    <cfRule type="cellIs" dxfId="451" priority="37" stopIfTrue="1" operator="lessThan">
      <formula>0.7</formula>
    </cfRule>
    <cfRule type="cellIs" dxfId="450" priority="38" stopIfTrue="1" operator="between">
      <formula>0.851</formula>
      <formula>1</formula>
    </cfRule>
    <cfRule type="cellIs" dxfId="449" priority="39" stopIfTrue="1" operator="between">
      <formula>0.7</formula>
      <formula>0.85</formula>
    </cfRule>
  </conditionalFormatting>
  <conditionalFormatting sqref="X16:X46">
    <cfRule type="cellIs" dxfId="448" priority="22" stopIfTrue="1" operator="lessThan">
      <formula>0.7</formula>
    </cfRule>
    <cfRule type="cellIs" dxfId="447" priority="23" stopIfTrue="1" operator="between">
      <formula>0.851</formula>
      <formula>1</formula>
    </cfRule>
    <cfRule type="cellIs" dxfId="446" priority="24" stopIfTrue="1" operator="between">
      <formula>0.7</formula>
      <formula>0.85</formula>
    </cfRule>
    <cfRule type="expression" dxfId="445" priority="25" stopIfTrue="1">
      <formula>X16=0</formula>
    </cfRule>
    <cfRule type="expression" dxfId="444" priority="21" stopIfTrue="1">
      <formula>X16=0</formula>
    </cfRule>
  </conditionalFormatting>
  <conditionalFormatting sqref="X55:X85">
    <cfRule type="expression" dxfId="443" priority="4" stopIfTrue="1">
      <formula>X55=0</formula>
    </cfRule>
    <cfRule type="cellIs" dxfId="442" priority="5" stopIfTrue="1" operator="lessThan">
      <formula>0.7</formula>
    </cfRule>
    <cfRule type="cellIs" dxfId="441" priority="6" stopIfTrue="1" operator="between">
      <formula>0.851</formula>
      <formula>1</formula>
    </cfRule>
    <cfRule type="cellIs" dxfId="440" priority="7" stopIfTrue="1" operator="between">
      <formula>0.7</formula>
      <formula>0.85</formula>
    </cfRule>
    <cfRule type="expression" dxfId="439" priority="8" stopIfTrue="1">
      <formula>X55=0</formula>
    </cfRule>
  </conditionalFormatting>
  <conditionalFormatting sqref="X15:Y15 Y16:Y46">
    <cfRule type="expression" dxfId="438" priority="27" stopIfTrue="1">
      <formula>X15=0</formula>
    </cfRule>
    <cfRule type="cellIs" dxfId="437" priority="28" stopIfTrue="1" operator="lessThan">
      <formula>0.7</formula>
    </cfRule>
    <cfRule type="cellIs" dxfId="436" priority="29" stopIfTrue="1" operator="between">
      <formula>0.851</formula>
      <formula>1</formula>
    </cfRule>
    <cfRule type="cellIs" dxfId="435" priority="30" stopIfTrue="1" operator="between">
      <formula>0.7</formula>
      <formula>0.85</formula>
    </cfRule>
    <cfRule type="expression" dxfId="434" priority="31" stopIfTrue="1">
      <formula>X15=0</formula>
    </cfRule>
  </conditionalFormatting>
  <conditionalFormatting sqref="X54:Y54 Y55:Y85">
    <cfRule type="expression" dxfId="433" priority="10" stopIfTrue="1">
      <formula>X54=0</formula>
    </cfRule>
    <cfRule type="expression" dxfId="432" priority="14" stopIfTrue="1">
      <formula>X54=0</formula>
    </cfRule>
    <cfRule type="cellIs" dxfId="431" priority="13" stopIfTrue="1" operator="between">
      <formula>0.7</formula>
      <formula>0.85</formula>
    </cfRule>
    <cfRule type="cellIs" dxfId="430" priority="12" stopIfTrue="1" operator="between">
      <formula>0.851</formula>
      <formula>1</formula>
    </cfRule>
    <cfRule type="cellIs" dxfId="429" priority="11" stopIfTrue="1" operator="lessThan">
      <formula>0.7</formula>
    </cfRule>
  </conditionalFormatting>
  <conditionalFormatting sqref="Y15:Y46">
    <cfRule type="cellIs" dxfId="428" priority="26" stopIfTrue="1" operator="greaterThan">
      <formula>1</formula>
    </cfRule>
  </conditionalFormatting>
  <conditionalFormatting sqref="Y54:Y85">
    <cfRule type="cellIs" dxfId="427" priority="9" stopIfTrue="1" operator="greaterThan">
      <formula>1</formula>
    </cfRule>
  </conditionalFormatting>
  <conditionalFormatting sqref="Z54:Z85">
    <cfRule type="expression" dxfId="426" priority="20" stopIfTrue="1">
      <formula>Z54=0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F6B0B4E3-6FCA-48A9-9D9E-21191848D827}">
          <x14:formula1>
            <xm:f>規格清單!$B$42:$B$51</xm:f>
          </x14:formula1>
          <xm:sqref>J54:J83 J4:J44</xm:sqref>
        </x14:dataValidation>
        <x14:dataValidation type="list" allowBlank="1" showInputMessage="1" showErrorMessage="1" xr:uid="{D436E229-3416-4A6B-8256-2BBA04309039}">
          <x14:formula1>
            <xm:f>成型機資料庫!$A$9:$A$11</xm:f>
          </x14:formula1>
          <xm:sqref>K4:K44 K54:K83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55BB-AFBB-4143-929F-D452FE55230F}">
  <dimension ref="A1:BD93"/>
  <sheetViews>
    <sheetView zoomScale="70" zoomScaleNormal="70" workbookViewId="0">
      <pane xSplit="5" ySplit="3" topLeftCell="F4" activePane="bottomRight" state="frozen"/>
      <selection activeCell="J17" sqref="J17"/>
      <selection pane="topRight" activeCell="J17" sqref="J17"/>
      <selection pane="bottomLeft" activeCell="J17" sqref="J17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502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59</v>
      </c>
      <c r="G4" s="464"/>
      <c r="H4" s="437" t="s">
        <v>685</v>
      </c>
      <c r="I4" s="429" t="s">
        <v>493</v>
      </c>
      <c r="J4" s="429" t="s">
        <v>1440</v>
      </c>
      <c r="K4" s="429" t="s">
        <v>1301</v>
      </c>
      <c r="L4" s="464">
        <v>475</v>
      </c>
      <c r="M4" s="464"/>
      <c r="N4" s="464"/>
      <c r="O4" s="443">
        <f>L4*M4</f>
        <v>0</v>
      </c>
      <c r="P4" s="461">
        <v>15.5</v>
      </c>
      <c r="Q4" s="438">
        <f>IFERROR(LOOKUP(1,0/((成型機資料庫!$F$230:$F$271=J4)*(成型機資料庫!$G$230:$G$271=K4)),成型機資料庫!$K$230:$K$271),0)</f>
        <v>500</v>
      </c>
      <c r="R4" s="477">
        <f>M4*Q4*P4/1000</f>
        <v>0</v>
      </c>
      <c r="S4" s="898">
        <f>IFERROR((G4-R4)/G4,0)</f>
        <v>0</v>
      </c>
      <c r="T4" s="482">
        <f>IFERROR(LOOKUP(1,0/((成型機資料庫!$F$230:$F$271=J4)*(成型機資料庫!$G$230:$G$271=K4)),成型機資料庫!$I$230:$I$271),0)</f>
        <v>10</v>
      </c>
      <c r="U4" s="483">
        <f>IFERROR(LOOKUP(1,0/((成型機資料庫!$F$230:$F$271=J4)*(成型機資料庫!$G$230:$G$271=K4)),成型機資料庫!$J$230:$J$271),0)</f>
        <v>18</v>
      </c>
      <c r="V4" s="900">
        <f>IFERROR(LOOKUP(1,0/((成型機資料庫!$F$230:$F$271=J4)*(成型機資料庫!$G$230:$G$271=K4)),成型機資料庫!$L$230:$L$271),0)</f>
        <v>237.6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959" t="s">
        <v>59</v>
      </c>
      <c r="G5" s="464"/>
      <c r="H5" s="437" t="s">
        <v>685</v>
      </c>
      <c r="I5" s="429" t="s">
        <v>686</v>
      </c>
      <c r="J5" s="429" t="s">
        <v>1441</v>
      </c>
      <c r="K5" s="429" t="s">
        <v>1301</v>
      </c>
      <c r="L5" s="464">
        <v>475</v>
      </c>
      <c r="M5" s="464"/>
      <c r="N5" s="464"/>
      <c r="O5" s="443">
        <f t="shared" ref="O5:O48" si="0">L5*M5</f>
        <v>0</v>
      </c>
      <c r="P5" s="460">
        <v>15.5</v>
      </c>
      <c r="Q5" s="438">
        <f>IFERROR(LOOKUP(1,0/((成型機資料庫!$F$230:$F$271=J5)*(成型機資料庫!$G$230:$G$271=K5)),成型機資料庫!$K$230:$K$271),0)</f>
        <v>500</v>
      </c>
      <c r="R5" s="477"/>
      <c r="S5" s="898"/>
      <c r="T5" s="482">
        <f>IFERROR(LOOKUP(1,0/((成型機資料庫!$F$230:$F$271=J5)*(成型機資料庫!$G$230:$G$271=K5)),成型機資料庫!$I$230:$I$271),0)</f>
        <v>10</v>
      </c>
      <c r="U5" s="483">
        <f>IFERROR(LOOKUP(1,0/((成型機資料庫!$F$230:$F$271=J5)*(成型機資料庫!$G$230:$G$271=K5)),成型機資料庫!$J$230:$J$271),0)</f>
        <v>16.2</v>
      </c>
      <c r="V5" s="900">
        <f>IFERROR(LOOKUP(1,0/((成型機資料庫!$F$230:$F$271=J5)*(成型機資料庫!$G$230:$G$271=K5)),成型機資料庫!$L$230:$L$271),0)</f>
        <v>213.84</v>
      </c>
      <c r="W5" s="898"/>
      <c r="X5" s="898"/>
      <c r="Y5" s="898"/>
      <c r="Z5" s="485"/>
      <c r="AA5" s="478">
        <f t="shared" ref="AA5:AA48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59</v>
      </c>
      <c r="G6" s="464"/>
      <c r="H6" s="464" t="s">
        <v>1388</v>
      </c>
      <c r="I6" s="429" t="s">
        <v>494</v>
      </c>
      <c r="J6" s="429" t="s">
        <v>1442</v>
      </c>
      <c r="K6" s="429" t="s">
        <v>1301</v>
      </c>
      <c r="L6" s="464">
        <v>800</v>
      </c>
      <c r="M6" s="464"/>
      <c r="N6" s="464"/>
      <c r="O6" s="443">
        <f t="shared" si="0"/>
        <v>0</v>
      </c>
      <c r="P6" s="461">
        <v>6.2</v>
      </c>
      <c r="Q6" s="438">
        <f>IFERROR(LOOKUP(1,0/((成型機資料庫!$F$230:$F$271=J6)*(成型機資料庫!$G$230:$G$271=K6)),成型機資料庫!$K$230:$K$271),0)</f>
        <v>2000</v>
      </c>
      <c r="R6" s="477"/>
      <c r="S6" s="898"/>
      <c r="T6" s="482">
        <f>IFERROR(LOOKUP(1,0/((成型機資料庫!$F$230:$F$271=J6)*(成型機資料庫!$G$230:$G$271=K6)),成型機資料庫!$I$230:$I$271),0)</f>
        <v>14</v>
      </c>
      <c r="U6" s="483">
        <f>IFERROR(LOOKUP(1,0/((成型機資料庫!$F$230:$F$271=J6)*(成型機資料庫!$G$230:$G$271=K6)),成型機資料庫!$J$230:$J$271),0)</f>
        <v>20.8</v>
      </c>
      <c r="V6" s="900">
        <f>IFERROR(LOOKUP(1,0/((成型機資料庫!$F$230:$F$271=J6)*(成型機資料庫!$G$230:$G$271=K6)),成型機資料庫!$L$230:$L$271),0)</f>
        <v>96.096000000000004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59</v>
      </c>
      <c r="G7" s="464"/>
      <c r="H7" s="464" t="s">
        <v>798</v>
      </c>
      <c r="I7" s="429" t="s">
        <v>498</v>
      </c>
      <c r="J7" s="429" t="s">
        <v>1443</v>
      </c>
      <c r="K7" s="429" t="s">
        <v>1301</v>
      </c>
      <c r="L7" s="464">
        <v>1020</v>
      </c>
      <c r="M7" s="464"/>
      <c r="N7" s="464"/>
      <c r="O7" s="443">
        <f t="shared" si="0"/>
        <v>0</v>
      </c>
      <c r="P7" s="461">
        <v>7.8</v>
      </c>
      <c r="Q7" s="438">
        <f>IFERROR(LOOKUP(1,0/((成型機資料庫!$F$230:$F$271=J7)*(成型機資料庫!$G$230:$G$271=K7)),成型機資料庫!$K$230:$K$271),0)</f>
        <v>2000</v>
      </c>
      <c r="R7" s="477"/>
      <c r="S7" s="898"/>
      <c r="T7" s="482">
        <f>IFERROR(LOOKUP(1,0/((成型機資料庫!$F$230:$F$271=J7)*(成型機資料庫!$G$230:$G$271=K7)),成型機資料庫!$I$230:$I$271),0)</f>
        <v>14</v>
      </c>
      <c r="U7" s="483">
        <f>IFERROR(LOOKUP(1,0/((成型機資料庫!$F$230:$F$271=J7)*(成型機資料庫!$G$230:$G$271=K7)),成型機資料庫!$J$230:$J$271),0)</f>
        <v>20.8</v>
      </c>
      <c r="V7" s="900">
        <f>IFERROR(LOOKUP(1,0/((成型機資料庫!$F$230:$F$271=J7)*(成型機資料庫!$G$230:$G$271=K7)),成型機資料庫!$L$230:$L$271),0)</f>
        <v>96.096000000000004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59</v>
      </c>
      <c r="G8" s="464"/>
      <c r="H8" s="464" t="s">
        <v>947</v>
      </c>
      <c r="I8" s="429" t="s">
        <v>675</v>
      </c>
      <c r="J8" s="429" t="s">
        <v>1444</v>
      </c>
      <c r="K8" s="429" t="s">
        <v>1301</v>
      </c>
      <c r="L8" s="464">
        <v>720</v>
      </c>
      <c r="M8" s="464"/>
      <c r="N8" s="464"/>
      <c r="O8" s="443">
        <f t="shared" si="0"/>
        <v>0</v>
      </c>
      <c r="P8" s="461">
        <v>10</v>
      </c>
      <c r="Q8" s="438">
        <f>IFERROR(LOOKUP(1,0/((成型機資料庫!$F$230:$F$271=J8)*(成型機資料庫!$G$230:$G$271=K8)),成型機資料庫!$K$230:$K$271),0)</f>
        <v>1000</v>
      </c>
      <c r="R8" s="477"/>
      <c r="S8" s="898"/>
      <c r="T8" s="482">
        <f>IFERROR(LOOKUP(1,0/((成型機資料庫!$F$230:$F$271=J8)*(成型機資料庫!$G$230:$G$271=K8)),成型機資料庫!$I$230:$I$271),0)</f>
        <v>14</v>
      </c>
      <c r="U8" s="483">
        <f>IFERROR(LOOKUP(1,0/((成型機資料庫!$F$230:$F$271=J8)*(成型機資料庫!$G$230:$G$271=K8)),成型機資料庫!$J$230:$J$271),0)</f>
        <v>20.8</v>
      </c>
      <c r="V8" s="900">
        <f>IFERROR(LOOKUP(1,0/((成型機資料庫!$F$230:$F$271=J8)*(成型機資料庫!$G$230:$G$271=K8)),成型機資料庫!$L$230:$L$271),0)</f>
        <v>192.19200000000001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934"/>
      <c r="B9" s="934"/>
      <c r="C9" s="934"/>
      <c r="D9" s="934"/>
      <c r="E9" s="934"/>
      <c r="F9" s="435" t="s">
        <v>59</v>
      </c>
      <c r="G9" s="437"/>
      <c r="H9" s="464" t="s">
        <v>1391</v>
      </c>
      <c r="I9" s="429" t="s">
        <v>499</v>
      </c>
      <c r="J9" s="429" t="s">
        <v>1445</v>
      </c>
      <c r="K9" s="429" t="s">
        <v>1301</v>
      </c>
      <c r="L9" s="464">
        <v>800</v>
      </c>
      <c r="M9" s="437"/>
      <c r="N9" s="437"/>
      <c r="O9" s="443"/>
      <c r="P9" s="461">
        <v>7</v>
      </c>
      <c r="Q9" s="438">
        <f>IFERROR(LOOKUP(1,0/((成型機資料庫!$F$230:$F$271=J9)*(成型機資料庫!$G$230:$G$271=K9)),成型機資料庫!$K$230:$K$271),0)</f>
        <v>1000</v>
      </c>
      <c r="R9" s="1003"/>
      <c r="S9" s="1004"/>
      <c r="T9" s="482">
        <f>IFERROR(LOOKUP(1,0/((成型機資料庫!$F$230:$F$271=J9)*(成型機資料庫!$G$230:$G$271=K9)),成型機資料庫!$I$230:$I$271),0)</f>
        <v>14</v>
      </c>
      <c r="U9" s="483">
        <f>IFERROR(LOOKUP(1,0/((成型機資料庫!$F$230:$F$271=J9)*(成型機資料庫!$G$230:$G$271=K9)),成型機資料庫!$J$230:$J$271),0)</f>
        <v>20.8</v>
      </c>
      <c r="V9" s="900">
        <f>IFERROR(LOOKUP(1,0/((成型機資料庫!$F$230:$F$271=J9)*(成型機資料庫!$G$230:$G$271=K9)),成型機資料庫!$L$230:$L$271),0)</f>
        <v>192.19200000000001</v>
      </c>
      <c r="W9" s="1004"/>
      <c r="X9" s="1004"/>
      <c r="Y9" s="1004"/>
      <c r="Z9" s="960"/>
      <c r="AA9" s="478"/>
      <c r="AB9" s="539"/>
      <c r="AC9" s="969"/>
      <c r="AD9" s="1006"/>
      <c r="AE9" s="539"/>
      <c r="AF9" s="539"/>
    </row>
    <row r="10" spans="1:56" s="439" customFormat="1" ht="15.75">
      <c r="A10" s="934"/>
      <c r="B10" s="934"/>
      <c r="C10" s="934"/>
      <c r="D10" s="934"/>
      <c r="E10" s="934"/>
      <c r="F10" s="435" t="s">
        <v>59</v>
      </c>
      <c r="G10" s="437"/>
      <c r="H10" s="464" t="s">
        <v>1392</v>
      </c>
      <c r="I10" s="429" t="s">
        <v>500</v>
      </c>
      <c r="J10" s="429" t="s">
        <v>1446</v>
      </c>
      <c r="K10" s="429" t="s">
        <v>1301</v>
      </c>
      <c r="L10" s="464">
        <v>1020</v>
      </c>
      <c r="M10" s="437"/>
      <c r="N10" s="437"/>
      <c r="O10" s="443"/>
      <c r="P10" s="461">
        <v>8.6999999999999993</v>
      </c>
      <c r="Q10" s="438">
        <f>IFERROR(LOOKUP(1,0/((成型機資料庫!$F$230:$F$271=J10)*(成型機資料庫!$G$230:$G$271=K10)),成型機資料庫!$K$230:$K$271),0)</f>
        <v>1000</v>
      </c>
      <c r="R10" s="1003"/>
      <c r="S10" s="1004"/>
      <c r="T10" s="482">
        <f>IFERROR(LOOKUP(1,0/((成型機資料庫!$F$230:$F$271=J10)*(成型機資料庫!$G$230:$G$271=K10)),成型機資料庫!$I$230:$I$271),0)</f>
        <v>14</v>
      </c>
      <c r="U10" s="483">
        <f>IFERROR(LOOKUP(1,0/((成型機資料庫!$F$230:$F$271=J10)*(成型機資料庫!$G$230:$G$271=K10)),成型機資料庫!$J$230:$J$271),0)</f>
        <v>20.8</v>
      </c>
      <c r="V10" s="900">
        <f>IFERROR(LOOKUP(1,0/((成型機資料庫!$F$230:$F$271=J10)*(成型機資料庫!$G$230:$G$271=K10)),成型機資料庫!$L$230:$L$271),0)</f>
        <v>192.19200000000001</v>
      </c>
      <c r="W10" s="1004"/>
      <c r="X10" s="1004"/>
      <c r="Y10" s="1004"/>
      <c r="Z10" s="960"/>
      <c r="AA10" s="478"/>
      <c r="AB10" s="539"/>
      <c r="AC10" s="969"/>
      <c r="AD10" s="1006"/>
      <c r="AE10" s="539"/>
      <c r="AF10" s="539"/>
    </row>
    <row r="11" spans="1:56" s="439" customFormat="1" ht="15.75">
      <c r="A11" s="934"/>
      <c r="B11" s="934"/>
      <c r="C11" s="934"/>
      <c r="D11" s="934"/>
      <c r="E11" s="934"/>
      <c r="F11" s="435" t="s">
        <v>59</v>
      </c>
      <c r="G11" s="437"/>
      <c r="H11" s="464" t="s">
        <v>947</v>
      </c>
      <c r="I11" s="429" t="s">
        <v>1393</v>
      </c>
      <c r="J11" s="429" t="s">
        <v>1447</v>
      </c>
      <c r="K11" s="429" t="s">
        <v>1301</v>
      </c>
      <c r="L11" s="464">
        <v>720</v>
      </c>
      <c r="M11" s="437"/>
      <c r="N11" s="437"/>
      <c r="O11" s="443"/>
      <c r="P11" s="461">
        <v>9.9</v>
      </c>
      <c r="Q11" s="438">
        <f>IFERROR(LOOKUP(1,0/((成型機資料庫!$F$230:$F$271=J11)*(成型機資料庫!$G$230:$G$271=K11)),成型機資料庫!$K$230:$K$271),0)</f>
        <v>1000</v>
      </c>
      <c r="R11" s="1003"/>
      <c r="S11" s="1004"/>
      <c r="T11" s="482">
        <f>IFERROR(LOOKUP(1,0/((成型機資料庫!$F$230:$F$271=J11)*(成型機資料庫!$G$230:$G$271=K11)),成型機資料庫!$I$230:$I$271),0)</f>
        <v>14</v>
      </c>
      <c r="U11" s="483">
        <f>IFERROR(LOOKUP(1,0/((成型機資料庫!$F$230:$F$271=J11)*(成型機資料庫!$G$230:$G$271=K11)),成型機資料庫!$J$230:$J$271),0)</f>
        <v>20.8</v>
      </c>
      <c r="V11" s="900">
        <f>IFERROR(LOOKUP(1,0/((成型機資料庫!$F$230:$F$271=J11)*(成型機資料庫!$G$230:$G$271=K11)),成型機資料庫!$L$230:$L$271),0)</f>
        <v>192.19200000000001</v>
      </c>
      <c r="W11" s="1004"/>
      <c r="X11" s="1004"/>
      <c r="Y11" s="1004"/>
      <c r="Z11" s="960"/>
      <c r="AA11" s="478"/>
      <c r="AB11" s="539"/>
      <c r="AC11" s="969"/>
      <c r="AD11" s="1006"/>
      <c r="AE11" s="539"/>
      <c r="AF11" s="539"/>
    </row>
    <row r="12" spans="1:56" s="439" customFormat="1" ht="15.75">
      <c r="A12" s="934"/>
      <c r="B12" s="934"/>
      <c r="C12" s="934"/>
      <c r="D12" s="934"/>
      <c r="E12" s="934"/>
      <c r="F12" s="959" t="s">
        <v>59</v>
      </c>
      <c r="G12" s="437"/>
      <c r="H12" s="437" t="s">
        <v>1394</v>
      </c>
      <c r="I12" s="535" t="s">
        <v>501</v>
      </c>
      <c r="J12" s="535" t="s">
        <v>1448</v>
      </c>
      <c r="K12" s="429" t="s">
        <v>1301</v>
      </c>
      <c r="L12" s="437">
        <v>760</v>
      </c>
      <c r="M12" s="437"/>
      <c r="N12" s="437"/>
      <c r="O12" s="443"/>
      <c r="P12" s="540">
        <v>8</v>
      </c>
      <c r="Q12" s="438">
        <f>IFERROR(LOOKUP(1,0/((成型機資料庫!$F$230:$F$271=J12)*(成型機資料庫!$G$230:$G$271=K12)),成型機資料庫!$K$230:$K$271),0)</f>
        <v>2000</v>
      </c>
      <c r="R12" s="1003"/>
      <c r="S12" s="1004"/>
      <c r="T12" s="482">
        <f>IFERROR(LOOKUP(1,0/((成型機資料庫!$F$230:$F$271=J12)*(成型機資料庫!$G$230:$G$271=K12)),成型機資料庫!$I$230:$I$271),0)</f>
        <v>14</v>
      </c>
      <c r="U12" s="483">
        <f>IFERROR(LOOKUP(1,0/((成型機資料庫!$F$230:$F$271=J12)*(成型機資料庫!$G$230:$G$271=K12)),成型機資料庫!$J$230:$J$271),0)</f>
        <v>20.8</v>
      </c>
      <c r="V12" s="900">
        <f>IFERROR(LOOKUP(1,0/((成型機資料庫!$F$230:$F$271=J12)*(成型機資料庫!$G$230:$G$271=K12)),成型機資料庫!$L$230:$L$271),0)</f>
        <v>96.096000000000004</v>
      </c>
      <c r="W12" s="1004"/>
      <c r="X12" s="1004"/>
      <c r="Y12" s="1004"/>
      <c r="Z12" s="960"/>
      <c r="AA12" s="478"/>
      <c r="AB12" s="539"/>
      <c r="AC12" s="969"/>
      <c r="AD12" s="1006"/>
      <c r="AE12" s="539"/>
      <c r="AF12" s="539"/>
    </row>
    <row r="13" spans="1:56" s="439" customFormat="1" ht="15.75">
      <c r="A13" s="934"/>
      <c r="B13" s="934"/>
      <c r="C13" s="934"/>
      <c r="D13" s="934"/>
      <c r="E13" s="934"/>
      <c r="F13" s="435" t="s">
        <v>59</v>
      </c>
      <c r="G13" s="437"/>
      <c r="H13" s="464" t="s">
        <v>947</v>
      </c>
      <c r="I13" s="429" t="s">
        <v>1395</v>
      </c>
      <c r="J13" s="429" t="s">
        <v>1449</v>
      </c>
      <c r="K13" s="429" t="s">
        <v>1301</v>
      </c>
      <c r="L13" s="464">
        <v>720</v>
      </c>
      <c r="M13" s="437"/>
      <c r="N13" s="437"/>
      <c r="O13" s="443"/>
      <c r="P13" s="461">
        <v>10</v>
      </c>
      <c r="Q13" s="438">
        <f>IFERROR(LOOKUP(1,0/((成型機資料庫!$F$230:$F$271=J13)*(成型機資料庫!$G$230:$G$271=K13)),成型機資料庫!$K$230:$K$271),0)</f>
        <v>1000</v>
      </c>
      <c r="R13" s="1003"/>
      <c r="S13" s="1004"/>
      <c r="T13" s="482">
        <f>IFERROR(LOOKUP(1,0/((成型機資料庫!$F$230:$F$271=J13)*(成型機資料庫!$G$230:$G$271=K13)),成型機資料庫!$I$230:$I$271),0)</f>
        <v>14</v>
      </c>
      <c r="U13" s="483">
        <f>IFERROR(LOOKUP(1,0/((成型機資料庫!$F$230:$F$271=J13)*(成型機資料庫!$G$230:$G$271=K13)),成型機資料庫!$J$230:$J$271),0)</f>
        <v>20.8</v>
      </c>
      <c r="V13" s="900">
        <f>IFERROR(LOOKUP(1,0/((成型機資料庫!$F$230:$F$271=J13)*(成型機資料庫!$G$230:$G$271=K13)),成型機資料庫!$L$230:$L$271),0)</f>
        <v>192.19200000000001</v>
      </c>
      <c r="W13" s="1004"/>
      <c r="X13" s="1004"/>
      <c r="Y13" s="1004"/>
      <c r="Z13" s="960"/>
      <c r="AA13" s="478"/>
      <c r="AB13" s="539"/>
      <c r="AC13" s="969"/>
      <c r="AD13" s="1006"/>
      <c r="AE13" s="539"/>
      <c r="AF13" s="539"/>
    </row>
    <row r="14" spans="1:56" s="439" customFormat="1" ht="15.75">
      <c r="A14" s="934"/>
      <c r="B14" s="934"/>
      <c r="C14" s="934"/>
      <c r="D14" s="934"/>
      <c r="E14" s="934"/>
      <c r="F14" s="435" t="s">
        <v>59</v>
      </c>
      <c r="G14" s="437"/>
      <c r="H14" s="464" t="s">
        <v>947</v>
      </c>
      <c r="I14" s="429" t="s">
        <v>1396</v>
      </c>
      <c r="J14" s="429" t="s">
        <v>1450</v>
      </c>
      <c r="K14" s="429" t="s">
        <v>1301</v>
      </c>
      <c r="L14" s="464">
        <v>0</v>
      </c>
      <c r="M14" s="437"/>
      <c r="N14" s="437"/>
      <c r="O14" s="443"/>
      <c r="P14" s="461">
        <v>11</v>
      </c>
      <c r="Q14" s="438">
        <f>IFERROR(LOOKUP(1,0/((成型機資料庫!$F$230:$F$271=J14)*(成型機資料庫!$G$230:$G$271=K14)),成型機資料庫!$K$230:$K$271),0)</f>
        <v>1000</v>
      </c>
      <c r="R14" s="1003"/>
      <c r="S14" s="1004"/>
      <c r="T14" s="482">
        <f>IFERROR(LOOKUP(1,0/((成型機資料庫!$F$230:$F$271=J14)*(成型機資料庫!$G$230:$G$271=K14)),成型機資料庫!$I$230:$I$271),0)</f>
        <v>14</v>
      </c>
      <c r="U14" s="483">
        <f>IFERROR(LOOKUP(1,0/((成型機資料庫!$F$230:$F$271=J14)*(成型機資料庫!$G$230:$G$271=K14)),成型機資料庫!$J$230:$J$271),0)</f>
        <v>20.8</v>
      </c>
      <c r="V14" s="900">
        <f>IFERROR(LOOKUP(1,0/((成型機資料庫!$F$230:$F$271=J14)*(成型機資料庫!$G$230:$G$271=K14)),成型機資料庫!$L$230:$L$271),0)</f>
        <v>192.19200000000001</v>
      </c>
      <c r="W14" s="1004"/>
      <c r="X14" s="1004"/>
      <c r="Y14" s="1004"/>
      <c r="Z14" s="960"/>
      <c r="AA14" s="478"/>
      <c r="AB14" s="539"/>
      <c r="AC14" s="969"/>
      <c r="AD14" s="1006"/>
      <c r="AE14" s="539"/>
      <c r="AF14" s="539"/>
    </row>
    <row r="15" spans="1:56" s="439" customFormat="1" ht="15.75">
      <c r="A15" s="934"/>
      <c r="B15" s="934"/>
      <c r="C15" s="934"/>
      <c r="D15" s="934"/>
      <c r="E15" s="934"/>
      <c r="F15" s="435" t="s">
        <v>59</v>
      </c>
      <c r="G15" s="437"/>
      <c r="H15" s="464" t="s">
        <v>947</v>
      </c>
      <c r="I15" s="429" t="s">
        <v>1397</v>
      </c>
      <c r="J15" s="429" t="s">
        <v>1451</v>
      </c>
      <c r="K15" s="429" t="s">
        <v>1301</v>
      </c>
      <c r="L15" s="464">
        <v>0</v>
      </c>
      <c r="M15" s="437"/>
      <c r="N15" s="437"/>
      <c r="O15" s="443">
        <f t="shared" si="0"/>
        <v>0</v>
      </c>
      <c r="P15" s="461">
        <v>11</v>
      </c>
      <c r="Q15" s="438">
        <f>IFERROR(LOOKUP(1,0/((成型機資料庫!$F$230:$F$271=J15)*(成型機資料庫!$G$230:$G$271=K15)),成型機資料庫!$K$230:$K$271),0)</f>
        <v>1000</v>
      </c>
      <c r="R15" s="1003"/>
      <c r="S15" s="1004"/>
      <c r="T15" s="482">
        <f>IFERROR(LOOKUP(1,0/((成型機資料庫!$F$230:$F$271=J15)*(成型機資料庫!$G$230:$G$271=K15)),成型機資料庫!$I$230:$I$271),0)</f>
        <v>14</v>
      </c>
      <c r="U15" s="483">
        <f>IFERROR(LOOKUP(1,0/((成型機資料庫!$F$230:$F$271=J15)*(成型機資料庫!$G$230:$G$271=K15)),成型機資料庫!$J$230:$J$271),0)</f>
        <v>20.8</v>
      </c>
      <c r="V15" s="900">
        <f>IFERROR(LOOKUP(1,0/((成型機資料庫!$F$230:$F$271=J15)*(成型機資料庫!$G$230:$G$271=K15)),成型機資料庫!$L$230:$L$271),0)</f>
        <v>192.19200000000001</v>
      </c>
      <c r="W15" s="1004"/>
      <c r="X15" s="1004"/>
      <c r="Y15" s="1004"/>
      <c r="Z15" s="960"/>
      <c r="AA15" s="478">
        <f t="shared" si="1"/>
        <v>0</v>
      </c>
      <c r="AB15" s="539"/>
      <c r="AC15" s="969"/>
      <c r="AD15" s="1006"/>
      <c r="AE15" s="539"/>
      <c r="AF15" s="539"/>
    </row>
    <row r="16" spans="1:56" s="439" customFormat="1" ht="15.75">
      <c r="A16" s="934"/>
      <c r="B16" s="934"/>
      <c r="C16" s="934"/>
      <c r="D16" s="934"/>
      <c r="E16" s="934"/>
      <c r="F16" s="435" t="s">
        <v>59</v>
      </c>
      <c r="G16" s="437"/>
      <c r="H16" s="464" t="s">
        <v>1386</v>
      </c>
      <c r="I16" s="429" t="s">
        <v>482</v>
      </c>
      <c r="J16" s="429" t="s">
        <v>1486</v>
      </c>
      <c r="K16" s="429" t="s">
        <v>1301</v>
      </c>
      <c r="L16" s="464">
        <v>310</v>
      </c>
      <c r="M16" s="437"/>
      <c r="N16" s="437"/>
      <c r="O16" s="443">
        <f t="shared" si="0"/>
        <v>0</v>
      </c>
      <c r="P16" s="461">
        <v>1.5</v>
      </c>
      <c r="Q16" s="438">
        <f>IFERROR(LOOKUP(1,0/((成型機資料庫!$F$230:$F$271=J16)*(成型機資料庫!$G$230:$G$271=K16)),成型機資料庫!$K$230:$K$271),0)</f>
        <v>2500</v>
      </c>
      <c r="R16" s="1003"/>
      <c r="S16" s="1004"/>
      <c r="T16" s="482">
        <f>IFERROR(LOOKUP(1,0/((成型機資料庫!$F$230:$F$271=J16)*(成型機資料庫!$G$230:$G$271=K16)),成型機資料庫!$I$230:$I$271),0)</f>
        <v>33</v>
      </c>
      <c r="U16" s="483">
        <f>IFERROR(LOOKUP(1,0/((成型機資料庫!$F$230:$F$271=J16)*(成型機資料庫!$G$230:$G$271=K16)),成型機資料庫!$J$230:$J$271),0)</f>
        <v>21.6</v>
      </c>
      <c r="V16" s="900">
        <f>IFERROR(LOOKUP(1,0/((成型機資料庫!$F$230:$F$271=J16)*(成型機資料庫!$G$230:$G$271=K16)),成型機資料庫!$L$230:$L$271),0)</f>
        <v>188.17920000000004</v>
      </c>
      <c r="W16" s="1004"/>
      <c r="X16" s="1004"/>
      <c r="Y16" s="1004"/>
      <c r="Z16" s="960"/>
      <c r="AA16" s="478">
        <f t="shared" si="1"/>
        <v>0</v>
      </c>
      <c r="AB16" s="539"/>
      <c r="AC16" s="969"/>
      <c r="AD16" s="1006"/>
      <c r="AE16" s="539"/>
      <c r="AF16" s="539"/>
    </row>
    <row r="17" spans="1:32" s="439" customFormat="1" ht="15.75">
      <c r="A17" s="934"/>
      <c r="B17" s="934"/>
      <c r="C17" s="934"/>
      <c r="D17" s="934"/>
      <c r="E17" s="934"/>
      <c r="F17" s="435" t="s">
        <v>59</v>
      </c>
      <c r="G17" s="437"/>
      <c r="H17" s="464" t="s">
        <v>1387</v>
      </c>
      <c r="I17" s="429" t="s">
        <v>483</v>
      </c>
      <c r="J17" s="429" t="s">
        <v>1487</v>
      </c>
      <c r="K17" s="429" t="s">
        <v>1301</v>
      </c>
      <c r="L17" s="464">
        <v>310</v>
      </c>
      <c r="M17" s="437"/>
      <c r="N17" s="437"/>
      <c r="O17" s="1002"/>
      <c r="P17" s="461">
        <v>1</v>
      </c>
      <c r="Q17" s="438">
        <f>IFERROR(LOOKUP(1,0/((成型機資料庫!$F$230:$F$271=J17)*(成型機資料庫!$G$230:$G$271=K17)),成型機資料庫!$K$230:$K$271),0)</f>
        <v>2500</v>
      </c>
      <c r="R17" s="1003"/>
      <c r="S17" s="1004"/>
      <c r="T17" s="482">
        <f>IFERROR(LOOKUP(1,0/((成型機資料庫!$F$230:$F$271=J17)*(成型機資料庫!$G$230:$G$271=K17)),成型機資料庫!$I$230:$I$271),0)</f>
        <v>33</v>
      </c>
      <c r="U17" s="483">
        <f>IFERROR(LOOKUP(1,0/((成型機資料庫!$F$230:$F$271=J17)*(成型機資料庫!$G$230:$G$271=K17)),成型機資料庫!$J$230:$J$271),0)</f>
        <v>19.2</v>
      </c>
      <c r="V17" s="900">
        <f>IFERROR(LOOKUP(1,0/((成型機資料庫!$F$230:$F$271=J17)*(成型機資料庫!$G$230:$G$271=K17)),成型機資料庫!$L$230:$L$271),0)</f>
        <v>167.2704</v>
      </c>
      <c r="W17" s="1004"/>
      <c r="X17" s="1004"/>
      <c r="Y17" s="1004"/>
      <c r="Z17" s="960"/>
      <c r="AA17" s="478"/>
      <c r="AB17" s="539"/>
      <c r="AC17" s="969"/>
      <c r="AD17" s="1006"/>
      <c r="AE17" s="539"/>
      <c r="AF17" s="539"/>
    </row>
    <row r="18" spans="1:32" s="439" customFormat="1" thickBot="1">
      <c r="A18" s="496"/>
      <c r="B18" s="496"/>
      <c r="C18" s="496"/>
      <c r="D18" s="496"/>
      <c r="E18" s="496"/>
      <c r="F18" s="497"/>
      <c r="G18" s="500"/>
      <c r="H18" s="500"/>
      <c r="I18" s="498"/>
      <c r="J18" s="498"/>
      <c r="K18" s="498"/>
      <c r="L18" s="500"/>
      <c r="M18" s="500"/>
      <c r="N18" s="500"/>
      <c r="O18" s="501">
        <f t="shared" si="0"/>
        <v>0</v>
      </c>
      <c r="P18" s="528"/>
      <c r="Q18" s="499">
        <f>IFERROR(LOOKUP(1,0/((成型機資料庫!$F$230:$F$271=J18)*(成型機資料庫!$G$230:$G$271=K18)),成型機資料庫!$K$230:$K$271),0)</f>
        <v>0</v>
      </c>
      <c r="R18" s="502"/>
      <c r="S18" s="503"/>
      <c r="T18" s="509">
        <f>IFERROR(LOOKUP(1,0/((成型機資料庫!$F$230:$F$271=J18)*(成型機資料庫!$G$230:$G$271=K18)),成型機資料庫!$I$230:$I$271),0)</f>
        <v>0</v>
      </c>
      <c r="U18" s="505">
        <f>IFERROR(LOOKUP(1,0/((成型機資料庫!$F$230:$F$271=J18)*(成型機資料庫!$G$230:$G$271=K18)),成型機資料庫!$J$230:$J$271),0)</f>
        <v>0</v>
      </c>
      <c r="V18" s="991">
        <f>IFERROR(LOOKUP(1,0/((成型機資料庫!$F$230:$F$271=J18)*(成型機資料庫!$G$230:$G$271=K18)),成型機資料庫!$L$230:$L$271),0)</f>
        <v>0</v>
      </c>
      <c r="W18" s="507"/>
      <c r="X18" s="507"/>
      <c r="Y18" s="507"/>
      <c r="Z18" s="507"/>
      <c r="AA18" s="478">
        <f t="shared" si="1"/>
        <v>0</v>
      </c>
      <c r="AB18" s="499"/>
      <c r="AC18" s="509"/>
      <c r="AD18" s="529"/>
      <c r="AE18" s="499"/>
      <c r="AF18" s="499"/>
    </row>
    <row r="19" spans="1:32" s="433" customFormat="1" ht="15.75">
      <c r="A19" s="935">
        <v>113</v>
      </c>
      <c r="B19" s="935"/>
      <c r="C19" s="935">
        <v>1</v>
      </c>
      <c r="D19" s="889"/>
      <c r="E19" s="889" t="s">
        <v>0</v>
      </c>
      <c r="F19" s="962" t="s">
        <v>44</v>
      </c>
      <c r="G19" s="999"/>
      <c r="H19" s="532"/>
      <c r="I19" s="964"/>
      <c r="J19" s="964"/>
      <c r="K19" s="964"/>
      <c r="L19" s="532"/>
      <c r="M19" s="532"/>
      <c r="N19" s="927">
        <f>M19*Q19</f>
        <v>0</v>
      </c>
      <c r="O19" s="995">
        <f t="shared" si="0"/>
        <v>0</v>
      </c>
      <c r="P19" s="1000"/>
      <c r="Q19" s="480">
        <f>IFERROR(LOOKUP(1,0/((成型機資料庫!$F$230:$F$271=J19)*(成型機資料庫!$G$230:$G$271=K19)),成型機資料庫!$K$230:$K$271),0)</f>
        <v>0</v>
      </c>
      <c r="R19" s="997">
        <f t="shared" ref="R19:R48" si="2">M19*Q19*P19/1000</f>
        <v>0</v>
      </c>
      <c r="S19" s="996">
        <f t="shared" ref="S19:S48" si="3">IFERROR((G19-R19)/G19,0)</f>
        <v>0</v>
      </c>
      <c r="T19" s="968">
        <f>IFERROR(LOOKUP(1,0/((成型機資料庫!$F$230:$F$271=J19)*(成型機資料庫!$G$230:$G$271=K19)),成型機資料庫!$I$230:$I$271),0)</f>
        <v>0</v>
      </c>
      <c r="U19" s="967">
        <f>IFERROR(LOOKUP(1,0/((成型機資料庫!$F$230:$F$271=J19)*(成型機資料庫!$G$230:$G$271=K19)),成型機資料庫!$J$230:$J$271),0)</f>
        <v>0</v>
      </c>
      <c r="V19" s="927">
        <f>IFERROR(LOOKUP(1,0/((成型機資料庫!$F$230:$F$271=J19)*(成型機資料庫!$G$230:$G$271=K19)),成型機資料庫!$L$230:$L$271),0)</f>
        <v>0</v>
      </c>
      <c r="W19" s="996">
        <f t="shared" ref="W19:W48" si="4">IFERROR(M19/V19,0)</f>
        <v>0</v>
      </c>
      <c r="X19" s="987">
        <f>IFERROR(T19*U19*60*AA19/Q19,0)</f>
        <v>0</v>
      </c>
      <c r="Y19" s="996">
        <f>IFERROR(M19/X19,0)</f>
        <v>0</v>
      </c>
      <c r="Z19" s="987"/>
      <c r="AA19" s="495">
        <f t="shared" si="1"/>
        <v>0</v>
      </c>
      <c r="AB19" s="480"/>
      <c r="AC19" s="968"/>
      <c r="AD19" s="532"/>
      <c r="AE19" s="480"/>
      <c r="AF19" s="480"/>
    </row>
    <row r="20" spans="1:32" s="433" customFormat="1" ht="15.75">
      <c r="A20" s="434">
        <v>113</v>
      </c>
      <c r="B20" s="581"/>
      <c r="C20" s="581">
        <v>2</v>
      </c>
      <c r="D20" s="581"/>
      <c r="E20" s="581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ref="N20:N48" si="5">M20*Q20</f>
        <v>0</v>
      </c>
      <c r="O20" s="901">
        <f t="shared" si="0"/>
        <v>0</v>
      </c>
      <c r="P20" s="460"/>
      <c r="Q20" s="438">
        <f>IFERROR(LOOKUP(1,0/((成型機資料庫!$F$230:$F$271=J20)*(成型機資料庫!$G$230:$G$271=K20)),成型機資料庫!$K$230:$K$271),0)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IFERROR(LOOKUP(1,0/((成型機資料庫!$F$230:$F$271=J20)*(成型機資料庫!$G$230:$G$271=K20)),成型機資料庫!$I$230:$I$271),0)</f>
        <v>0</v>
      </c>
      <c r="U20" s="483">
        <f>IFERROR(LOOKUP(1,0/((成型機資料庫!$F$230:$F$271=J20)*(成型機資料庫!$G$230:$G$271=K20)),成型機資料庫!$J$230:$J$271),0)</f>
        <v>0</v>
      </c>
      <c r="V20" s="900">
        <f>IFERROR(LOOKUP(1,0/((成型機資料庫!$F$230:$F$271=J20)*(成型機資料庫!$G$230:$G$271=K20)),成型機資料庫!$L$230:$L$271),0)</f>
        <v>0</v>
      </c>
      <c r="W20" s="898">
        <f t="shared" si="4"/>
        <v>0</v>
      </c>
      <c r="X20" s="923">
        <f t="shared" ref="X20:X48" si="6">IFERROR(T20*U20*60*AA20/Q20,0)</f>
        <v>0</v>
      </c>
      <c r="Y20" s="898">
        <f t="shared" ref="Y20:Y48" si="7">IFERROR(M20/X20,0)</f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3</v>
      </c>
      <c r="D21" s="581"/>
      <c r="E21" s="581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IFERROR(LOOKUP(1,0/((成型機資料庫!$F$230:$F$271=J21)*(成型機資料庫!$G$230:$G$271=K21)),成型機資料庫!$K$230:$K$271),0)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IFERROR(LOOKUP(1,0/((成型機資料庫!$F$230:$F$271=J21)*(成型機資料庫!$G$230:$G$271=K21)),成型機資料庫!$I$230:$I$271),0)</f>
        <v>0</v>
      </c>
      <c r="U21" s="483">
        <f>IFERROR(LOOKUP(1,0/((成型機資料庫!$F$230:$F$271=J21)*(成型機資料庫!$G$230:$G$271=K21)),成型機資料庫!$J$230:$J$271),0)</f>
        <v>0</v>
      </c>
      <c r="V21" s="900">
        <f>IFERROR(LOOKUP(1,0/((成型機資料庫!$F$230:$F$271=J21)*(成型機資料庫!$G$230:$G$271=K21)),成型機資料庫!$L$230:$L$271),0)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4</v>
      </c>
      <c r="D22" s="581"/>
      <c r="E22" s="581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IFERROR(LOOKUP(1,0/((成型機資料庫!$F$230:$F$271=J22)*(成型機資料庫!$G$230:$G$271=K22)),成型機資料庫!$K$230:$K$271),0)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IFERROR(LOOKUP(1,0/((成型機資料庫!$F$230:$F$271=J22)*(成型機資料庫!$G$230:$G$271=K22)),成型機資料庫!$I$230:$I$271),0)</f>
        <v>0</v>
      </c>
      <c r="U22" s="483">
        <f>IFERROR(LOOKUP(1,0/((成型機資料庫!$F$230:$F$271=J22)*(成型機資料庫!$G$230:$G$271=K22)),成型機資料庫!$J$230:$J$271),0)</f>
        <v>0</v>
      </c>
      <c r="V22" s="900">
        <f>IFERROR(LOOKUP(1,0/((成型機資料庫!$F$230:$F$271=J22)*(成型機資料庫!$G$230:$G$271=K22)),成型機資料庫!$L$230:$L$271),0)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38"/>
      <c r="AE22" s="464"/>
      <c r="AF22" s="438"/>
    </row>
    <row r="23" spans="1:32" s="433" customFormat="1" ht="15.75">
      <c r="A23" s="434">
        <v>113</v>
      </c>
      <c r="B23" s="581"/>
      <c r="C23" s="581">
        <v>5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IFERROR(LOOKUP(1,0/((成型機資料庫!$F$230:$F$271=J23)*(成型機資料庫!$G$230:$G$271=K23)),成型機資料庫!$K$230:$K$271),0)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IFERROR(LOOKUP(1,0/((成型機資料庫!$F$230:$F$271=J23)*(成型機資料庫!$G$230:$G$271=K23)),成型機資料庫!$I$230:$I$271),0)</f>
        <v>0</v>
      </c>
      <c r="U23" s="483">
        <f>IFERROR(LOOKUP(1,0/((成型機資料庫!$F$230:$F$271=J23)*(成型機資料庫!$G$230:$G$271=K23)),成型機資料庫!$J$230:$J$271),0)</f>
        <v>0</v>
      </c>
      <c r="V23" s="900">
        <f>IFERROR(LOOKUP(1,0/((成型機資料庫!$F$230:$F$271=J23)*(成型機資料庫!$G$230:$G$271=K23)),成型機資料庫!$L$230:$L$271),0)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6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IFERROR(LOOKUP(1,0/((成型機資料庫!$F$230:$F$271=J24)*(成型機資料庫!$G$230:$G$271=K24)),成型機資料庫!$K$230:$K$271),0)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IFERROR(LOOKUP(1,0/((成型機資料庫!$F$230:$F$271=J24)*(成型機資料庫!$G$230:$G$271=K24)),成型機資料庫!$I$230:$I$271),0)</f>
        <v>0</v>
      </c>
      <c r="U24" s="483">
        <f>IFERROR(LOOKUP(1,0/((成型機資料庫!$F$230:$F$271=J24)*(成型機資料庫!$G$230:$G$271=K24)),成型機資料庫!$J$230:$J$271),0)</f>
        <v>0</v>
      </c>
      <c r="V24" s="900">
        <f>IFERROR(LOOKUP(1,0/((成型機資料庫!$F$230:$F$271=J24)*(成型機資料庫!$G$230:$G$271=K24)),成型機資料庫!$L$230:$L$271),0)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879"/>
      <c r="AE24" s="438"/>
      <c r="AF24" s="438"/>
    </row>
    <row r="25" spans="1:32" s="433" customFormat="1" ht="15.75">
      <c r="A25" s="434">
        <v>113</v>
      </c>
      <c r="B25" s="581"/>
      <c r="C25" s="581">
        <v>7</v>
      </c>
      <c r="D25" s="581"/>
      <c r="E25" s="889" t="s">
        <v>0</v>
      </c>
      <c r="F25" s="962" t="s">
        <v>44</v>
      </c>
      <c r="G25" s="927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IFERROR(LOOKUP(1,0/((成型機資料庫!$F$230:$F$271=J25)*(成型機資料庫!$G$230:$G$271=K25)),成型機資料庫!$K$230:$K$271),0)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IFERROR(LOOKUP(1,0/((成型機資料庫!$F$230:$F$271=J25)*(成型機資料庫!$G$230:$G$271=K25)),成型機資料庫!$I$230:$I$271),0)</f>
        <v>0</v>
      </c>
      <c r="U25" s="483">
        <f>IFERROR(LOOKUP(1,0/((成型機資料庫!$F$230:$F$271=J25)*(成型機資料庫!$G$230:$G$271=K25)),成型機資料庫!$J$230:$J$271),0)</f>
        <v>0</v>
      </c>
      <c r="V25" s="900">
        <f>IFERROR(LOOKUP(1,0/((成型機資料庫!$F$230:$F$271=J25)*(成型機資料庫!$G$230:$G$271=K25)),成型機資料庫!$L$230:$L$271),0)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8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IFERROR(LOOKUP(1,0/((成型機資料庫!$F$230:$F$271=J26)*(成型機資料庫!$G$230:$G$271=K26)),成型機資料庫!$K$230:$K$271),0)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IFERROR(LOOKUP(1,0/((成型機資料庫!$F$230:$F$271=J26)*(成型機資料庫!$G$230:$G$271=K26)),成型機資料庫!$I$230:$I$271),0)</f>
        <v>0</v>
      </c>
      <c r="U26" s="483">
        <f>IFERROR(LOOKUP(1,0/((成型機資料庫!$F$230:$F$271=J26)*(成型機資料庫!$G$230:$G$271=K26)),成型機資料庫!$J$230:$J$271),0)</f>
        <v>0</v>
      </c>
      <c r="V26" s="900">
        <f>IFERROR(LOOKUP(1,0/((成型機資料庫!$F$230:$F$271=J26)*(成型機資料庫!$G$230:$G$271=K26)),成型機資料庫!$L$230:$L$271),0)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581"/>
      <c r="C27" s="581">
        <v>9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IFERROR(LOOKUP(1,0/((成型機資料庫!$F$230:$F$271=J27)*(成型機資料庫!$G$230:$G$271=K27)),成型機資料庫!$K$230:$K$271),0)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IFERROR(LOOKUP(1,0/((成型機資料庫!$F$230:$F$271=J27)*(成型機資料庫!$G$230:$G$271=K27)),成型機資料庫!$I$230:$I$271),0)</f>
        <v>0</v>
      </c>
      <c r="U27" s="483">
        <f>IFERROR(LOOKUP(1,0/((成型機資料庫!$F$230:$F$271=J27)*(成型機資料庫!$G$230:$G$271=K27)),成型機資料庫!$J$230:$J$271),0)</f>
        <v>0</v>
      </c>
      <c r="V27" s="900">
        <f>IFERROR(LOOKUP(1,0/((成型機資料庫!$F$230:$F$271=J27)*(成型機資料庫!$G$230:$G$271=K27)),成型機資料庫!$L$230:$L$271),0)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581"/>
      <c r="C28" s="581">
        <v>10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IFERROR(LOOKUP(1,0/((成型機資料庫!$F$230:$F$271=J28)*(成型機資料庫!$G$230:$G$271=K28)),成型機資料庫!$K$230:$K$271),0)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IFERROR(LOOKUP(1,0/((成型機資料庫!$F$230:$F$271=J28)*(成型機資料庫!$G$230:$G$271=K28)),成型機資料庫!$I$230:$I$271),0)</f>
        <v>0</v>
      </c>
      <c r="U28" s="483">
        <f>IFERROR(LOOKUP(1,0/((成型機資料庫!$F$230:$F$271=J28)*(成型機資料庫!$G$230:$G$271=K28)),成型機資料庫!$J$230:$J$271),0)</f>
        <v>0</v>
      </c>
      <c r="V28" s="900">
        <f>IFERROR(LOOKUP(1,0/((成型機資料庫!$F$230:$F$271=J28)*(成型機資料庫!$G$230:$G$271=K28)),成型機資料庫!$L$230:$L$271),0)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38"/>
      <c r="AE28" s="438"/>
      <c r="AF28" s="438"/>
    </row>
    <row r="29" spans="1:32" s="433" customFormat="1" ht="15.75">
      <c r="A29" s="434">
        <v>113</v>
      </c>
      <c r="B29" s="581"/>
      <c r="C29" s="581">
        <v>11</v>
      </c>
      <c r="D29" s="581"/>
      <c r="E29" s="581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IFERROR(LOOKUP(1,0/((成型機資料庫!$F$230:$F$271=J29)*(成型機資料庫!$G$230:$G$271=K29)),成型機資料庫!$K$230:$K$271),0)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IFERROR(LOOKUP(1,0/((成型機資料庫!$F$230:$F$271=J29)*(成型機資料庫!$G$230:$G$271=K29)),成型機資料庫!$I$230:$I$271),0)</f>
        <v>0</v>
      </c>
      <c r="U29" s="483">
        <f>IFERROR(LOOKUP(1,0/((成型機資料庫!$F$230:$F$271=J29)*(成型機資料庫!$G$230:$G$271=K29)),成型機資料庫!$J$230:$J$271),0)</f>
        <v>0</v>
      </c>
      <c r="V29" s="900">
        <f>IFERROR(LOOKUP(1,0/((成型機資料庫!$F$230:$F$271=J29)*(成型機資料庫!$G$230:$G$271=K29)),成型機資料庫!$L$230:$L$271),0)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581"/>
      <c r="C30" s="581">
        <v>12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IFERROR(LOOKUP(1,0/((成型機資料庫!$F$230:$F$271=J30)*(成型機資料庫!$G$230:$G$271=K30)),成型機資料庫!$K$230:$K$271),0)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IFERROR(LOOKUP(1,0/((成型機資料庫!$F$230:$F$271=J30)*(成型機資料庫!$G$230:$G$271=K30)),成型機資料庫!$I$230:$I$271),0)</f>
        <v>0</v>
      </c>
      <c r="U30" s="483">
        <f>IFERROR(LOOKUP(1,0/((成型機資料庫!$F$230:$F$271=J30)*(成型機資料庫!$G$230:$G$271=K30)),成型機資料庫!$J$230:$J$271),0)</f>
        <v>0</v>
      </c>
      <c r="V30" s="900">
        <f>IFERROR(LOOKUP(1,0/((成型機資料庫!$F$230:$F$271=J30)*(成型機資料庫!$G$230:$G$271=K30)),成型機資料庫!$L$230:$L$271),0)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38"/>
      <c r="AE30" s="438"/>
      <c r="AF30" s="438"/>
    </row>
    <row r="31" spans="1:32" s="433" customFormat="1" ht="15.75">
      <c r="A31" s="434">
        <v>113</v>
      </c>
      <c r="B31" s="581"/>
      <c r="C31" s="581">
        <v>13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IFERROR(LOOKUP(1,0/((成型機資料庫!$F$230:$F$271=J31)*(成型機資料庫!$G$230:$G$271=K31)),成型機資料庫!$K$230:$K$271),0)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IFERROR(LOOKUP(1,0/((成型機資料庫!$F$230:$F$271=J31)*(成型機資料庫!$G$230:$G$271=K31)),成型機資料庫!$I$230:$I$271),0)</f>
        <v>0</v>
      </c>
      <c r="U31" s="483">
        <f>IFERROR(LOOKUP(1,0/((成型機資料庫!$F$230:$F$271=J31)*(成型機資料庫!$G$230:$G$271=K31)),成型機資料庫!$J$230:$J$271),0)</f>
        <v>0</v>
      </c>
      <c r="V31" s="900">
        <f>IFERROR(LOOKUP(1,0/((成型機資料庫!$F$230:$F$271=J31)*(成型機資料庫!$G$230:$G$271=K31)),成型機資料庫!$L$230:$L$271),0)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581"/>
      <c r="C32" s="581">
        <v>14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IFERROR(LOOKUP(1,0/((成型機資料庫!$F$230:$F$271=J32)*(成型機資料庫!$G$230:$G$271=K32)),成型機資料庫!$K$230:$K$271),0)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IFERROR(LOOKUP(1,0/((成型機資料庫!$F$230:$F$271=J32)*(成型機資料庫!$G$230:$G$271=K32)),成型機資料庫!$I$230:$I$271),0)</f>
        <v>0</v>
      </c>
      <c r="U32" s="483">
        <f>IFERROR(LOOKUP(1,0/((成型機資料庫!$F$230:$F$271=J32)*(成型機資料庫!$G$230:$G$271=K32)),成型機資料庫!$J$230:$J$271),0)</f>
        <v>0</v>
      </c>
      <c r="V32" s="900">
        <f>IFERROR(LOOKUP(1,0/((成型機資料庫!$F$230:$F$271=J32)*(成型機資料庫!$G$230:$G$271=K32)),成型機資料庫!$L$230:$L$271),0)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581"/>
      <c r="C33" s="581">
        <v>15</v>
      </c>
      <c r="D33" s="581"/>
      <c r="E33" s="889" t="s">
        <v>0</v>
      </c>
      <c r="F33" s="962" t="s">
        <v>44</v>
      </c>
      <c r="G33" s="927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IFERROR(LOOKUP(1,0/((成型機資料庫!$F$230:$F$271=J33)*(成型機資料庫!$G$230:$G$271=K33)),成型機資料庫!$K$230:$K$271),0)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IFERROR(LOOKUP(1,0/((成型機資料庫!$F$230:$F$271=J33)*(成型機資料庫!$G$230:$G$271=K33)),成型機資料庫!$I$230:$I$271),0)</f>
        <v>0</v>
      </c>
      <c r="U33" s="483">
        <f>IFERROR(LOOKUP(1,0/((成型機資料庫!$F$230:$F$271=J33)*(成型機資料庫!$G$230:$G$271=K33)),成型機資料庫!$J$230:$J$271),0)</f>
        <v>0</v>
      </c>
      <c r="V33" s="900">
        <f>IFERROR(LOOKUP(1,0/((成型機資料庫!$F$230:$F$271=J33)*(成型機資料庫!$G$230:$G$271=K33)),成型機資料庫!$L$230:$L$271),0)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38"/>
      <c r="AE33" s="438"/>
      <c r="AF33" s="438"/>
    </row>
    <row r="34" spans="1:32" s="433" customFormat="1" ht="15.75">
      <c r="A34" s="434">
        <v>113</v>
      </c>
      <c r="B34" s="581"/>
      <c r="C34" s="581">
        <v>16</v>
      </c>
      <c r="D34" s="581"/>
      <c r="E34" s="889" t="s">
        <v>0</v>
      </c>
      <c r="F34" s="962" t="s">
        <v>44</v>
      </c>
      <c r="G34" s="927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IFERROR(LOOKUP(1,0/((成型機資料庫!$F$230:$F$271=J34)*(成型機資料庫!$G$230:$G$271=K34)),成型機資料庫!$K$230:$K$271),0)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IFERROR(LOOKUP(1,0/((成型機資料庫!$F$230:$F$271=J34)*(成型機資料庫!$G$230:$G$271=K34)),成型機資料庫!$I$230:$I$271),0)</f>
        <v>0</v>
      </c>
      <c r="U34" s="483">
        <f>IFERROR(LOOKUP(1,0/((成型機資料庫!$F$230:$F$271=J34)*(成型機資料庫!$G$230:$G$271=K34)),成型機資料庫!$J$230:$J$271),0)</f>
        <v>0</v>
      </c>
      <c r="V34" s="900">
        <f>IFERROR(LOOKUP(1,0/((成型機資料庫!$F$230:$F$271=J34)*(成型機資料庫!$G$230:$G$271=K34)),成型機資料庫!$L$230:$L$271),0)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64"/>
      <c r="AF34" s="438"/>
    </row>
    <row r="35" spans="1:32" s="433" customFormat="1" ht="15.75">
      <c r="A35" s="434">
        <v>113</v>
      </c>
      <c r="B35" s="581"/>
      <c r="C35" s="581">
        <v>17</v>
      </c>
      <c r="D35" s="581"/>
      <c r="E35" s="889" t="s">
        <v>0</v>
      </c>
      <c r="F35" s="962" t="s">
        <v>44</v>
      </c>
      <c r="G35" s="927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IFERROR(LOOKUP(1,0/((成型機資料庫!$F$230:$F$271=J35)*(成型機資料庫!$G$230:$G$271=K35)),成型機資料庫!$K$230:$K$271),0)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IFERROR(LOOKUP(1,0/((成型機資料庫!$F$230:$F$271=J35)*(成型機資料庫!$G$230:$G$271=K35)),成型機資料庫!$I$230:$I$271),0)</f>
        <v>0</v>
      </c>
      <c r="U35" s="483">
        <f>IFERROR(LOOKUP(1,0/((成型機資料庫!$F$230:$F$271=J35)*(成型機資料庫!$G$230:$G$271=K35)),成型機資料庫!$J$230:$J$271),0)</f>
        <v>0</v>
      </c>
      <c r="V35" s="900">
        <f>IFERROR(LOOKUP(1,0/((成型機資料庫!$F$230:$F$271=J35)*(成型機資料庫!$G$230:$G$271=K35)),成型機資料庫!$L$230:$L$271),0)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18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IFERROR(LOOKUP(1,0/((成型機資料庫!$F$230:$F$271=J36)*(成型機資料庫!$G$230:$G$271=K36)),成型機資料庫!$K$230:$K$271),0)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IFERROR(LOOKUP(1,0/((成型機資料庫!$F$230:$F$271=J36)*(成型機資料庫!$G$230:$G$271=K36)),成型機資料庫!$I$230:$I$271),0)</f>
        <v>0</v>
      </c>
      <c r="U36" s="483">
        <f>IFERROR(LOOKUP(1,0/((成型機資料庫!$F$230:$F$271=J36)*(成型機資料庫!$G$230:$G$271=K36)),成型機資料庫!$J$230:$J$271),0)</f>
        <v>0</v>
      </c>
      <c r="V36" s="900">
        <f>IFERROR(LOOKUP(1,0/((成型機資料庫!$F$230:$F$271=J36)*(成型機資料庫!$G$230:$G$271=K36)),成型機資料庫!$L$230:$L$271),0)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19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IFERROR(LOOKUP(1,0/((成型機資料庫!$F$230:$F$271=J37)*(成型機資料庫!$G$230:$G$271=K37)),成型機資料庫!$K$230:$K$271),0)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IFERROR(LOOKUP(1,0/((成型機資料庫!$F$230:$F$271=J37)*(成型機資料庫!$G$230:$G$271=K37)),成型機資料庫!$I$230:$I$271),0)</f>
        <v>0</v>
      </c>
      <c r="U37" s="483">
        <f>IFERROR(LOOKUP(1,0/((成型機資料庫!$F$230:$F$271=J37)*(成型機資料庫!$G$230:$G$271=K37)),成型機資料庫!$J$230:$J$271),0)</f>
        <v>0</v>
      </c>
      <c r="V37" s="900">
        <f>IFERROR(LOOKUP(1,0/((成型機資料庫!$F$230:$F$271=J37)*(成型機資料庫!$G$230:$G$271=K37)),成型機資料庫!$L$230:$L$271),0)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38"/>
      <c r="AF37" s="438"/>
    </row>
    <row r="38" spans="1:32" s="433" customFormat="1" ht="15.75">
      <c r="A38" s="434">
        <v>113</v>
      </c>
      <c r="B38" s="434"/>
      <c r="C38" s="434">
        <v>20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IFERROR(LOOKUP(1,0/((成型機資料庫!$F$230:$F$271=J38)*(成型機資料庫!$G$230:$G$271=K38)),成型機資料庫!$K$230:$K$271),0)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IFERROR(LOOKUP(1,0/((成型機資料庫!$F$230:$F$271=J38)*(成型機資料庫!$G$230:$G$271=K38)),成型機資料庫!$I$230:$I$271),0)</f>
        <v>0</v>
      </c>
      <c r="U38" s="483">
        <f>IFERROR(LOOKUP(1,0/((成型機資料庫!$F$230:$F$271=J38)*(成型機資料庫!$G$230:$G$271=K38)),成型機資料庫!$J$230:$J$271),0)</f>
        <v>0</v>
      </c>
      <c r="V38" s="900">
        <f>IFERROR(LOOKUP(1,0/((成型機資料庫!$F$230:$F$271=J38)*(成型機資料庫!$G$230:$G$271=K38)),成型機資料庫!$L$230:$L$271),0)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434"/>
      <c r="C39" s="434">
        <v>21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IFERROR(LOOKUP(1,0/((成型機資料庫!$F$230:$F$271=J39)*(成型機資料庫!$G$230:$G$271=K39)),成型機資料庫!$K$230:$K$271),0)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IFERROR(LOOKUP(1,0/((成型機資料庫!$F$230:$F$271=J39)*(成型機資料庫!$G$230:$G$271=K39)),成型機資料庫!$I$230:$I$271),0)</f>
        <v>0</v>
      </c>
      <c r="U39" s="483">
        <f>IFERROR(LOOKUP(1,0/((成型機資料庫!$F$230:$F$271=J39)*(成型機資料庫!$G$230:$G$271=K39)),成型機資料庫!$J$230:$J$271),0)</f>
        <v>0</v>
      </c>
      <c r="V39" s="900">
        <f>IFERROR(LOOKUP(1,0/((成型機資料庫!$F$230:$F$271=J39)*(成型機資料庫!$G$230:$G$271=K39)),成型機資料庫!$L$230:$L$271),0)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434"/>
      <c r="C40" s="434">
        <v>22</v>
      </c>
      <c r="D40" s="581"/>
      <c r="E40" s="889" t="s">
        <v>0</v>
      </c>
      <c r="F40" s="962" t="s">
        <v>44</v>
      </c>
      <c r="G40" s="927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IFERROR(LOOKUP(1,0/((成型機資料庫!$F$230:$F$271=J40)*(成型機資料庫!$G$230:$G$271=K40)),成型機資料庫!$K$230:$K$271),0)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IFERROR(LOOKUP(1,0/((成型機資料庫!$F$230:$F$271=J40)*(成型機資料庫!$G$230:$G$271=K40)),成型機資料庫!$I$230:$I$271),0)</f>
        <v>0</v>
      </c>
      <c r="U40" s="483">
        <f>IFERROR(LOOKUP(1,0/((成型機資料庫!$F$230:$F$271=J40)*(成型機資料庫!$G$230:$G$271=K40)),成型機資料庫!$J$230:$J$271),0)</f>
        <v>0</v>
      </c>
      <c r="V40" s="900">
        <f>IFERROR(LOOKUP(1,0/((成型機資料庫!$F$230:$F$271=J40)*(成型機資料庫!$G$230:$G$271=K40)),成型機資料庫!$L$230:$L$271),0)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34">
        <v>113</v>
      </c>
      <c r="B41" s="434"/>
      <c r="C41" s="434">
        <v>23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IFERROR(LOOKUP(1,0/((成型機資料庫!$F$230:$F$271=J41)*(成型機資料庫!$G$230:$G$271=K41)),成型機資料庫!$K$230:$K$271),0)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IFERROR(LOOKUP(1,0/((成型機資料庫!$F$230:$F$271=J41)*(成型機資料庫!$G$230:$G$271=K41)),成型機資料庫!$I$230:$I$271),0)</f>
        <v>0</v>
      </c>
      <c r="U41" s="483">
        <f>IFERROR(LOOKUP(1,0/((成型機資料庫!$F$230:$F$271=J41)*(成型機資料庫!$G$230:$G$271=K41)),成型機資料庫!$J$230:$J$271),0)</f>
        <v>0</v>
      </c>
      <c r="V41" s="900">
        <f>IFERROR(LOOKUP(1,0/((成型機資料庫!$F$230:$F$271=J41)*(成型機資料庫!$G$230:$G$271=K41)),成型機資料庫!$L$230:$L$271),0)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64"/>
      <c r="AF41" s="438"/>
    </row>
    <row r="42" spans="1:32" s="433" customFormat="1" ht="15.75">
      <c r="A42" s="434">
        <v>113</v>
      </c>
      <c r="B42" s="434"/>
      <c r="C42" s="434">
        <v>24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IFERROR(LOOKUP(1,0/((成型機資料庫!$F$230:$F$271=J42)*(成型機資料庫!$G$230:$G$271=K42)),成型機資料庫!$K$230:$K$271),0)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IFERROR(LOOKUP(1,0/((成型機資料庫!$F$230:$F$271=J42)*(成型機資料庫!$G$230:$G$271=K42)),成型機資料庫!$I$230:$I$271),0)</f>
        <v>0</v>
      </c>
      <c r="U42" s="483">
        <f>IFERROR(LOOKUP(1,0/((成型機資料庫!$F$230:$F$271=J42)*(成型機資料庫!$G$230:$G$271=K42)),成型機資料庫!$J$230:$J$271),0)</f>
        <v>0</v>
      </c>
      <c r="V42" s="900">
        <f>IFERROR(LOOKUP(1,0/((成型機資料庫!$F$230:$F$271=J42)*(成型機資料庫!$G$230:$G$271=K42)),成型機資料庫!$L$230:$L$271),0)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34">
        <v>113</v>
      </c>
      <c r="B43" s="434"/>
      <c r="C43" s="434">
        <v>25</v>
      </c>
      <c r="D43" s="581"/>
      <c r="E43" s="889" t="s">
        <v>0</v>
      </c>
      <c r="F43" s="962" t="s">
        <v>44</v>
      </c>
      <c r="G43" s="926"/>
      <c r="H43" s="464"/>
      <c r="I43" s="429"/>
      <c r="J43" s="429"/>
      <c r="K43" s="429"/>
      <c r="L43" s="464"/>
      <c r="M43" s="464"/>
      <c r="N43" s="900">
        <f t="shared" si="5"/>
        <v>0</v>
      </c>
      <c r="O43" s="901">
        <f t="shared" si="0"/>
        <v>0</v>
      </c>
      <c r="P43" s="460"/>
      <c r="Q43" s="438">
        <f>IFERROR(LOOKUP(1,0/((成型機資料庫!$F$230:$F$271=J43)*(成型機資料庫!$G$230:$G$271=K43)),成型機資料庫!$K$230:$K$271),0)</f>
        <v>0</v>
      </c>
      <c r="R43" s="899">
        <f t="shared" si="2"/>
        <v>0</v>
      </c>
      <c r="S43" s="898">
        <f t="shared" si="3"/>
        <v>0</v>
      </c>
      <c r="T43" s="482">
        <f>IFERROR(LOOKUP(1,0/((成型機資料庫!$F$230:$F$271=J43)*(成型機資料庫!$G$230:$G$271=K43)),成型機資料庫!$I$230:$I$271),0)</f>
        <v>0</v>
      </c>
      <c r="U43" s="483">
        <f>IFERROR(LOOKUP(1,0/((成型機資料庫!$F$230:$F$271=J43)*(成型機資料庫!$G$230:$G$271=K43)),成型機資料庫!$J$230:$J$271),0)</f>
        <v>0</v>
      </c>
      <c r="V43" s="900">
        <f>IFERROR(LOOKUP(1,0/((成型機資料庫!$F$230:$F$271=J43)*(成型機資料庫!$G$230:$G$271=K43)),成型機資料庫!$L$230:$L$271),0)</f>
        <v>0</v>
      </c>
      <c r="W43" s="898">
        <f t="shared" si="4"/>
        <v>0</v>
      </c>
      <c r="X43" s="923">
        <f t="shared" si="6"/>
        <v>0</v>
      </c>
      <c r="Y43" s="898">
        <f t="shared" si="7"/>
        <v>0</v>
      </c>
      <c r="Z43" s="923"/>
      <c r="AA43" s="478">
        <f t="shared" si="1"/>
        <v>0</v>
      </c>
      <c r="AB43" s="438"/>
      <c r="AC43" s="482"/>
      <c r="AD43" s="464"/>
      <c r="AE43" s="464"/>
      <c r="AF43" s="438"/>
    </row>
    <row r="44" spans="1:32" s="433" customFormat="1" ht="15.75">
      <c r="A44" s="434">
        <v>113</v>
      </c>
      <c r="B44" s="434"/>
      <c r="C44" s="434">
        <v>26</v>
      </c>
      <c r="D44" s="581"/>
      <c r="E44" s="889" t="s">
        <v>0</v>
      </c>
      <c r="F44" s="962" t="s">
        <v>44</v>
      </c>
      <c r="G44" s="926"/>
      <c r="H44" s="464"/>
      <c r="I44" s="429"/>
      <c r="J44" s="429"/>
      <c r="K44" s="429"/>
      <c r="L44" s="464"/>
      <c r="M44" s="464"/>
      <c r="N44" s="900">
        <f t="shared" si="5"/>
        <v>0</v>
      </c>
      <c r="O44" s="901">
        <f t="shared" si="0"/>
        <v>0</v>
      </c>
      <c r="P44" s="460"/>
      <c r="Q44" s="438">
        <f>IFERROR(LOOKUP(1,0/((成型機資料庫!$F$230:$F$271=J44)*(成型機資料庫!$G$230:$G$271=K44)),成型機資料庫!$K$230:$K$271),0)</f>
        <v>0</v>
      </c>
      <c r="R44" s="899">
        <f t="shared" si="2"/>
        <v>0</v>
      </c>
      <c r="S44" s="898">
        <f t="shared" si="3"/>
        <v>0</v>
      </c>
      <c r="T44" s="482">
        <f>IFERROR(LOOKUP(1,0/((成型機資料庫!$F$230:$F$271=J44)*(成型機資料庫!$G$230:$G$271=K44)),成型機資料庫!$I$230:$I$271),0)</f>
        <v>0</v>
      </c>
      <c r="U44" s="483">
        <f>IFERROR(LOOKUP(1,0/((成型機資料庫!$F$230:$F$271=J44)*(成型機資料庫!$G$230:$G$271=K44)),成型機資料庫!$J$230:$J$271),0)</f>
        <v>0</v>
      </c>
      <c r="V44" s="900">
        <f>IFERROR(LOOKUP(1,0/((成型機資料庫!$F$230:$F$271=J44)*(成型機資料庫!$G$230:$G$271=K44)),成型機資料庫!$L$230:$L$271),0)</f>
        <v>0</v>
      </c>
      <c r="W44" s="898">
        <f t="shared" si="4"/>
        <v>0</v>
      </c>
      <c r="X44" s="923">
        <f t="shared" si="6"/>
        <v>0</v>
      </c>
      <c r="Y44" s="898">
        <f t="shared" si="7"/>
        <v>0</v>
      </c>
      <c r="Z44" s="923"/>
      <c r="AA44" s="478">
        <f t="shared" si="1"/>
        <v>0</v>
      </c>
      <c r="AB44" s="438"/>
      <c r="AC44" s="482"/>
      <c r="AD44" s="438"/>
      <c r="AE44" s="464"/>
      <c r="AF44" s="438"/>
    </row>
    <row r="45" spans="1:32" s="433" customFormat="1" ht="15.75">
      <c r="A45" s="434">
        <v>113</v>
      </c>
      <c r="B45" s="434"/>
      <c r="C45" s="434">
        <v>27</v>
      </c>
      <c r="D45" s="581"/>
      <c r="E45" s="889" t="s">
        <v>0</v>
      </c>
      <c r="F45" s="962" t="s">
        <v>44</v>
      </c>
      <c r="G45" s="926"/>
      <c r="H45" s="464"/>
      <c r="I45" s="429"/>
      <c r="J45" s="429"/>
      <c r="K45" s="429"/>
      <c r="L45" s="464"/>
      <c r="M45" s="464"/>
      <c r="N45" s="900">
        <f t="shared" si="5"/>
        <v>0</v>
      </c>
      <c r="O45" s="901">
        <f t="shared" si="0"/>
        <v>0</v>
      </c>
      <c r="P45" s="460"/>
      <c r="Q45" s="438">
        <f>IFERROR(LOOKUP(1,0/((成型機資料庫!$F$230:$F$271=J45)*(成型機資料庫!$G$230:$G$271=K45)),成型機資料庫!$K$230:$K$271),0)</f>
        <v>0</v>
      </c>
      <c r="R45" s="899">
        <f t="shared" si="2"/>
        <v>0</v>
      </c>
      <c r="S45" s="898">
        <f t="shared" si="3"/>
        <v>0</v>
      </c>
      <c r="T45" s="482">
        <f>IFERROR(LOOKUP(1,0/((成型機資料庫!$F$230:$F$271=J45)*(成型機資料庫!$G$230:$G$271=K45)),成型機資料庫!$I$230:$I$271),0)</f>
        <v>0</v>
      </c>
      <c r="U45" s="483">
        <f>IFERROR(LOOKUP(1,0/((成型機資料庫!$F$230:$F$271=J45)*(成型機資料庫!$G$230:$G$271=K45)),成型機資料庫!$J$230:$J$271),0)</f>
        <v>0</v>
      </c>
      <c r="V45" s="900">
        <f>IFERROR(LOOKUP(1,0/((成型機資料庫!$F$230:$F$271=J45)*(成型機資料庫!$G$230:$G$271=K45)),成型機資料庫!$L$230:$L$271),0)</f>
        <v>0</v>
      </c>
      <c r="W45" s="898">
        <f t="shared" si="4"/>
        <v>0</v>
      </c>
      <c r="X45" s="923">
        <f t="shared" si="6"/>
        <v>0</v>
      </c>
      <c r="Y45" s="898">
        <f t="shared" si="7"/>
        <v>0</v>
      </c>
      <c r="Z45" s="923"/>
      <c r="AA45" s="478">
        <f t="shared" si="1"/>
        <v>0</v>
      </c>
      <c r="AB45" s="438"/>
      <c r="AC45" s="482"/>
      <c r="AD45" s="464"/>
      <c r="AE45" s="438"/>
      <c r="AF45" s="438"/>
    </row>
    <row r="46" spans="1:32" s="433" customFormat="1" ht="15.75">
      <c r="A46" s="434">
        <v>113</v>
      </c>
      <c r="B46" s="581"/>
      <c r="C46" s="581">
        <v>28</v>
      </c>
      <c r="D46" s="581"/>
      <c r="E46" s="889" t="s">
        <v>0</v>
      </c>
      <c r="F46" s="962" t="s">
        <v>44</v>
      </c>
      <c r="G46" s="926"/>
      <c r="H46" s="464"/>
      <c r="I46" s="429"/>
      <c r="J46" s="429"/>
      <c r="K46" s="429"/>
      <c r="L46" s="464"/>
      <c r="M46" s="464"/>
      <c r="N46" s="900">
        <f t="shared" si="5"/>
        <v>0</v>
      </c>
      <c r="O46" s="901">
        <f t="shared" si="0"/>
        <v>0</v>
      </c>
      <c r="P46" s="460"/>
      <c r="Q46" s="438">
        <f>IFERROR(LOOKUP(1,0/((成型機資料庫!$F$230:$F$271=J46)*(成型機資料庫!$G$230:$G$271=K46)),成型機資料庫!$K$230:$K$271),0)</f>
        <v>0</v>
      </c>
      <c r="R46" s="899">
        <f t="shared" si="2"/>
        <v>0</v>
      </c>
      <c r="S46" s="898">
        <f t="shared" si="3"/>
        <v>0</v>
      </c>
      <c r="T46" s="482">
        <f>IFERROR(LOOKUP(1,0/((成型機資料庫!$F$230:$F$271=J46)*(成型機資料庫!$G$230:$G$271=K46)),成型機資料庫!$I$230:$I$271),0)</f>
        <v>0</v>
      </c>
      <c r="U46" s="483">
        <f>IFERROR(LOOKUP(1,0/((成型機資料庫!$F$230:$F$271=J46)*(成型機資料庫!$G$230:$G$271=K46)),成型機資料庫!$J$230:$J$271),0)</f>
        <v>0</v>
      </c>
      <c r="V46" s="900">
        <f>IFERROR(LOOKUP(1,0/((成型機資料庫!$F$230:$F$271=J46)*(成型機資料庫!$G$230:$G$271=K46)),成型機資料庫!$L$230:$L$271),0)</f>
        <v>0</v>
      </c>
      <c r="W46" s="898">
        <f t="shared" si="4"/>
        <v>0</v>
      </c>
      <c r="X46" s="923">
        <f t="shared" si="6"/>
        <v>0</v>
      </c>
      <c r="Y46" s="898">
        <f t="shared" si="7"/>
        <v>0</v>
      </c>
      <c r="Z46" s="923"/>
      <c r="AA46" s="478">
        <f t="shared" si="1"/>
        <v>0</v>
      </c>
      <c r="AB46" s="438"/>
      <c r="AC46" s="482"/>
      <c r="AD46" s="464"/>
      <c r="AE46" s="438"/>
      <c r="AF46" s="438"/>
    </row>
    <row r="47" spans="1:32" s="433" customFormat="1" ht="15.75">
      <c r="A47" s="434">
        <v>113</v>
      </c>
      <c r="B47" s="581"/>
      <c r="C47" s="581">
        <v>29</v>
      </c>
      <c r="D47" s="581"/>
      <c r="E47" s="889" t="s">
        <v>0</v>
      </c>
      <c r="F47" s="962" t="s">
        <v>44</v>
      </c>
      <c r="G47" s="926"/>
      <c r="H47" s="464"/>
      <c r="I47" s="429"/>
      <c r="J47" s="429"/>
      <c r="K47" s="429"/>
      <c r="L47" s="464"/>
      <c r="M47" s="464"/>
      <c r="N47" s="900">
        <f t="shared" si="5"/>
        <v>0</v>
      </c>
      <c r="O47" s="901">
        <f t="shared" si="0"/>
        <v>0</v>
      </c>
      <c r="P47" s="460"/>
      <c r="Q47" s="438">
        <f>IFERROR(LOOKUP(1,0/((成型機資料庫!$F$230:$F$271=J47)*(成型機資料庫!$G$230:$G$271=K47)),成型機資料庫!$K$230:$K$271),0)</f>
        <v>0</v>
      </c>
      <c r="R47" s="899">
        <f t="shared" si="2"/>
        <v>0</v>
      </c>
      <c r="S47" s="898">
        <f t="shared" si="3"/>
        <v>0</v>
      </c>
      <c r="T47" s="482">
        <f>IFERROR(LOOKUP(1,0/((成型機資料庫!$F$230:$F$271=J47)*(成型機資料庫!$G$230:$G$271=K47)),成型機資料庫!$I$230:$I$271),0)</f>
        <v>0</v>
      </c>
      <c r="U47" s="483">
        <f>IFERROR(LOOKUP(1,0/((成型機資料庫!$F$230:$F$271=J47)*(成型機資料庫!$G$230:$G$271=K47)),成型機資料庫!$J$230:$J$271),0)</f>
        <v>0</v>
      </c>
      <c r="V47" s="900">
        <f>IFERROR(LOOKUP(1,0/((成型機資料庫!$F$230:$F$271=J47)*(成型機資料庫!$G$230:$G$271=K47)),成型機資料庫!$L$230:$L$271),0)</f>
        <v>0</v>
      </c>
      <c r="W47" s="898">
        <f t="shared" si="4"/>
        <v>0</v>
      </c>
      <c r="X47" s="923">
        <f t="shared" si="6"/>
        <v>0</v>
      </c>
      <c r="Y47" s="898">
        <f t="shared" si="7"/>
        <v>0</v>
      </c>
      <c r="Z47" s="923"/>
      <c r="AA47" s="478">
        <f t="shared" si="1"/>
        <v>0</v>
      </c>
      <c r="AB47" s="438"/>
      <c r="AC47" s="482"/>
      <c r="AD47" s="464"/>
      <c r="AE47" s="464"/>
      <c r="AF47" s="438"/>
    </row>
    <row r="48" spans="1:32" s="433" customFormat="1" ht="15.75">
      <c r="A48" s="434">
        <v>113</v>
      </c>
      <c r="B48" s="581"/>
      <c r="C48" s="581">
        <v>30</v>
      </c>
      <c r="D48" s="581"/>
      <c r="E48" s="889" t="s">
        <v>0</v>
      </c>
      <c r="F48" s="962" t="s">
        <v>44</v>
      </c>
      <c r="G48" s="926"/>
      <c r="H48" s="464"/>
      <c r="I48" s="429"/>
      <c r="J48" s="429"/>
      <c r="K48" s="429"/>
      <c r="L48" s="464"/>
      <c r="M48" s="464"/>
      <c r="N48" s="900">
        <f t="shared" si="5"/>
        <v>0</v>
      </c>
      <c r="O48" s="901">
        <f t="shared" si="0"/>
        <v>0</v>
      </c>
      <c r="P48" s="460"/>
      <c r="Q48" s="438">
        <f>IFERROR(LOOKUP(1,0/((成型機資料庫!$F$230:$F$271=J48)*(成型機資料庫!$G$230:$G$271=K48)),成型機資料庫!$K$230:$K$271),0)</f>
        <v>0</v>
      </c>
      <c r="R48" s="899">
        <f t="shared" si="2"/>
        <v>0</v>
      </c>
      <c r="S48" s="898">
        <f t="shared" si="3"/>
        <v>0</v>
      </c>
      <c r="T48" s="482">
        <f>IFERROR(LOOKUP(1,0/((成型機資料庫!$F$230:$F$271=J48)*(成型機資料庫!$G$230:$G$271=K48)),成型機資料庫!$I$230:$I$271),0)</f>
        <v>0</v>
      </c>
      <c r="U48" s="483">
        <f>IFERROR(LOOKUP(1,0/((成型機資料庫!$F$230:$F$271=J48)*(成型機資料庫!$G$230:$G$271=K48)),成型機資料庫!$J$230:$J$271),0)</f>
        <v>0</v>
      </c>
      <c r="V48" s="900">
        <f>IFERROR(LOOKUP(1,0/((成型機資料庫!$F$230:$F$271=J48)*(成型機資料庫!$G$230:$G$271=K48)),成型機資料庫!$L$230:$L$271),0)</f>
        <v>0</v>
      </c>
      <c r="W48" s="898">
        <f t="shared" si="4"/>
        <v>0</v>
      </c>
      <c r="X48" s="923">
        <f t="shared" si="6"/>
        <v>0</v>
      </c>
      <c r="Y48" s="898">
        <f t="shared" si="7"/>
        <v>0</v>
      </c>
      <c r="Z48" s="923"/>
      <c r="AA48" s="478">
        <f t="shared" si="1"/>
        <v>0</v>
      </c>
      <c r="AB48" s="438"/>
      <c r="AC48" s="482"/>
      <c r="AD48" s="464"/>
      <c r="AE48" s="438"/>
      <c r="AF48" s="438"/>
    </row>
    <row r="49" spans="1:56" s="433" customFormat="1" ht="15.75">
      <c r="A49" s="446"/>
      <c r="B49" s="456"/>
      <c r="C49" s="456"/>
      <c r="D49" s="456"/>
      <c r="E49" s="456"/>
      <c r="F49" s="448"/>
      <c r="G49" s="951"/>
      <c r="H49" s="452"/>
      <c r="I49" s="430"/>
      <c r="J49" s="430"/>
      <c r="K49" s="430"/>
      <c r="L49" s="452"/>
      <c r="M49" s="452"/>
      <c r="N49" s="945"/>
      <c r="O49" s="946"/>
      <c r="P49" s="868"/>
      <c r="Q49" s="467"/>
      <c r="R49" s="948"/>
      <c r="S49" s="936"/>
      <c r="T49" s="936"/>
      <c r="U49" s="936"/>
      <c r="V49" s="945"/>
      <c r="W49" s="936"/>
      <c r="X49" s="947"/>
      <c r="Y49" s="936"/>
      <c r="Z49" s="947"/>
      <c r="AA49" s="488"/>
      <c r="AB49" s="439"/>
      <c r="AC49" s="471"/>
      <c r="AD49" s="452"/>
      <c r="AE49" s="439"/>
      <c r="AF49" s="439"/>
    </row>
    <row r="50" spans="1:56" s="433" customFormat="1" ht="15.75">
      <c r="A50" s="446"/>
      <c r="B50" s="456"/>
      <c r="C50" s="456"/>
      <c r="D50" s="456"/>
      <c r="E50" s="456"/>
      <c r="F50" s="448"/>
      <c r="G50" s="951"/>
      <c r="H50" s="452"/>
      <c r="I50" s="430"/>
      <c r="J50" s="430"/>
      <c r="K50" s="430"/>
      <c r="L50" s="452"/>
      <c r="M50" s="452"/>
      <c r="N50" s="945"/>
      <c r="O50" s="946"/>
      <c r="P50" s="868"/>
      <c r="Q50" s="467"/>
      <c r="R50" s="948"/>
      <c r="S50" s="936"/>
      <c r="T50" s="936"/>
      <c r="U50" s="936"/>
      <c r="V50" s="945"/>
      <c r="W50" s="936"/>
      <c r="X50" s="947"/>
      <c r="Y50" s="936"/>
      <c r="Z50" s="947"/>
      <c r="AA50" s="488"/>
      <c r="AB50" s="439"/>
      <c r="AC50" s="471"/>
      <c r="AD50" s="452"/>
      <c r="AE50" s="439"/>
      <c r="AF50" s="439"/>
    </row>
    <row r="51" spans="1:56" s="433" customFormat="1" thickBot="1">
      <c r="A51" s="446"/>
      <c r="B51" s="446"/>
      <c r="C51" s="446"/>
      <c r="D51" s="446"/>
      <c r="E51" s="446"/>
      <c r="F51" s="448"/>
      <c r="G51" s="448"/>
      <c r="H51" s="430"/>
      <c r="I51" s="430"/>
      <c r="J51" s="430"/>
      <c r="K51" s="430"/>
      <c r="L51" s="439"/>
      <c r="M51" s="452"/>
      <c r="N51" s="452"/>
      <c r="O51" s="457"/>
      <c r="P51" s="466"/>
      <c r="Q51" s="467"/>
      <c r="R51" s="486"/>
      <c r="S51" s="457"/>
      <c r="T51" s="457"/>
      <c r="U51" s="457"/>
      <c r="V51" s="458"/>
      <c r="W51" s="487">
        <f>SUM(W19:W48)</f>
        <v>0</v>
      </c>
      <c r="X51" s="487"/>
      <c r="Y51" s="487"/>
      <c r="Z51" s="487"/>
      <c r="AA51" s="488"/>
      <c r="AB51" s="489"/>
      <c r="AC51" s="489"/>
      <c r="AD51" s="469" t="s">
        <v>46</v>
      </c>
      <c r="AE51" s="439"/>
      <c r="AF51" s="439"/>
    </row>
    <row r="52" spans="1:56" s="469" customFormat="1" ht="31.5">
      <c r="A52" s="479"/>
      <c r="B52" s="479"/>
      <c r="C52" s="479"/>
      <c r="D52" s="479"/>
      <c r="E52" s="479"/>
      <c r="F52" s="452"/>
      <c r="G52" s="524" t="s">
        <v>503</v>
      </c>
      <c r="H52" s="517"/>
      <c r="I52" s="518"/>
      <c r="L52" s="1842" t="s">
        <v>1348</v>
      </c>
      <c r="M52" s="525" t="s">
        <v>1294</v>
      </c>
      <c r="N52" s="525" t="s">
        <v>1295</v>
      </c>
      <c r="O52" s="526" t="s">
        <v>458</v>
      </c>
      <c r="P52" s="520"/>
      <c r="Q52" s="521"/>
      <c r="R52" s="524" t="s">
        <v>504</v>
      </c>
      <c r="S52" s="524" t="s">
        <v>455</v>
      </c>
      <c r="T52" s="521"/>
      <c r="U52" s="521"/>
      <c r="V52" s="524" t="s">
        <v>1293</v>
      </c>
      <c r="W52" s="524" t="s">
        <v>459</v>
      </c>
      <c r="X52" s="521"/>
      <c r="Y52" s="524" t="s">
        <v>1345</v>
      </c>
      <c r="Z52" s="524" t="s">
        <v>1350</v>
      </c>
      <c r="AA52" s="524" t="s">
        <v>1351</v>
      </c>
      <c r="AB52" s="524" t="s">
        <v>1353</v>
      </c>
      <c r="AC52" s="524" t="s">
        <v>1352</v>
      </c>
      <c r="AD52" s="469" t="s">
        <v>253</v>
      </c>
      <c r="AE52" s="452"/>
      <c r="AF52" s="452"/>
    </row>
    <row r="53" spans="1:56" thickBot="1">
      <c r="G53" s="522">
        <f>SUM(G19:G48)</f>
        <v>0</v>
      </c>
      <c r="I53" s="431"/>
      <c r="J53" s="518"/>
      <c r="K53" s="518"/>
      <c r="L53" s="1843"/>
      <c r="M53" s="522">
        <f>SUM(M19:M48)</f>
        <v>0</v>
      </c>
      <c r="N53" s="522">
        <f>SUM(N19:N48)</f>
        <v>0</v>
      </c>
      <c r="O53" s="902">
        <f>SUM(O19:O48)</f>
        <v>0</v>
      </c>
      <c r="P53" s="470"/>
      <c r="R53" s="924">
        <f>SUM(R19:R48)</f>
        <v>0</v>
      </c>
      <c r="S53" s="897" t="e">
        <f>(G53-R53)/G53</f>
        <v>#DIV/0!</v>
      </c>
      <c r="T53" s="446"/>
      <c r="U53" s="446"/>
      <c r="V53" s="686" t="e">
        <f>N53/W53</f>
        <v>#DIV/0!</v>
      </c>
      <c r="W53" s="516" t="e">
        <f>W51/Y53</f>
        <v>#DIV/0!</v>
      </c>
      <c r="X53" s="446"/>
      <c r="Y53" s="516"/>
      <c r="Z53" s="958">
        <f>SUM(Z19:Z48)</f>
        <v>0</v>
      </c>
      <c r="AA53" s="516">
        <f>SUM(AA19:AA48)</f>
        <v>0</v>
      </c>
      <c r="AB53" s="516">
        <f>Z53-AA53</f>
        <v>0</v>
      </c>
      <c r="AC53" s="896" t="e">
        <f>AA53/Z53</f>
        <v>#DIV/0!</v>
      </c>
    </row>
    <row r="54" spans="1:56">
      <c r="G54" s="453"/>
      <c r="M54" s="453"/>
      <c r="N54" s="453"/>
      <c r="O54"/>
      <c r="P54" s="470"/>
      <c r="R54"/>
      <c r="S54"/>
      <c r="T54"/>
      <c r="U54"/>
    </row>
    <row r="55" spans="1:56" ht="17.25" thickBot="1"/>
    <row r="56" spans="1:56" ht="15.75">
      <c r="A56" s="1824" t="s">
        <v>668</v>
      </c>
      <c r="B56" s="1824" t="s">
        <v>330</v>
      </c>
      <c r="C56" s="1826" t="s">
        <v>311</v>
      </c>
      <c r="D56" s="1828" t="s">
        <v>331</v>
      </c>
      <c r="E56" s="1828" t="s">
        <v>332</v>
      </c>
      <c r="F56" s="1830" t="s">
        <v>194</v>
      </c>
      <c r="G56" s="1830" t="s">
        <v>386</v>
      </c>
      <c r="H56" s="1832" t="s">
        <v>360</v>
      </c>
      <c r="I56" s="1832" t="s">
        <v>361</v>
      </c>
      <c r="J56" s="1832" t="s">
        <v>510</v>
      </c>
      <c r="K56" s="1832" t="s">
        <v>1320</v>
      </c>
      <c r="L56" s="1828" t="s">
        <v>362</v>
      </c>
      <c r="M56" s="1828" t="s">
        <v>514</v>
      </c>
      <c r="N56" s="1856" t="s">
        <v>511</v>
      </c>
      <c r="O56" s="1858" t="s">
        <v>457</v>
      </c>
      <c r="P56" s="1836" t="s">
        <v>379</v>
      </c>
      <c r="Q56" s="1828" t="s">
        <v>627</v>
      </c>
      <c r="R56" s="1852" t="s">
        <v>381</v>
      </c>
      <c r="S56" s="1854" t="s">
        <v>435</v>
      </c>
      <c r="T56" s="1834" t="s">
        <v>365</v>
      </c>
      <c r="U56" s="1836" t="s">
        <v>366</v>
      </c>
      <c r="V56" s="1844" t="s">
        <v>1286</v>
      </c>
      <c r="W56" s="1846" t="s">
        <v>201</v>
      </c>
      <c r="X56" s="1846" t="s">
        <v>1318</v>
      </c>
      <c r="Y56" s="1846" t="s">
        <v>1319</v>
      </c>
      <c r="Z56" s="1849" t="s">
        <v>1285</v>
      </c>
      <c r="AA56" s="1849" t="s">
        <v>339</v>
      </c>
      <c r="AB56" s="1860" t="s">
        <v>340</v>
      </c>
      <c r="AC56" s="1861"/>
      <c r="AD56" s="1862" t="s">
        <v>371</v>
      </c>
      <c r="AE56" s="1862" t="s">
        <v>383</v>
      </c>
      <c r="AF56" s="1840" t="s">
        <v>29</v>
      </c>
    </row>
    <row r="57" spans="1:56" s="447" customFormat="1" thickBot="1">
      <c r="A57" s="1825"/>
      <c r="B57" s="1825"/>
      <c r="C57" s="1827"/>
      <c r="D57" s="1829"/>
      <c r="E57" s="1829"/>
      <c r="F57" s="1831"/>
      <c r="G57" s="1831"/>
      <c r="H57" s="1833"/>
      <c r="I57" s="1833"/>
      <c r="J57" s="1833"/>
      <c r="K57" s="1838"/>
      <c r="L57" s="1829"/>
      <c r="M57" s="1839"/>
      <c r="N57" s="1857"/>
      <c r="O57" s="1859"/>
      <c r="P57" s="1837"/>
      <c r="Q57" s="1829"/>
      <c r="R57" s="1853"/>
      <c r="S57" s="1855"/>
      <c r="T57" s="1835"/>
      <c r="U57" s="1837"/>
      <c r="V57" s="1845"/>
      <c r="W57" s="1847"/>
      <c r="X57" s="1848"/>
      <c r="Y57" s="1848"/>
      <c r="Z57" s="1850"/>
      <c r="AA57" s="1851"/>
      <c r="AB57" s="491" t="s">
        <v>350</v>
      </c>
      <c r="AC57" s="491" t="s">
        <v>351</v>
      </c>
      <c r="AD57" s="1863"/>
      <c r="AE57" s="1863"/>
      <c r="AF57" s="1841"/>
      <c r="AG57" s="446"/>
      <c r="AH57" s="446"/>
      <c r="AU57" s="446"/>
      <c r="AV57" s="446"/>
      <c r="AW57" s="446"/>
      <c r="AX57" s="446"/>
      <c r="AY57" s="446"/>
      <c r="AZ57" s="446"/>
      <c r="BA57" s="446"/>
      <c r="BB57" s="446"/>
      <c r="BC57" s="446"/>
      <c r="BD57" s="446"/>
    </row>
    <row r="58" spans="1:56" s="433" customFormat="1" ht="15.75">
      <c r="A58" s="434">
        <v>113</v>
      </c>
      <c r="B58" s="434"/>
      <c r="C58" s="434">
        <v>1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>M58*Q58</f>
        <v>0</v>
      </c>
      <c r="O58" s="901">
        <f t="shared" ref="O58:O87" si="8">L58*M58</f>
        <v>0</v>
      </c>
      <c r="P58" s="460"/>
      <c r="Q58" s="438">
        <f>IFERROR(LOOKUP(1,0/((成型機資料庫!$F$230:$F$271=J58)*(成型機資料庫!$G$230:$G$271=K58)),成型機資料庫!$K$230:$K$271),0)</f>
        <v>0</v>
      </c>
      <c r="R58" s="899">
        <f t="shared" ref="R58:R87" si="9">M58*Q58*P58/1000</f>
        <v>0</v>
      </c>
      <c r="S58" s="898">
        <f t="shared" ref="S58:S87" si="10">IFERROR((G58-R58)/G58,0)</f>
        <v>0</v>
      </c>
      <c r="T58" s="482">
        <f>IFERROR(LOOKUP(1,0/((成型機資料庫!$F$230:$F$271=J58)*(成型機資料庫!$G$230:$G$271=K58)),成型機資料庫!$I$230:$I$271),0)</f>
        <v>0</v>
      </c>
      <c r="U58" s="483">
        <f>IFERROR(LOOKUP(1,0/((成型機資料庫!$F$230:$F$271=J58)*(成型機資料庫!$G$230:$G$271=K58)),成型機資料庫!$J$230:$J$271),0)</f>
        <v>0</v>
      </c>
      <c r="V58" s="900">
        <f>IFERROR(LOOKUP(1,0/((成型機資料庫!$F$230:$F$271=J58)*(成型機資料庫!$G$230:$G$271=K58)),成型機資料庫!$L$230:$L$271),0)</f>
        <v>0</v>
      </c>
      <c r="W58" s="898">
        <f t="shared" ref="W58:W87" si="11">IFERROR(M58/V58,0)</f>
        <v>0</v>
      </c>
      <c r="X58" s="923">
        <f>IFERROR(T58*U58*60*AA58/Q58,0)</f>
        <v>0</v>
      </c>
      <c r="Y58" s="898">
        <f>IFERROR(M58/X58,0)</f>
        <v>0</v>
      </c>
      <c r="Z58" s="923"/>
      <c r="AA58" s="478">
        <f t="shared" ref="AA58:AA87" si="12">AB58+AC58/60</f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2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ref="N59:N87" si="13">M59*Q59</f>
        <v>0</v>
      </c>
      <c r="O59" s="901">
        <f t="shared" si="8"/>
        <v>0</v>
      </c>
      <c r="P59" s="460"/>
      <c r="Q59" s="438">
        <f>IFERROR(LOOKUP(1,0/((成型機資料庫!$F$230:$F$271=J59)*(成型機資料庫!$G$230:$G$271=K59)),成型機資料庫!$K$230:$K$271),0)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IFERROR(LOOKUP(1,0/((成型機資料庫!$F$230:$F$271=J59)*(成型機資料庫!$G$230:$G$271=K59)),成型機資料庫!$I$230:$I$271),0)</f>
        <v>0</v>
      </c>
      <c r="U59" s="483">
        <f>IFERROR(LOOKUP(1,0/((成型機資料庫!$F$230:$F$271=J59)*(成型機資料庫!$G$230:$G$271=K59)),成型機資料庫!$J$230:$J$271),0)</f>
        <v>0</v>
      </c>
      <c r="V59" s="900">
        <f>IFERROR(LOOKUP(1,0/((成型機資料庫!$F$230:$F$271=J59)*(成型機資料庫!$G$230:$G$271=K59)),成型機資料庫!$L$230:$L$271),0)</f>
        <v>0</v>
      </c>
      <c r="W59" s="898">
        <f t="shared" si="11"/>
        <v>0</v>
      </c>
      <c r="X59" s="923">
        <f t="shared" ref="X59:X87" si="14">IFERROR(T59*U59*60*AA59/Q59,0)</f>
        <v>0</v>
      </c>
      <c r="Y59" s="898">
        <f t="shared" ref="Y59:Y87" si="15">IFERROR(M59/X59,0)</f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3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IFERROR(LOOKUP(1,0/((成型機資料庫!$F$230:$F$271=J60)*(成型機資料庫!$G$230:$G$271=K60)),成型機資料庫!$K$230:$K$271),0)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IFERROR(LOOKUP(1,0/((成型機資料庫!$F$230:$F$271=J60)*(成型機資料庫!$G$230:$G$271=K60)),成型機資料庫!$I$230:$I$271),0)</f>
        <v>0</v>
      </c>
      <c r="U60" s="483">
        <f>IFERROR(LOOKUP(1,0/((成型機資料庫!$F$230:$F$271=J60)*(成型機資料庫!$G$230:$G$271=K60)),成型機資料庫!$J$230:$J$271),0)</f>
        <v>0</v>
      </c>
      <c r="V60" s="900">
        <f>IFERROR(LOOKUP(1,0/((成型機資料庫!$F$230:$F$271=J60)*(成型機資料庫!$G$230:$G$271=K60)),成型機資料庫!$L$230:$L$271),0)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38"/>
      <c r="AE60" s="438"/>
      <c r="AF60" s="438"/>
    </row>
    <row r="61" spans="1:56" s="433" customFormat="1" ht="15.75">
      <c r="A61" s="434">
        <v>113</v>
      </c>
      <c r="B61" s="581"/>
      <c r="C61" s="581">
        <v>4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IFERROR(LOOKUP(1,0/((成型機資料庫!$F$230:$F$271=J61)*(成型機資料庫!$G$230:$G$271=K61)),成型機資料庫!$K$230:$K$271),0)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IFERROR(LOOKUP(1,0/((成型機資料庫!$F$230:$F$271=J61)*(成型機資料庫!$G$230:$G$271=K61)),成型機資料庫!$I$230:$I$271),0)</f>
        <v>0</v>
      </c>
      <c r="U61" s="483">
        <f>IFERROR(LOOKUP(1,0/((成型機資料庫!$F$230:$F$271=J61)*(成型機資料庫!$G$230:$G$271=K61)),成型機資料庫!$J$230:$J$271),0)</f>
        <v>0</v>
      </c>
      <c r="V61" s="900">
        <f>IFERROR(LOOKUP(1,0/((成型機資料庫!$F$230:$F$271=J61)*(成型機資料庫!$G$230:$G$271=K61)),成型機資料庫!$L$230:$L$271),0)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38"/>
      <c r="AE61" s="464"/>
      <c r="AF61" s="438"/>
    </row>
    <row r="62" spans="1:56" s="433" customFormat="1" ht="15.75">
      <c r="A62" s="434">
        <v>113</v>
      </c>
      <c r="B62" s="581"/>
      <c r="C62" s="581">
        <v>5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IFERROR(LOOKUP(1,0/((成型機資料庫!$F$230:$F$271=J62)*(成型機資料庫!$G$230:$G$271=K62)),成型機資料庫!$K$230:$K$271),0)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IFERROR(LOOKUP(1,0/((成型機資料庫!$F$230:$F$271=J62)*(成型機資料庫!$G$230:$G$271=K62)),成型機資料庫!$I$230:$I$271),0)</f>
        <v>0</v>
      </c>
      <c r="U62" s="483">
        <f>IFERROR(LOOKUP(1,0/((成型機資料庫!$F$230:$F$271=J62)*(成型機資料庫!$G$230:$G$271=K62)),成型機資料庫!$J$230:$J$271),0)</f>
        <v>0</v>
      </c>
      <c r="V62" s="900">
        <f>IFERROR(LOOKUP(1,0/((成型機資料庫!$F$230:$F$271=J62)*(成型機資料庫!$G$230:$G$271=K62)),成型機資料庫!$L$230:$L$271),0)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38"/>
      <c r="AE62" s="438"/>
      <c r="AF62" s="438"/>
    </row>
    <row r="63" spans="1:56" s="433" customFormat="1" ht="15.75">
      <c r="A63" s="434">
        <v>113</v>
      </c>
      <c r="B63" s="581"/>
      <c r="C63" s="581">
        <v>6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IFERROR(LOOKUP(1,0/((成型機資料庫!$F$230:$F$271=J63)*(成型機資料庫!$G$230:$G$271=K63)),成型機資料庫!$K$230:$K$271),0)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IFERROR(LOOKUP(1,0/((成型機資料庫!$F$230:$F$271=J63)*(成型機資料庫!$G$230:$G$271=K63)),成型機資料庫!$I$230:$I$271),0)</f>
        <v>0</v>
      </c>
      <c r="U63" s="483">
        <f>IFERROR(LOOKUP(1,0/((成型機資料庫!$F$230:$F$271=J63)*(成型機資料庫!$G$230:$G$271=K63)),成型機資料庫!$J$230:$J$271),0)</f>
        <v>0</v>
      </c>
      <c r="V63" s="900">
        <f>IFERROR(LOOKUP(1,0/((成型機資料庫!$F$230:$F$271=J63)*(成型機資料庫!$G$230:$G$271=K63)),成型機資料庫!$L$230:$L$271),0)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879"/>
      <c r="AE63" s="438"/>
      <c r="AF63" s="438"/>
    </row>
    <row r="64" spans="1:56" s="433" customFormat="1" ht="15.75">
      <c r="A64" s="434">
        <v>113</v>
      </c>
      <c r="B64" s="581"/>
      <c r="C64" s="581">
        <v>7</v>
      </c>
      <c r="D64" s="581"/>
      <c r="E64" s="581" t="s">
        <v>43</v>
      </c>
      <c r="F64" s="436" t="s">
        <v>44</v>
      </c>
      <c r="G64" s="927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IFERROR(LOOKUP(1,0/((成型機資料庫!$F$230:$F$271=J64)*(成型機資料庫!$G$230:$G$271=K64)),成型機資料庫!$K$230:$K$271),0)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IFERROR(LOOKUP(1,0/((成型機資料庫!$F$230:$F$271=J64)*(成型機資料庫!$G$230:$G$271=K64)),成型機資料庫!$I$230:$I$271),0)</f>
        <v>0</v>
      </c>
      <c r="U64" s="483">
        <f>IFERROR(LOOKUP(1,0/((成型機資料庫!$F$230:$F$271=J64)*(成型機資料庫!$G$230:$G$271=K64)),成型機資料庫!$J$230:$J$271),0)</f>
        <v>0</v>
      </c>
      <c r="V64" s="900">
        <f>IFERROR(LOOKUP(1,0/((成型機資料庫!$F$230:$F$271=J64)*(成型機資料庫!$G$230:$G$271=K64)),成型機資料庫!$L$230:$L$271),0)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8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IFERROR(LOOKUP(1,0/((成型機資料庫!$F$230:$F$271=J65)*(成型機資料庫!$G$230:$G$271=K65)),成型機資料庫!$K$230:$K$271),0)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IFERROR(LOOKUP(1,0/((成型機資料庫!$F$230:$F$271=J65)*(成型機資料庫!$G$230:$G$271=K65)),成型機資料庫!$I$230:$I$271),0)</f>
        <v>0</v>
      </c>
      <c r="U65" s="483">
        <f>IFERROR(LOOKUP(1,0/((成型機資料庫!$F$230:$F$271=J65)*(成型機資料庫!$G$230:$G$271=K65)),成型機資料庫!$J$230:$J$271),0)</f>
        <v>0</v>
      </c>
      <c r="V65" s="900">
        <f>IFERROR(LOOKUP(1,0/((成型機資料庫!$F$230:$F$271=J65)*(成型機資料庫!$G$230:$G$271=K65)),成型機資料庫!$L$230:$L$271),0)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581"/>
      <c r="C66" s="581">
        <v>9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IFERROR(LOOKUP(1,0/((成型機資料庫!$F$230:$F$271=J66)*(成型機資料庫!$G$230:$G$271=K66)),成型機資料庫!$K$230:$K$271),0)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IFERROR(LOOKUP(1,0/((成型機資料庫!$F$230:$F$271=J66)*(成型機資料庫!$G$230:$G$271=K66)),成型機資料庫!$I$230:$I$271),0)</f>
        <v>0</v>
      </c>
      <c r="U66" s="483">
        <f>IFERROR(LOOKUP(1,0/((成型機資料庫!$F$230:$F$271=J66)*(成型機資料庫!$G$230:$G$271=K66)),成型機資料庫!$J$230:$J$271),0)</f>
        <v>0</v>
      </c>
      <c r="V66" s="900">
        <f>IFERROR(LOOKUP(1,0/((成型機資料庫!$F$230:$F$271=J66)*(成型機資料庫!$G$230:$G$271=K66)),成型機資料庫!$L$230:$L$271),0)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581"/>
      <c r="C67" s="581">
        <v>10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IFERROR(LOOKUP(1,0/((成型機資料庫!$F$230:$F$271=J67)*(成型機資料庫!$G$230:$G$271=K67)),成型機資料庫!$K$230:$K$271),0)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IFERROR(LOOKUP(1,0/((成型機資料庫!$F$230:$F$271=J67)*(成型機資料庫!$G$230:$G$271=K67)),成型機資料庫!$I$230:$I$271),0)</f>
        <v>0</v>
      </c>
      <c r="U67" s="483">
        <f>IFERROR(LOOKUP(1,0/((成型機資料庫!$F$230:$F$271=J67)*(成型機資料庫!$G$230:$G$271=K67)),成型機資料庫!$J$230:$J$271),0)</f>
        <v>0</v>
      </c>
      <c r="V67" s="900">
        <f>IFERROR(LOOKUP(1,0/((成型機資料庫!$F$230:$F$271=J67)*(成型機資料庫!$G$230:$G$271=K67)),成型機資料庫!$L$230:$L$271),0)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38"/>
      <c r="AE67" s="438"/>
      <c r="AF67" s="438"/>
    </row>
    <row r="68" spans="1:32" s="433" customFormat="1" ht="15.75">
      <c r="A68" s="434">
        <v>113</v>
      </c>
      <c r="B68" s="581"/>
      <c r="C68" s="581">
        <v>11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IFERROR(LOOKUP(1,0/((成型機資料庫!$F$230:$F$271=J68)*(成型機資料庫!$G$230:$G$271=K68)),成型機資料庫!$K$230:$K$271),0)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IFERROR(LOOKUP(1,0/((成型機資料庫!$F$230:$F$271=J68)*(成型機資料庫!$G$230:$G$271=K68)),成型機資料庫!$I$230:$I$271),0)</f>
        <v>0</v>
      </c>
      <c r="U68" s="483">
        <f>IFERROR(LOOKUP(1,0/((成型機資料庫!$F$230:$F$271=J68)*(成型機資料庫!$G$230:$G$271=K68)),成型機資料庫!$J$230:$J$271),0)</f>
        <v>0</v>
      </c>
      <c r="V68" s="900">
        <f>IFERROR(LOOKUP(1,0/((成型機資料庫!$F$230:$F$271=J68)*(成型機資料庫!$G$230:$G$271=K68)),成型機資料庫!$L$230:$L$271),0)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581"/>
      <c r="C69" s="581">
        <v>12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IFERROR(LOOKUP(1,0/((成型機資料庫!$F$230:$F$271=J69)*(成型機資料庫!$G$230:$G$271=K69)),成型機資料庫!$K$230:$K$271),0)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IFERROR(LOOKUP(1,0/((成型機資料庫!$F$230:$F$271=J69)*(成型機資料庫!$G$230:$G$271=K69)),成型機資料庫!$I$230:$I$271),0)</f>
        <v>0</v>
      </c>
      <c r="U69" s="483">
        <f>IFERROR(LOOKUP(1,0/((成型機資料庫!$F$230:$F$271=J69)*(成型機資料庫!$G$230:$G$271=K69)),成型機資料庫!$J$230:$J$271),0)</f>
        <v>0</v>
      </c>
      <c r="V69" s="900">
        <f>IFERROR(LOOKUP(1,0/((成型機資料庫!$F$230:$F$271=J69)*(成型機資料庫!$G$230:$G$271=K69)),成型機資料庫!$L$230:$L$271),0)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38"/>
      <c r="AE69" s="438"/>
      <c r="AF69" s="438"/>
    </row>
    <row r="70" spans="1:32" s="433" customFormat="1" ht="15.75">
      <c r="A70" s="434">
        <v>113</v>
      </c>
      <c r="B70" s="581"/>
      <c r="C70" s="581">
        <v>13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IFERROR(LOOKUP(1,0/((成型機資料庫!$F$230:$F$271=J70)*(成型機資料庫!$G$230:$G$271=K70)),成型機資料庫!$K$230:$K$271),0)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IFERROR(LOOKUP(1,0/((成型機資料庫!$F$230:$F$271=J70)*(成型機資料庫!$G$230:$G$271=K70)),成型機資料庫!$I$230:$I$271),0)</f>
        <v>0</v>
      </c>
      <c r="U70" s="483">
        <f>IFERROR(LOOKUP(1,0/((成型機資料庫!$F$230:$F$271=J70)*(成型機資料庫!$G$230:$G$271=K70)),成型機資料庫!$J$230:$J$271),0)</f>
        <v>0</v>
      </c>
      <c r="V70" s="900">
        <f>IFERROR(LOOKUP(1,0/((成型機資料庫!$F$230:$F$271=J70)*(成型機資料庫!$G$230:$G$271=K70)),成型機資料庫!$L$230:$L$271),0)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581"/>
      <c r="C71" s="581">
        <v>14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IFERROR(LOOKUP(1,0/((成型機資料庫!$F$230:$F$271=J71)*(成型機資料庫!$G$230:$G$271=K71)),成型機資料庫!$K$230:$K$271),0)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IFERROR(LOOKUP(1,0/((成型機資料庫!$F$230:$F$271=J71)*(成型機資料庫!$G$230:$G$271=K71)),成型機資料庫!$I$230:$I$271),0)</f>
        <v>0</v>
      </c>
      <c r="U71" s="483">
        <f>IFERROR(LOOKUP(1,0/((成型機資料庫!$F$230:$F$271=J71)*(成型機資料庫!$G$230:$G$271=K71)),成型機資料庫!$J$230:$J$271),0)</f>
        <v>0</v>
      </c>
      <c r="V71" s="900">
        <f>IFERROR(LOOKUP(1,0/((成型機資料庫!$F$230:$F$271=J71)*(成型機資料庫!$G$230:$G$271=K71)),成型機資料庫!$L$230:$L$271),0)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581"/>
      <c r="C72" s="581">
        <v>15</v>
      </c>
      <c r="D72" s="581"/>
      <c r="E72" s="581" t="s">
        <v>43</v>
      </c>
      <c r="F72" s="436" t="s">
        <v>44</v>
      </c>
      <c r="G72" s="927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IFERROR(LOOKUP(1,0/((成型機資料庫!$F$230:$F$271=J72)*(成型機資料庫!$G$230:$G$271=K72)),成型機資料庫!$K$230:$K$271),0)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IFERROR(LOOKUP(1,0/((成型機資料庫!$F$230:$F$271=J72)*(成型機資料庫!$G$230:$G$271=K72)),成型機資料庫!$I$230:$I$271),0)</f>
        <v>0</v>
      </c>
      <c r="U72" s="483">
        <f>IFERROR(LOOKUP(1,0/((成型機資料庫!$F$230:$F$271=J72)*(成型機資料庫!$G$230:$G$271=K72)),成型機資料庫!$J$230:$J$271),0)</f>
        <v>0</v>
      </c>
      <c r="V72" s="900">
        <f>IFERROR(LOOKUP(1,0/((成型機資料庫!$F$230:$F$271=J72)*(成型機資料庫!$G$230:$G$271=K72)),成型機資料庫!$L$230:$L$271),0)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38"/>
      <c r="AE72" s="438"/>
      <c r="AF72" s="438"/>
    </row>
    <row r="73" spans="1:32" s="433" customFormat="1" ht="15.75">
      <c r="A73" s="434">
        <v>113</v>
      </c>
      <c r="B73" s="581"/>
      <c r="C73" s="581">
        <v>16</v>
      </c>
      <c r="D73" s="581"/>
      <c r="E73" s="581" t="s">
        <v>43</v>
      </c>
      <c r="F73" s="436" t="s">
        <v>44</v>
      </c>
      <c r="G73" s="927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IFERROR(LOOKUP(1,0/((成型機資料庫!$F$230:$F$271=J73)*(成型機資料庫!$G$230:$G$271=K73)),成型機資料庫!$K$230:$K$271),0)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IFERROR(LOOKUP(1,0/((成型機資料庫!$F$230:$F$271=J73)*(成型機資料庫!$G$230:$G$271=K73)),成型機資料庫!$I$230:$I$271),0)</f>
        <v>0</v>
      </c>
      <c r="U73" s="483">
        <f>IFERROR(LOOKUP(1,0/((成型機資料庫!$F$230:$F$271=J73)*(成型機資料庫!$G$230:$G$271=K73)),成型機資料庫!$J$230:$J$271),0)</f>
        <v>0</v>
      </c>
      <c r="V73" s="900">
        <f>IFERROR(LOOKUP(1,0/((成型機資料庫!$F$230:$F$271=J73)*(成型機資料庫!$G$230:$G$271=K73)),成型機資料庫!$L$230:$L$271),0)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64"/>
      <c r="AF73" s="438"/>
    </row>
    <row r="74" spans="1:32" s="433" customFormat="1" ht="15.75">
      <c r="A74" s="434">
        <v>113</v>
      </c>
      <c r="B74" s="581"/>
      <c r="C74" s="581">
        <v>17</v>
      </c>
      <c r="D74" s="581"/>
      <c r="E74" s="581" t="s">
        <v>43</v>
      </c>
      <c r="F74" s="436" t="s">
        <v>44</v>
      </c>
      <c r="G74" s="927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IFERROR(LOOKUP(1,0/((成型機資料庫!$F$230:$F$271=J74)*(成型機資料庫!$G$230:$G$271=K74)),成型機資料庫!$K$230:$K$271),0)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IFERROR(LOOKUP(1,0/((成型機資料庫!$F$230:$F$271=J74)*(成型機資料庫!$G$230:$G$271=K74)),成型機資料庫!$I$230:$I$271),0)</f>
        <v>0</v>
      </c>
      <c r="U74" s="483">
        <f>IFERROR(LOOKUP(1,0/((成型機資料庫!$F$230:$F$271=J74)*(成型機資料庫!$G$230:$G$271=K74)),成型機資料庫!$J$230:$J$271),0)</f>
        <v>0</v>
      </c>
      <c r="V74" s="900">
        <f>IFERROR(LOOKUP(1,0/((成型機資料庫!$F$230:$F$271=J74)*(成型機資料庫!$G$230:$G$271=K74)),成型機資料庫!$L$230:$L$271),0)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18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IFERROR(LOOKUP(1,0/((成型機資料庫!$F$230:$F$271=J75)*(成型機資料庫!$G$230:$G$271=K75)),成型機資料庫!$K$230:$K$271),0)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IFERROR(LOOKUP(1,0/((成型機資料庫!$F$230:$F$271=J75)*(成型機資料庫!$G$230:$G$271=K75)),成型機資料庫!$I$230:$I$271),0)</f>
        <v>0</v>
      </c>
      <c r="U75" s="483">
        <f>IFERROR(LOOKUP(1,0/((成型機資料庫!$F$230:$F$271=J75)*(成型機資料庫!$G$230:$G$271=K75)),成型機資料庫!$J$230:$J$271),0)</f>
        <v>0</v>
      </c>
      <c r="V75" s="900">
        <f>IFERROR(LOOKUP(1,0/((成型機資料庫!$F$230:$F$271=J75)*(成型機資料庫!$G$230:$G$271=K75)),成型機資料庫!$L$230:$L$271),0)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19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IFERROR(LOOKUP(1,0/((成型機資料庫!$F$230:$F$271=J76)*(成型機資料庫!$G$230:$G$271=K76)),成型機資料庫!$K$230:$K$271),0)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IFERROR(LOOKUP(1,0/((成型機資料庫!$F$230:$F$271=J76)*(成型機資料庫!$G$230:$G$271=K76)),成型機資料庫!$I$230:$I$271),0)</f>
        <v>0</v>
      </c>
      <c r="U76" s="483">
        <f>IFERROR(LOOKUP(1,0/((成型機資料庫!$F$230:$F$271=J76)*(成型機資料庫!$G$230:$G$271=K76)),成型機資料庫!$J$230:$J$271),0)</f>
        <v>0</v>
      </c>
      <c r="V76" s="900">
        <f>IFERROR(LOOKUP(1,0/((成型機資料庫!$F$230:$F$271=J76)*(成型機資料庫!$G$230:$G$271=K76)),成型機資料庫!$L$230:$L$271),0)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38"/>
      <c r="AF76" s="438"/>
    </row>
    <row r="77" spans="1:32" s="433" customFormat="1" ht="15.75">
      <c r="A77" s="434">
        <v>113</v>
      </c>
      <c r="B77" s="434"/>
      <c r="C77" s="434">
        <v>20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IFERROR(LOOKUP(1,0/((成型機資料庫!$F$230:$F$271=J77)*(成型機資料庫!$G$230:$G$271=K77)),成型機資料庫!$K$230:$K$271),0)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IFERROR(LOOKUP(1,0/((成型機資料庫!$F$230:$F$271=J77)*(成型機資料庫!$G$230:$G$271=K77)),成型機資料庫!$I$230:$I$271),0)</f>
        <v>0</v>
      </c>
      <c r="U77" s="483">
        <f>IFERROR(LOOKUP(1,0/((成型機資料庫!$F$230:$F$271=J77)*(成型機資料庫!$G$230:$G$271=K77)),成型機資料庫!$J$230:$J$271),0)</f>
        <v>0</v>
      </c>
      <c r="V77" s="900">
        <f>IFERROR(LOOKUP(1,0/((成型機資料庫!$F$230:$F$271=J77)*(成型機資料庫!$G$230:$G$271=K77)),成型機資料庫!$L$230:$L$271),0)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434"/>
      <c r="C78" s="434">
        <v>21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IFERROR(LOOKUP(1,0/((成型機資料庫!$F$230:$F$271=J78)*(成型機資料庫!$G$230:$G$271=K78)),成型機資料庫!$K$230:$K$271),0)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IFERROR(LOOKUP(1,0/((成型機資料庫!$F$230:$F$271=J78)*(成型機資料庫!$G$230:$G$271=K78)),成型機資料庫!$I$230:$I$271),0)</f>
        <v>0</v>
      </c>
      <c r="U78" s="483">
        <f>IFERROR(LOOKUP(1,0/((成型機資料庫!$F$230:$F$271=J78)*(成型機資料庫!$G$230:$G$271=K78)),成型機資料庫!$J$230:$J$271),0)</f>
        <v>0</v>
      </c>
      <c r="V78" s="900">
        <f>IFERROR(LOOKUP(1,0/((成型機資料庫!$F$230:$F$271=J78)*(成型機資料庫!$G$230:$G$271=K78)),成型機資料庫!$L$230:$L$271),0)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434"/>
      <c r="C79" s="434">
        <v>22</v>
      </c>
      <c r="D79" s="581"/>
      <c r="E79" s="581" t="s">
        <v>43</v>
      </c>
      <c r="F79" s="436" t="s">
        <v>44</v>
      </c>
      <c r="G79" s="927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IFERROR(LOOKUP(1,0/((成型機資料庫!$F$230:$F$271=J79)*(成型機資料庫!$G$230:$G$271=K79)),成型機資料庫!$K$230:$K$271),0)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IFERROR(LOOKUP(1,0/((成型機資料庫!$F$230:$F$271=J79)*(成型機資料庫!$G$230:$G$271=K79)),成型機資料庫!$I$230:$I$271),0)</f>
        <v>0</v>
      </c>
      <c r="U79" s="483">
        <f>IFERROR(LOOKUP(1,0/((成型機資料庫!$F$230:$F$271=J79)*(成型機資料庫!$G$230:$G$271=K79)),成型機資料庫!$J$230:$J$271),0)</f>
        <v>0</v>
      </c>
      <c r="V79" s="900">
        <f>IFERROR(LOOKUP(1,0/((成型機資料庫!$F$230:$F$271=J79)*(成型機資料庫!$G$230:$G$271=K79)),成型機資料庫!$L$230:$L$271),0)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38"/>
      <c r="AF79" s="438"/>
    </row>
    <row r="80" spans="1:32" s="433" customFormat="1" ht="15.75">
      <c r="A80" s="434">
        <v>113</v>
      </c>
      <c r="B80" s="434"/>
      <c r="C80" s="434">
        <v>23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IFERROR(LOOKUP(1,0/((成型機資料庫!$F$230:$F$271=J80)*(成型機資料庫!$G$230:$G$271=K80)),成型機資料庫!$K$230:$K$271),0)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IFERROR(LOOKUP(1,0/((成型機資料庫!$F$230:$F$271=J80)*(成型機資料庫!$G$230:$G$271=K80)),成型機資料庫!$I$230:$I$271),0)</f>
        <v>0</v>
      </c>
      <c r="U80" s="483">
        <f>IFERROR(LOOKUP(1,0/((成型機資料庫!$F$230:$F$271=J80)*(成型機資料庫!$G$230:$G$271=K80)),成型機資料庫!$J$230:$J$271),0)</f>
        <v>0</v>
      </c>
      <c r="V80" s="900">
        <f>IFERROR(LOOKUP(1,0/((成型機資料庫!$F$230:$F$271=J80)*(成型機資料庫!$G$230:$G$271=K80)),成型機資料庫!$L$230:$L$271),0)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64"/>
      <c r="AF80" s="438"/>
    </row>
    <row r="81" spans="1:32" s="433" customFormat="1" ht="15.75">
      <c r="A81" s="434">
        <v>113</v>
      </c>
      <c r="B81" s="434"/>
      <c r="C81" s="434">
        <v>24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IFERROR(LOOKUP(1,0/((成型機資料庫!$F$230:$F$271=J81)*(成型機資料庫!$G$230:$G$271=K81)),成型機資料庫!$K$230:$K$271),0)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IFERROR(LOOKUP(1,0/((成型機資料庫!$F$230:$F$271=J81)*(成型機資料庫!$G$230:$G$271=K81)),成型機資料庫!$I$230:$I$271),0)</f>
        <v>0</v>
      </c>
      <c r="U81" s="483">
        <f>IFERROR(LOOKUP(1,0/((成型機資料庫!$F$230:$F$271=J81)*(成型機資料庫!$G$230:$G$271=K81)),成型機資料庫!$J$230:$J$271),0)</f>
        <v>0</v>
      </c>
      <c r="V81" s="900">
        <f>IFERROR(LOOKUP(1,0/((成型機資料庫!$F$230:$F$271=J81)*(成型機資料庫!$G$230:$G$271=K81)),成型機資料庫!$L$230:$L$271),0)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32" s="433" customFormat="1" ht="15.75">
      <c r="A82" s="434">
        <v>113</v>
      </c>
      <c r="B82" s="434"/>
      <c r="C82" s="434">
        <v>25</v>
      </c>
      <c r="D82" s="581"/>
      <c r="E82" s="581" t="s">
        <v>43</v>
      </c>
      <c r="F82" s="436" t="s">
        <v>44</v>
      </c>
      <c r="G82" s="926"/>
      <c r="H82" s="464"/>
      <c r="I82" s="429"/>
      <c r="J82" s="429"/>
      <c r="K82" s="429"/>
      <c r="L82" s="464"/>
      <c r="M82" s="464"/>
      <c r="N82" s="900">
        <f t="shared" si="13"/>
        <v>0</v>
      </c>
      <c r="O82" s="901">
        <f t="shared" si="8"/>
        <v>0</v>
      </c>
      <c r="P82" s="460"/>
      <c r="Q82" s="438">
        <f>IFERROR(LOOKUP(1,0/((成型機資料庫!$F$230:$F$271=J82)*(成型機資料庫!$G$230:$G$271=K82)),成型機資料庫!$K$230:$K$271),0)</f>
        <v>0</v>
      </c>
      <c r="R82" s="899">
        <f t="shared" si="9"/>
        <v>0</v>
      </c>
      <c r="S82" s="898">
        <f t="shared" si="10"/>
        <v>0</v>
      </c>
      <c r="T82" s="482">
        <f>IFERROR(LOOKUP(1,0/((成型機資料庫!$F$230:$F$271=J82)*(成型機資料庫!$G$230:$G$271=K82)),成型機資料庫!$I$230:$I$271),0)</f>
        <v>0</v>
      </c>
      <c r="U82" s="483">
        <f>IFERROR(LOOKUP(1,0/((成型機資料庫!$F$230:$F$271=J82)*(成型機資料庫!$G$230:$G$271=K82)),成型機資料庫!$J$230:$J$271),0)</f>
        <v>0</v>
      </c>
      <c r="V82" s="900">
        <f>IFERROR(LOOKUP(1,0/((成型機資料庫!$F$230:$F$271=J82)*(成型機資料庫!$G$230:$G$271=K82)),成型機資料庫!$L$230:$L$271),0)</f>
        <v>0</v>
      </c>
      <c r="W82" s="898">
        <f t="shared" si="11"/>
        <v>0</v>
      </c>
      <c r="X82" s="923">
        <f t="shared" si="14"/>
        <v>0</v>
      </c>
      <c r="Y82" s="898">
        <f t="shared" si="15"/>
        <v>0</v>
      </c>
      <c r="Z82" s="923"/>
      <c r="AA82" s="478">
        <f t="shared" si="12"/>
        <v>0</v>
      </c>
      <c r="AB82" s="438"/>
      <c r="AC82" s="482"/>
      <c r="AD82" s="464"/>
      <c r="AE82" s="464"/>
      <c r="AF82" s="438"/>
    </row>
    <row r="83" spans="1:32" s="433" customFormat="1" ht="15.75">
      <c r="A83" s="434">
        <v>113</v>
      </c>
      <c r="B83" s="434"/>
      <c r="C83" s="434">
        <v>26</v>
      </c>
      <c r="D83" s="581"/>
      <c r="E83" s="581" t="s">
        <v>43</v>
      </c>
      <c r="F83" s="436" t="s">
        <v>44</v>
      </c>
      <c r="G83" s="926"/>
      <c r="H83" s="464"/>
      <c r="I83" s="429"/>
      <c r="J83" s="429"/>
      <c r="K83" s="429"/>
      <c r="L83" s="464"/>
      <c r="M83" s="464"/>
      <c r="N83" s="900">
        <f t="shared" si="13"/>
        <v>0</v>
      </c>
      <c r="O83" s="901">
        <f t="shared" si="8"/>
        <v>0</v>
      </c>
      <c r="P83" s="460"/>
      <c r="Q83" s="438">
        <f>IFERROR(LOOKUP(1,0/((成型機資料庫!$F$230:$F$271=J83)*(成型機資料庫!$G$230:$G$271=K83)),成型機資料庫!$K$230:$K$271),0)</f>
        <v>0</v>
      </c>
      <c r="R83" s="899">
        <f t="shared" si="9"/>
        <v>0</v>
      </c>
      <c r="S83" s="898">
        <f t="shared" si="10"/>
        <v>0</v>
      </c>
      <c r="T83" s="482">
        <f>IFERROR(LOOKUP(1,0/((成型機資料庫!$F$230:$F$271=J83)*(成型機資料庫!$G$230:$G$271=K83)),成型機資料庫!$I$230:$I$271),0)</f>
        <v>0</v>
      </c>
      <c r="U83" s="483">
        <f>IFERROR(LOOKUP(1,0/((成型機資料庫!$F$230:$F$271=J83)*(成型機資料庫!$G$230:$G$271=K83)),成型機資料庫!$J$230:$J$271),0)</f>
        <v>0</v>
      </c>
      <c r="V83" s="900">
        <f>IFERROR(LOOKUP(1,0/((成型機資料庫!$F$230:$F$271=J83)*(成型機資料庫!$G$230:$G$271=K83)),成型機資料庫!$L$230:$L$271),0)</f>
        <v>0</v>
      </c>
      <c r="W83" s="898">
        <f t="shared" si="11"/>
        <v>0</v>
      </c>
      <c r="X83" s="923">
        <f t="shared" si="14"/>
        <v>0</v>
      </c>
      <c r="Y83" s="898">
        <f t="shared" si="15"/>
        <v>0</v>
      </c>
      <c r="Z83" s="923"/>
      <c r="AA83" s="478">
        <f t="shared" si="12"/>
        <v>0</v>
      </c>
      <c r="AB83" s="438"/>
      <c r="AC83" s="482"/>
      <c r="AD83" s="438"/>
      <c r="AE83" s="464"/>
      <c r="AF83" s="438"/>
    </row>
    <row r="84" spans="1:32" s="433" customFormat="1" ht="15.75">
      <c r="A84" s="434">
        <v>113</v>
      </c>
      <c r="B84" s="434"/>
      <c r="C84" s="434">
        <v>27</v>
      </c>
      <c r="D84" s="581"/>
      <c r="E84" s="581" t="s">
        <v>43</v>
      </c>
      <c r="F84" s="436" t="s">
        <v>44</v>
      </c>
      <c r="G84" s="926"/>
      <c r="H84" s="464"/>
      <c r="I84" s="429"/>
      <c r="J84" s="429"/>
      <c r="K84" s="429"/>
      <c r="L84" s="464"/>
      <c r="M84" s="464"/>
      <c r="N84" s="900">
        <f t="shared" si="13"/>
        <v>0</v>
      </c>
      <c r="O84" s="901">
        <f t="shared" si="8"/>
        <v>0</v>
      </c>
      <c r="P84" s="460"/>
      <c r="Q84" s="438">
        <f>IFERROR(LOOKUP(1,0/((成型機資料庫!$F$230:$F$271=J84)*(成型機資料庫!$G$230:$G$271=K84)),成型機資料庫!$K$230:$K$271),0)</f>
        <v>0</v>
      </c>
      <c r="R84" s="899">
        <f t="shared" si="9"/>
        <v>0</v>
      </c>
      <c r="S84" s="898">
        <f t="shared" si="10"/>
        <v>0</v>
      </c>
      <c r="T84" s="482">
        <f>IFERROR(LOOKUP(1,0/((成型機資料庫!$F$230:$F$271=J84)*(成型機資料庫!$G$230:$G$271=K84)),成型機資料庫!$I$230:$I$271),0)</f>
        <v>0</v>
      </c>
      <c r="U84" s="483">
        <f>IFERROR(LOOKUP(1,0/((成型機資料庫!$F$230:$F$271=J84)*(成型機資料庫!$G$230:$G$271=K84)),成型機資料庫!$J$230:$J$271),0)</f>
        <v>0</v>
      </c>
      <c r="V84" s="900">
        <f>IFERROR(LOOKUP(1,0/((成型機資料庫!$F$230:$F$271=J84)*(成型機資料庫!$G$230:$G$271=K84)),成型機資料庫!$L$230:$L$271),0)</f>
        <v>0</v>
      </c>
      <c r="W84" s="898">
        <f t="shared" si="11"/>
        <v>0</v>
      </c>
      <c r="X84" s="923">
        <f t="shared" si="14"/>
        <v>0</v>
      </c>
      <c r="Y84" s="898">
        <f t="shared" si="15"/>
        <v>0</v>
      </c>
      <c r="Z84" s="923"/>
      <c r="AA84" s="478">
        <f t="shared" si="12"/>
        <v>0</v>
      </c>
      <c r="AB84" s="438"/>
      <c r="AC84" s="482"/>
      <c r="AD84" s="464"/>
      <c r="AE84" s="438"/>
      <c r="AF84" s="438"/>
    </row>
    <row r="85" spans="1:32" s="433" customFormat="1" ht="15.75">
      <c r="A85" s="434">
        <v>113</v>
      </c>
      <c r="B85" s="581"/>
      <c r="C85" s="581">
        <v>28</v>
      </c>
      <c r="D85" s="581"/>
      <c r="E85" s="581" t="s">
        <v>43</v>
      </c>
      <c r="F85" s="436" t="s">
        <v>44</v>
      </c>
      <c r="G85" s="926"/>
      <c r="H85" s="464"/>
      <c r="I85" s="429"/>
      <c r="J85" s="429"/>
      <c r="K85" s="429"/>
      <c r="L85" s="464"/>
      <c r="M85" s="464"/>
      <c r="N85" s="900">
        <f t="shared" si="13"/>
        <v>0</v>
      </c>
      <c r="O85" s="901">
        <f t="shared" si="8"/>
        <v>0</v>
      </c>
      <c r="P85" s="460"/>
      <c r="Q85" s="438">
        <f>IFERROR(LOOKUP(1,0/((成型機資料庫!$F$230:$F$271=J85)*(成型機資料庫!$G$230:$G$271=K85)),成型機資料庫!$K$230:$K$271),0)</f>
        <v>0</v>
      </c>
      <c r="R85" s="899">
        <f t="shared" si="9"/>
        <v>0</v>
      </c>
      <c r="S85" s="898">
        <f t="shared" si="10"/>
        <v>0</v>
      </c>
      <c r="T85" s="482">
        <f>IFERROR(LOOKUP(1,0/((成型機資料庫!$F$230:$F$271=J85)*(成型機資料庫!$G$230:$G$271=K85)),成型機資料庫!$I$230:$I$271),0)</f>
        <v>0</v>
      </c>
      <c r="U85" s="483">
        <f>IFERROR(LOOKUP(1,0/((成型機資料庫!$F$230:$F$271=J85)*(成型機資料庫!$G$230:$G$271=K85)),成型機資料庫!$J$230:$J$271),0)</f>
        <v>0</v>
      </c>
      <c r="V85" s="900">
        <f>IFERROR(LOOKUP(1,0/((成型機資料庫!$F$230:$F$271=J85)*(成型機資料庫!$G$230:$G$271=K85)),成型機資料庫!$L$230:$L$271),0)</f>
        <v>0</v>
      </c>
      <c r="W85" s="898">
        <f t="shared" si="11"/>
        <v>0</v>
      </c>
      <c r="X85" s="923">
        <f t="shared" si="14"/>
        <v>0</v>
      </c>
      <c r="Y85" s="898">
        <f t="shared" si="15"/>
        <v>0</v>
      </c>
      <c r="Z85" s="923"/>
      <c r="AA85" s="478">
        <f t="shared" si="12"/>
        <v>0</v>
      </c>
      <c r="AB85" s="438"/>
      <c r="AC85" s="482"/>
      <c r="AD85" s="464"/>
      <c r="AE85" s="438"/>
      <c r="AF85" s="438"/>
    </row>
    <row r="86" spans="1:32" s="433" customFormat="1" ht="15.75">
      <c r="A86" s="434">
        <v>113</v>
      </c>
      <c r="B86" s="581"/>
      <c r="C86" s="581">
        <v>29</v>
      </c>
      <c r="D86" s="581"/>
      <c r="E86" s="581" t="s">
        <v>43</v>
      </c>
      <c r="F86" s="436" t="s">
        <v>44</v>
      </c>
      <c r="G86" s="926"/>
      <c r="H86" s="464"/>
      <c r="I86" s="429"/>
      <c r="J86" s="429"/>
      <c r="K86" s="429"/>
      <c r="L86" s="464"/>
      <c r="M86" s="464"/>
      <c r="N86" s="900">
        <f t="shared" si="13"/>
        <v>0</v>
      </c>
      <c r="O86" s="901">
        <f t="shared" si="8"/>
        <v>0</v>
      </c>
      <c r="P86" s="460"/>
      <c r="Q86" s="438">
        <f>IFERROR(LOOKUP(1,0/((成型機資料庫!$F$230:$F$271=J86)*(成型機資料庫!$G$230:$G$271=K86)),成型機資料庫!$K$230:$K$271),0)</f>
        <v>0</v>
      </c>
      <c r="R86" s="899">
        <f t="shared" si="9"/>
        <v>0</v>
      </c>
      <c r="S86" s="898">
        <f t="shared" si="10"/>
        <v>0</v>
      </c>
      <c r="T86" s="482">
        <f>IFERROR(LOOKUP(1,0/((成型機資料庫!$F$230:$F$271=J86)*(成型機資料庫!$G$230:$G$271=K86)),成型機資料庫!$I$230:$I$271),0)</f>
        <v>0</v>
      </c>
      <c r="U86" s="483">
        <f>IFERROR(LOOKUP(1,0/((成型機資料庫!$F$230:$F$271=J86)*(成型機資料庫!$G$230:$G$271=K86)),成型機資料庫!$J$230:$J$271),0)</f>
        <v>0</v>
      </c>
      <c r="V86" s="900">
        <f>IFERROR(LOOKUP(1,0/((成型機資料庫!$F$230:$F$271=J86)*(成型機資料庫!$G$230:$G$271=K86)),成型機資料庫!$L$230:$L$271),0)</f>
        <v>0</v>
      </c>
      <c r="W86" s="898">
        <f t="shared" si="11"/>
        <v>0</v>
      </c>
      <c r="X86" s="923">
        <f t="shared" si="14"/>
        <v>0</v>
      </c>
      <c r="Y86" s="898">
        <f t="shared" si="15"/>
        <v>0</v>
      </c>
      <c r="Z86" s="923"/>
      <c r="AA86" s="478">
        <f t="shared" si="12"/>
        <v>0</v>
      </c>
      <c r="AB86" s="438"/>
      <c r="AC86" s="482"/>
      <c r="AD86" s="464"/>
      <c r="AE86" s="464"/>
      <c r="AF86" s="438"/>
    </row>
    <row r="87" spans="1:32" s="433" customFormat="1" ht="15.75">
      <c r="A87" s="434">
        <v>113</v>
      </c>
      <c r="B87" s="581"/>
      <c r="C87" s="581">
        <v>30</v>
      </c>
      <c r="D87" s="581"/>
      <c r="E87" s="581" t="s">
        <v>43</v>
      </c>
      <c r="F87" s="436" t="s">
        <v>44</v>
      </c>
      <c r="G87" s="926"/>
      <c r="H87" s="464"/>
      <c r="I87" s="429"/>
      <c r="J87" s="429"/>
      <c r="K87" s="429"/>
      <c r="L87" s="464"/>
      <c r="M87" s="464"/>
      <c r="N87" s="900">
        <f t="shared" si="13"/>
        <v>0</v>
      </c>
      <c r="O87" s="901">
        <f t="shared" si="8"/>
        <v>0</v>
      </c>
      <c r="P87" s="460"/>
      <c r="Q87" s="438">
        <f>IFERROR(LOOKUP(1,0/((成型機資料庫!$F$230:$F$271=J87)*(成型機資料庫!$G$230:$G$271=K87)),成型機資料庫!$K$230:$K$271),0)</f>
        <v>0</v>
      </c>
      <c r="R87" s="899">
        <f t="shared" si="9"/>
        <v>0</v>
      </c>
      <c r="S87" s="898">
        <f t="shared" si="10"/>
        <v>0</v>
      </c>
      <c r="T87" s="482">
        <f>IFERROR(LOOKUP(1,0/((成型機資料庫!$F$230:$F$271=J87)*(成型機資料庫!$G$230:$G$271=K87)),成型機資料庫!$I$230:$I$271),0)</f>
        <v>0</v>
      </c>
      <c r="U87" s="483">
        <f>IFERROR(LOOKUP(1,0/((成型機資料庫!$F$230:$F$271=J87)*(成型機資料庫!$G$230:$G$271=K87)),成型機資料庫!$J$230:$J$271),0)</f>
        <v>0</v>
      </c>
      <c r="V87" s="900">
        <f>IFERROR(LOOKUP(1,0/((成型機資料庫!$F$230:$F$271=J87)*(成型機資料庫!$G$230:$G$271=K87)),成型機資料庫!$L$230:$L$271),0)</f>
        <v>0</v>
      </c>
      <c r="W87" s="898">
        <f t="shared" si="11"/>
        <v>0</v>
      </c>
      <c r="X87" s="923">
        <f t="shared" si="14"/>
        <v>0</v>
      </c>
      <c r="Y87" s="898">
        <f t="shared" si="15"/>
        <v>0</v>
      </c>
      <c r="Z87" s="923"/>
      <c r="AA87" s="478">
        <f t="shared" si="12"/>
        <v>0</v>
      </c>
      <c r="AB87" s="438"/>
      <c r="AC87" s="482"/>
      <c r="AD87" s="464"/>
      <c r="AE87" s="438"/>
      <c r="AF87" s="438"/>
    </row>
    <row r="88" spans="1:32" s="433" customFormat="1" ht="15.75">
      <c r="A88" s="446"/>
      <c r="B88" s="456"/>
      <c r="C88" s="456"/>
      <c r="D88" s="456"/>
      <c r="E88" s="456"/>
      <c r="F88" s="448"/>
      <c r="G88" s="951"/>
      <c r="H88" s="452"/>
      <c r="I88" s="430"/>
      <c r="J88" s="469"/>
      <c r="K88" s="469"/>
      <c r="L88" s="452"/>
      <c r="M88" s="452"/>
      <c r="N88" s="945"/>
      <c r="O88" s="946"/>
      <c r="P88" s="868"/>
      <c r="Q88" s="467"/>
      <c r="R88" s="948"/>
      <c r="S88" s="936"/>
      <c r="T88" s="936"/>
      <c r="U88" s="936"/>
      <c r="V88" s="945"/>
      <c r="W88" s="936"/>
      <c r="X88" s="947"/>
      <c r="Y88" s="936"/>
      <c r="Z88" s="947"/>
      <c r="AA88" s="488"/>
      <c r="AB88" s="439"/>
      <c r="AC88" s="471"/>
      <c r="AD88" s="452"/>
      <c r="AE88" s="439"/>
      <c r="AF88" s="439"/>
    </row>
    <row r="89" spans="1:32" s="433" customFormat="1" ht="15.75">
      <c r="A89" s="446"/>
      <c r="B89" s="456"/>
      <c r="C89" s="456"/>
      <c r="D89" s="456"/>
      <c r="E89" s="456"/>
      <c r="F89" s="448"/>
      <c r="G89" s="951"/>
      <c r="H89" s="452"/>
      <c r="I89" s="430"/>
      <c r="J89" s="469"/>
      <c r="K89" s="469"/>
      <c r="L89" s="452"/>
      <c r="M89" s="452"/>
      <c r="N89" s="945"/>
      <c r="O89" s="946"/>
      <c r="P89" s="868"/>
      <c r="Q89" s="467"/>
      <c r="R89" s="948"/>
      <c r="S89" s="936"/>
      <c r="T89" s="936"/>
      <c r="U89" s="936"/>
      <c r="V89" s="945"/>
      <c r="W89" s="936"/>
      <c r="X89" s="947"/>
      <c r="Y89" s="936"/>
      <c r="Z89" s="947"/>
      <c r="AA89" s="488"/>
      <c r="AB89" s="439"/>
      <c r="AC89" s="471"/>
      <c r="AD89" s="452"/>
      <c r="AE89" s="439"/>
      <c r="AF89" s="439"/>
    </row>
    <row r="90" spans="1:32" s="433" customFormat="1" thickBot="1">
      <c r="A90" s="446"/>
      <c r="B90" s="446"/>
      <c r="C90" s="446"/>
      <c r="D90" s="446"/>
      <c r="E90" s="446"/>
      <c r="F90" s="448"/>
      <c r="G90" s="448"/>
      <c r="H90" s="430"/>
      <c r="I90" s="430"/>
      <c r="J90" s="430"/>
      <c r="K90" s="430"/>
      <c r="L90" s="439"/>
      <c r="M90" s="452"/>
      <c r="N90" s="452"/>
      <c r="O90" s="457"/>
      <c r="P90" s="466"/>
      <c r="Q90" s="467"/>
      <c r="R90" s="486"/>
      <c r="S90" s="457"/>
      <c r="T90" s="457"/>
      <c r="U90" s="457"/>
      <c r="V90" s="458"/>
      <c r="W90" s="487">
        <f>SUM(W58:W87)</f>
        <v>0</v>
      </c>
      <c r="X90" s="487"/>
      <c r="Y90" s="487"/>
      <c r="Z90" s="487"/>
      <c r="AA90" s="488"/>
      <c r="AB90" s="489"/>
      <c r="AC90" s="489"/>
      <c r="AD90" s="469" t="s">
        <v>46</v>
      </c>
      <c r="AE90" s="439"/>
      <c r="AF90" s="439"/>
    </row>
    <row r="91" spans="1:32" s="469" customFormat="1" ht="31.5">
      <c r="A91" s="479"/>
      <c r="B91" s="479"/>
      <c r="C91" s="479"/>
      <c r="D91" s="479"/>
      <c r="E91" s="479"/>
      <c r="F91" s="452"/>
      <c r="G91" s="524" t="s">
        <v>503</v>
      </c>
      <c r="H91" s="517"/>
      <c r="I91" s="518"/>
      <c r="L91" s="1842" t="s">
        <v>1349</v>
      </c>
      <c r="M91" s="525" t="s">
        <v>1294</v>
      </c>
      <c r="N91" s="525" t="s">
        <v>1295</v>
      </c>
      <c r="O91" s="526" t="s">
        <v>458</v>
      </c>
      <c r="P91" s="520"/>
      <c r="Q91" s="521"/>
      <c r="R91" s="524" t="s">
        <v>504</v>
      </c>
      <c r="S91" s="524" t="s">
        <v>455</v>
      </c>
      <c r="T91" s="521"/>
      <c r="U91" s="521"/>
      <c r="V91" s="524" t="s">
        <v>1293</v>
      </c>
      <c r="W91" s="524" t="s">
        <v>459</v>
      </c>
      <c r="X91" s="521"/>
      <c r="Y91" s="524" t="s">
        <v>1345</v>
      </c>
      <c r="Z91" s="524" t="s">
        <v>1350</v>
      </c>
      <c r="AA91" s="524" t="s">
        <v>1351</v>
      </c>
      <c r="AB91" s="524" t="s">
        <v>1353</v>
      </c>
      <c r="AC91" s="524" t="s">
        <v>1352</v>
      </c>
      <c r="AD91" s="469" t="s">
        <v>253</v>
      </c>
      <c r="AE91" s="452"/>
      <c r="AF91" s="452"/>
    </row>
    <row r="92" spans="1:32" thickBot="1">
      <c r="G92" s="522">
        <f>SUM(G58:G87)</f>
        <v>0</v>
      </c>
      <c r="I92" s="431"/>
      <c r="J92" s="518"/>
      <c r="K92" s="518"/>
      <c r="L92" s="1843"/>
      <c r="M92" s="522">
        <f>SUM(M58:M87)</f>
        <v>0</v>
      </c>
      <c r="N92" s="522">
        <f>SUM(N58:N87)</f>
        <v>0</v>
      </c>
      <c r="O92" s="902">
        <f>SUM(O58:O87)</f>
        <v>0</v>
      </c>
      <c r="P92" s="470"/>
      <c r="R92" s="924">
        <f>SUM(R58:R87)</f>
        <v>0</v>
      </c>
      <c r="S92" s="897" t="e">
        <f>(G92-R92)/G92</f>
        <v>#DIV/0!</v>
      </c>
      <c r="T92" s="446"/>
      <c r="U92" s="446"/>
      <c r="V92" s="686" t="e">
        <f>N92/W92</f>
        <v>#DIV/0!</v>
      </c>
      <c r="W92" s="516" t="e">
        <f>W90/Y92</f>
        <v>#DIV/0!</v>
      </c>
      <c r="X92" s="446"/>
      <c r="Y92" s="516"/>
      <c r="Z92" s="958">
        <f>SUM(Z58:Z87)</f>
        <v>0</v>
      </c>
      <c r="AA92" s="516">
        <f>SUM(AA58:AA87)</f>
        <v>0</v>
      </c>
      <c r="AB92" s="516">
        <f>Z92-AA92</f>
        <v>0</v>
      </c>
      <c r="AC92" s="896" t="e">
        <f>AA92/Z92</f>
        <v>#DIV/0!</v>
      </c>
    </row>
    <row r="93" spans="1:32">
      <c r="O93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  <mergeCell ref="K56:K57"/>
    <mergeCell ref="F56:F57"/>
    <mergeCell ref="G56:G57"/>
    <mergeCell ref="H56:H57"/>
    <mergeCell ref="I56:I57"/>
    <mergeCell ref="J56:J57"/>
    <mergeCell ref="A56:A57"/>
    <mergeCell ref="B56:B57"/>
    <mergeCell ref="C56:C57"/>
    <mergeCell ref="D56:D57"/>
    <mergeCell ref="E56:E57"/>
    <mergeCell ref="AF2:AF3"/>
    <mergeCell ref="L52:L53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B2:AC2"/>
    <mergeCell ref="AD2:AD3"/>
    <mergeCell ref="AE2:AE3"/>
    <mergeCell ref="M56:M57"/>
    <mergeCell ref="N56:N57"/>
    <mergeCell ref="O56:O57"/>
    <mergeCell ref="Q56:Q57"/>
    <mergeCell ref="AE56:AE57"/>
    <mergeCell ref="AF56:AF57"/>
    <mergeCell ref="L91:L92"/>
    <mergeCell ref="X56:X57"/>
    <mergeCell ref="Y56:Y57"/>
    <mergeCell ref="Z56:Z57"/>
    <mergeCell ref="AA56:AA57"/>
    <mergeCell ref="AB56:AC56"/>
    <mergeCell ref="AD56:AD57"/>
    <mergeCell ref="R56:R57"/>
    <mergeCell ref="S56:S57"/>
    <mergeCell ref="T56:T57"/>
    <mergeCell ref="U56:U57"/>
    <mergeCell ref="V56:V57"/>
    <mergeCell ref="W56:W57"/>
    <mergeCell ref="L56:L57"/>
    <mergeCell ref="P56:P57"/>
  </mergeCells>
  <phoneticPr fontId="26" type="noConversion"/>
  <conditionalFormatting sqref="G1:G65545">
    <cfRule type="cellIs" dxfId="425" priority="3" stopIfTrue="1" operator="equal">
      <formula>"未開機"</formula>
    </cfRule>
  </conditionalFormatting>
  <conditionalFormatting sqref="R58:U89">
    <cfRule type="expression" dxfId="424" priority="1" stopIfTrue="1">
      <formula>R58=0</formula>
    </cfRule>
  </conditionalFormatting>
  <conditionalFormatting sqref="S4:U4 T5:U48 R19:S48 Z19:Z50 R49:U50">
    <cfRule type="expression" dxfId="423" priority="41" stopIfTrue="1">
      <formula>R4=0</formula>
    </cfRule>
  </conditionalFormatting>
  <conditionalFormatting sqref="W19:W50">
    <cfRule type="expression" dxfId="422" priority="36" stopIfTrue="1">
      <formula>W19=0</formula>
    </cfRule>
    <cfRule type="cellIs" dxfId="421" priority="35" stopIfTrue="1" operator="between">
      <formula>0.7</formula>
      <formula>0.85</formula>
    </cfRule>
    <cfRule type="cellIs" dxfId="420" priority="34" stopIfTrue="1" operator="between">
      <formula>0.851</formula>
      <formula>1</formula>
    </cfRule>
    <cfRule type="cellIs" dxfId="419" priority="33" stopIfTrue="1" operator="lessThan">
      <formula>0.7</formula>
    </cfRule>
    <cfRule type="expression" dxfId="418" priority="32" stopIfTrue="1">
      <formula>W19=0</formula>
    </cfRule>
  </conditionalFormatting>
  <conditionalFormatting sqref="W58:W89">
    <cfRule type="cellIs" dxfId="417" priority="17" stopIfTrue="1" operator="between">
      <formula>0.851</formula>
      <formula>1</formula>
    </cfRule>
    <cfRule type="cellIs" dxfId="416" priority="18" stopIfTrue="1" operator="between">
      <formula>0.7</formula>
      <formula>0.85</formula>
    </cfRule>
    <cfRule type="expression" dxfId="415" priority="19" stopIfTrue="1">
      <formula>W58=0</formula>
    </cfRule>
    <cfRule type="expression" dxfId="414" priority="15" stopIfTrue="1">
      <formula>W58=0</formula>
    </cfRule>
    <cfRule type="cellIs" dxfId="413" priority="16" stopIfTrue="1" operator="lessThan">
      <formula>0.7</formula>
    </cfRule>
  </conditionalFormatting>
  <conditionalFormatting sqref="W4:Y17 S5:S17 Z58:Z89">
    <cfRule type="expression" dxfId="412" priority="20" stopIfTrue="1">
      <formula>S4=0</formula>
    </cfRule>
  </conditionalFormatting>
  <conditionalFormatting sqref="W4:Y17">
    <cfRule type="cellIs" dxfId="411" priority="40" stopIfTrue="1" operator="between">
      <formula>0.7</formula>
      <formula>0.85</formula>
    </cfRule>
    <cfRule type="cellIs" dxfId="410" priority="39" stopIfTrue="1" operator="between">
      <formula>0.851</formula>
      <formula>1</formula>
    </cfRule>
    <cfRule type="cellIs" dxfId="409" priority="38" stopIfTrue="1" operator="lessThan">
      <formula>0.7</formula>
    </cfRule>
  </conditionalFormatting>
  <conditionalFormatting sqref="X20:X50">
    <cfRule type="cellIs" dxfId="408" priority="22" stopIfTrue="1" operator="lessThan">
      <formula>0.7</formula>
    </cfRule>
    <cfRule type="cellIs" dxfId="407" priority="23" stopIfTrue="1" operator="between">
      <formula>0.851</formula>
      <formula>1</formula>
    </cfRule>
    <cfRule type="cellIs" dxfId="406" priority="24" stopIfTrue="1" operator="between">
      <formula>0.7</formula>
      <formula>0.85</formula>
    </cfRule>
    <cfRule type="expression" dxfId="405" priority="25" stopIfTrue="1">
      <formula>X20=0</formula>
    </cfRule>
    <cfRule type="expression" dxfId="404" priority="21" stopIfTrue="1">
      <formula>X20=0</formula>
    </cfRule>
  </conditionalFormatting>
  <conditionalFormatting sqref="X59:X89">
    <cfRule type="expression" dxfId="403" priority="4" stopIfTrue="1">
      <formula>X59=0</formula>
    </cfRule>
    <cfRule type="cellIs" dxfId="402" priority="5" stopIfTrue="1" operator="lessThan">
      <formula>0.7</formula>
    </cfRule>
    <cfRule type="cellIs" dxfId="401" priority="6" stopIfTrue="1" operator="between">
      <formula>0.851</formula>
      <formula>1</formula>
    </cfRule>
    <cfRule type="expression" dxfId="400" priority="8" stopIfTrue="1">
      <formula>X59=0</formula>
    </cfRule>
    <cfRule type="cellIs" dxfId="399" priority="7" stopIfTrue="1" operator="between">
      <formula>0.7</formula>
      <formula>0.85</formula>
    </cfRule>
  </conditionalFormatting>
  <conditionalFormatting sqref="X19:Y19 Y20:Y50">
    <cfRule type="expression" dxfId="398" priority="27" stopIfTrue="1">
      <formula>X19=0</formula>
    </cfRule>
    <cfRule type="cellIs" dxfId="397" priority="28" stopIfTrue="1" operator="lessThan">
      <formula>0.7</formula>
    </cfRule>
    <cfRule type="cellIs" dxfId="396" priority="29" stopIfTrue="1" operator="between">
      <formula>0.851</formula>
      <formula>1</formula>
    </cfRule>
    <cfRule type="cellIs" dxfId="395" priority="30" stopIfTrue="1" operator="between">
      <formula>0.7</formula>
      <formula>0.85</formula>
    </cfRule>
    <cfRule type="expression" dxfId="394" priority="31" stopIfTrue="1">
      <formula>X19=0</formula>
    </cfRule>
  </conditionalFormatting>
  <conditionalFormatting sqref="X58:Y58 Y59:Y89">
    <cfRule type="expression" dxfId="393" priority="14" stopIfTrue="1">
      <formula>X58=0</formula>
    </cfRule>
    <cfRule type="cellIs" dxfId="392" priority="13" stopIfTrue="1" operator="between">
      <formula>0.7</formula>
      <formula>0.85</formula>
    </cfRule>
    <cfRule type="cellIs" dxfId="391" priority="12" stopIfTrue="1" operator="between">
      <formula>0.851</formula>
      <formula>1</formula>
    </cfRule>
    <cfRule type="cellIs" dxfId="390" priority="11" stopIfTrue="1" operator="lessThan">
      <formula>0.7</formula>
    </cfRule>
    <cfRule type="expression" dxfId="389" priority="10" stopIfTrue="1">
      <formula>X58=0</formula>
    </cfRule>
  </conditionalFormatting>
  <conditionalFormatting sqref="Y19:Y50">
    <cfRule type="cellIs" dxfId="388" priority="26" stopIfTrue="1" operator="greaterThan">
      <formula>1</formula>
    </cfRule>
  </conditionalFormatting>
  <conditionalFormatting sqref="Y58:Y89">
    <cfRule type="cellIs" dxfId="387" priority="9" stopIfTrue="1" operator="greaterThan">
      <formula>1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16AAE65C-A2A7-4CC1-9FB7-34ABDE892DB1}">
          <x14:formula1>
            <xm:f>成型機資料庫!$A$9:$A$11</xm:f>
          </x14:formula1>
          <xm:sqref>K4:K48 K58:K87</xm:sqref>
        </x14:dataValidation>
        <x14:dataValidation type="list" allowBlank="1" showInputMessage="1" showErrorMessage="1" xr:uid="{45B562A1-7327-41B1-A12F-223B14D66611}">
          <x14:formula1>
            <xm:f>規格清單!$C$42:$C$55</xm:f>
          </x14:formula1>
          <xm:sqref>J58:J87 J4:J48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EC1D-FB9E-44CB-BF95-0DBAECDE42B5}">
  <dimension ref="A1:BD87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451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693</v>
      </c>
      <c r="I4" s="429" t="s">
        <v>486</v>
      </c>
      <c r="J4" s="429" t="s">
        <v>1427</v>
      </c>
      <c r="K4" s="429" t="s">
        <v>1301</v>
      </c>
      <c r="L4" s="464">
        <v>383</v>
      </c>
      <c r="M4" s="464"/>
      <c r="N4" s="464"/>
      <c r="O4" s="443">
        <f>L4*M4</f>
        <v>0</v>
      </c>
      <c r="P4" s="461">
        <v>7.1</v>
      </c>
      <c r="Q4" s="438">
        <f>IFERROR(LOOKUP(1,0/((成型機資料庫!$F$272:$F$295=J4)*(成型機資料庫!$G$272:$G$295=K4)),成型機資料庫!$K$272:$K$295),0)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IFERROR(LOOKUP(1,0/((成型機資料庫!$F$272:$F$295=J4)*(成型機資料庫!$G$272:$G$295=K4)),成型機資料庫!$I$272:$I$295),0)</f>
        <v>14</v>
      </c>
      <c r="U4" s="483">
        <f>IFERROR(LOOKUP(1,0/((成型機資料庫!$F$272:$F$295=J4)*(成型機資料庫!$G$272:$G$295=K4)),成型機資料庫!$J$272:$J$295),0)</f>
        <v>20</v>
      </c>
      <c r="V4" s="900">
        <f>IFERROR(LOOKUP(1,0/((成型機資料庫!$F$272:$F$295=J4)*(成型機資料庫!$G$272:$G$295=K4)),成型機資料庫!$L$272:$L$295),0)</f>
        <v>184.8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450</v>
      </c>
      <c r="I5" s="429" t="s">
        <v>688</v>
      </c>
      <c r="J5" s="429" t="s">
        <v>1435</v>
      </c>
      <c r="K5" s="429" t="s">
        <v>1301</v>
      </c>
      <c r="L5" s="464">
        <v>556</v>
      </c>
      <c r="M5" s="464"/>
      <c r="N5" s="464"/>
      <c r="O5" s="443">
        <f t="shared" ref="O5:O42" si="0">L5*M5</f>
        <v>0</v>
      </c>
      <c r="P5" s="461">
        <v>10.3</v>
      </c>
      <c r="Q5" s="438">
        <f>IFERROR(LOOKUP(1,0/((成型機資料庫!$F$272:$F$295=J5)*(成型機資料庫!$G$272:$G$295=K5)),成型機資料庫!$K$272:$K$295),0)</f>
        <v>1000</v>
      </c>
      <c r="R5" s="477"/>
      <c r="S5" s="898"/>
      <c r="T5" s="482">
        <f>IFERROR(LOOKUP(1,0/((成型機資料庫!$F$272:$F$295=J5)*(成型機資料庫!$G$272:$G$295=K5)),成型機資料庫!$I$272:$I$295),0)</f>
        <v>14</v>
      </c>
      <c r="U5" s="483">
        <f>IFERROR(LOOKUP(1,0/((成型機資料庫!$F$272:$F$295=J5)*(成型機資料庫!$G$272:$G$295=K5)),成型機資料庫!$J$272:$J$295),0)</f>
        <v>21</v>
      </c>
      <c r="V5" s="900">
        <f>IFERROR(LOOKUP(1,0/((成型機資料庫!$F$272:$F$295=J5)*(成型機資料庫!$G$272:$G$295=K5)),成型機資料庫!$L$272:$L$295),0)</f>
        <v>194.04</v>
      </c>
      <c r="W5" s="898"/>
      <c r="X5" s="898"/>
      <c r="Y5" s="898"/>
      <c r="Z5" s="485"/>
      <c r="AA5" s="478">
        <f t="shared" ref="AA5:AA42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949</v>
      </c>
      <c r="I6" s="429" t="s">
        <v>487</v>
      </c>
      <c r="J6" s="429" t="s">
        <v>1432</v>
      </c>
      <c r="K6" s="429" t="s">
        <v>1301</v>
      </c>
      <c r="L6" s="464">
        <v>640</v>
      </c>
      <c r="M6" s="464"/>
      <c r="N6" s="464"/>
      <c r="O6" s="443">
        <f t="shared" si="0"/>
        <v>0</v>
      </c>
      <c r="P6" s="461">
        <v>10.6</v>
      </c>
      <c r="Q6" s="438">
        <f>IFERROR(LOOKUP(1,0/((成型機資料庫!$F$272:$F$295=J6)*(成型機資料庫!$G$272:$G$295=K6)),成型機資料庫!$K$272:$K$295),0)</f>
        <v>1000</v>
      </c>
      <c r="R6" s="477"/>
      <c r="S6" s="898"/>
      <c r="T6" s="482">
        <f>IFERROR(LOOKUP(1,0/((成型機資料庫!$F$272:$F$295=J6)*(成型機資料庫!$G$272:$G$295=K6)),成型機資料庫!$I$272:$I$295),0)</f>
        <v>14</v>
      </c>
      <c r="U6" s="483">
        <f>IFERROR(LOOKUP(1,0/((成型機資料庫!$F$272:$F$295=J6)*(成型機資料庫!$G$272:$G$295=K6)),成型機資料庫!$J$272:$J$295),0)</f>
        <v>21</v>
      </c>
      <c r="V6" s="900">
        <f>IFERROR(LOOKUP(1,0/((成型機資料庫!$F$272:$F$295=J6)*(成型機資料庫!$G$272:$G$295=K6)),成型機資料庫!$L$272:$L$295),0)</f>
        <v>194.04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1017</v>
      </c>
      <c r="I7" s="429" t="s">
        <v>488</v>
      </c>
      <c r="J7" s="429" t="s">
        <v>1436</v>
      </c>
      <c r="K7" s="429" t="s">
        <v>1301</v>
      </c>
      <c r="L7" s="464">
        <v>780</v>
      </c>
      <c r="M7" s="464"/>
      <c r="N7" s="464"/>
      <c r="O7" s="443">
        <f t="shared" si="0"/>
        <v>0</v>
      </c>
      <c r="P7" s="461">
        <v>13.9</v>
      </c>
      <c r="Q7" s="438">
        <f>IFERROR(LOOKUP(1,0/((成型機資料庫!$F$272:$F$295=J7)*(成型機資料庫!$G$272:$G$295=K7)),成型機資料庫!$K$272:$K$295),0)</f>
        <v>1000</v>
      </c>
      <c r="R7" s="477"/>
      <c r="S7" s="898"/>
      <c r="T7" s="482">
        <f>IFERROR(LOOKUP(1,0/((成型機資料庫!$F$272:$F$295=J7)*(成型機資料庫!$G$272:$G$295=K7)),成型機資料庫!$I$272:$I$295),0)</f>
        <v>14</v>
      </c>
      <c r="U7" s="483">
        <f>IFERROR(LOOKUP(1,0/((成型機資料庫!$F$272:$F$295=J7)*(成型機資料庫!$G$272:$G$295=K7)),成型機資料庫!$J$272:$J$295),0)</f>
        <v>21</v>
      </c>
      <c r="V7" s="900">
        <f>IFERROR(LOOKUP(1,0/((成型機資料庫!$F$272:$F$295=J7)*(成型機資料庫!$G$272:$G$295=K7)),成型機資料庫!$L$272:$L$295),0)</f>
        <v>194.04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58</v>
      </c>
      <c r="G8" s="464"/>
      <c r="H8" s="464" t="s">
        <v>1066</v>
      </c>
      <c r="I8" s="429" t="s">
        <v>489</v>
      </c>
      <c r="J8" s="429" t="s">
        <v>1437</v>
      </c>
      <c r="K8" s="429" t="s">
        <v>1301</v>
      </c>
      <c r="L8" s="464">
        <v>900</v>
      </c>
      <c r="M8" s="464"/>
      <c r="N8" s="464"/>
      <c r="O8" s="443">
        <f t="shared" si="0"/>
        <v>0</v>
      </c>
      <c r="P8" s="461">
        <v>15.3</v>
      </c>
      <c r="Q8" s="438">
        <f>IFERROR(LOOKUP(1,0/((成型機資料庫!$F$272:$F$295=J8)*(成型機資料庫!$G$272:$G$295=K8)),成型機資料庫!$K$272:$K$295),0)</f>
        <v>1000</v>
      </c>
      <c r="R8" s="477"/>
      <c r="S8" s="898"/>
      <c r="T8" s="482">
        <f>IFERROR(LOOKUP(1,0/((成型機資料庫!$F$272:$F$295=J8)*(成型機資料庫!$G$272:$G$295=K8)),成型機資料庫!$I$272:$I$295),0)</f>
        <v>14</v>
      </c>
      <c r="U8" s="483">
        <f>IFERROR(LOOKUP(1,0/((成型機資料庫!$F$272:$F$295=J8)*(成型機資料庫!$G$272:$G$295=K8)),成型機資料庫!$J$272:$J$295),0)</f>
        <v>20</v>
      </c>
      <c r="V8" s="900">
        <f>IFERROR(LOOKUP(1,0/((成型機資料庫!$F$272:$F$295=J8)*(成型機資料庫!$G$272:$G$295=K8)),成型機資料庫!$L$272:$L$295),0)</f>
        <v>184.8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934"/>
      <c r="B9" s="934"/>
      <c r="C9" s="934"/>
      <c r="D9" s="934"/>
      <c r="E9" s="934"/>
      <c r="F9" s="435" t="s">
        <v>58</v>
      </c>
      <c r="G9" s="437"/>
      <c r="H9" s="464" t="s">
        <v>439</v>
      </c>
      <c r="I9" s="429" t="s">
        <v>484</v>
      </c>
      <c r="J9" s="429" t="s">
        <v>1438</v>
      </c>
      <c r="K9" s="429" t="s">
        <v>1301</v>
      </c>
      <c r="L9" s="464">
        <v>400</v>
      </c>
      <c r="M9" s="437"/>
      <c r="N9" s="437"/>
      <c r="O9" s="443">
        <f t="shared" si="0"/>
        <v>0</v>
      </c>
      <c r="P9" s="461">
        <v>7.5</v>
      </c>
      <c r="Q9" s="438">
        <f>IFERROR(LOOKUP(1,0/((成型機資料庫!$F$272:$F$295=J9)*(成型機資料庫!$G$272:$G$295=K9)),成型機資料庫!$K$272:$K$295),0)</f>
        <v>1000</v>
      </c>
      <c r="R9" s="1003"/>
      <c r="S9" s="1004"/>
      <c r="T9" s="482">
        <f>IFERROR(LOOKUP(1,0/((成型機資料庫!$F$272:$F$295=J9)*(成型機資料庫!$G$272:$G$295=K9)),成型機資料庫!$I$272:$I$295),0)</f>
        <v>21</v>
      </c>
      <c r="U9" s="483">
        <f>IFERROR(LOOKUP(1,0/((成型機資料庫!$F$272:$F$295=J9)*(成型機資料庫!$G$272:$G$295=K9)),成型機資料庫!$J$272:$J$295),0)</f>
        <v>28</v>
      </c>
      <c r="V9" s="900">
        <f>IFERROR(LOOKUP(1,0/((成型機資料庫!$F$272:$F$295=J9)*(成型機資料庫!$G$272:$G$295=K9)),成型機資料庫!$L$272:$L$295),0)</f>
        <v>388.08</v>
      </c>
      <c r="W9" s="1004"/>
      <c r="X9" s="1004"/>
      <c r="Y9" s="1004"/>
      <c r="Z9" s="960"/>
      <c r="AA9" s="478">
        <f t="shared" si="1"/>
        <v>0</v>
      </c>
      <c r="AB9" s="539"/>
      <c r="AC9" s="969"/>
      <c r="AD9" s="1006"/>
      <c r="AE9" s="539"/>
      <c r="AF9" s="539"/>
    </row>
    <row r="10" spans="1:56" s="439" customFormat="1" ht="15.75">
      <c r="A10" s="934"/>
      <c r="B10" s="934"/>
      <c r="C10" s="934"/>
      <c r="D10" s="934"/>
      <c r="E10" s="934"/>
      <c r="F10" s="435" t="s">
        <v>58</v>
      </c>
      <c r="G10" s="437"/>
      <c r="H10" s="464" t="s">
        <v>437</v>
      </c>
      <c r="I10" s="429" t="s">
        <v>485</v>
      </c>
      <c r="J10" s="429" t="s">
        <v>1439</v>
      </c>
      <c r="K10" s="429" t="s">
        <v>1301</v>
      </c>
      <c r="L10" s="464">
        <v>351</v>
      </c>
      <c r="M10" s="437"/>
      <c r="N10" s="437"/>
      <c r="O10" s="443">
        <f t="shared" si="0"/>
        <v>0</v>
      </c>
      <c r="P10" s="461">
        <v>7.5</v>
      </c>
      <c r="Q10" s="438">
        <f>IFERROR(LOOKUP(1,0/((成型機資料庫!$F$272:$F$295=J10)*(成型機資料庫!$G$272:$G$295=K10)),成型機資料庫!$K$272:$K$295),0)</f>
        <v>1000</v>
      </c>
      <c r="R10" s="1003"/>
      <c r="S10" s="1004"/>
      <c r="T10" s="482">
        <f>IFERROR(LOOKUP(1,0/((成型機資料庫!$F$272:$F$295=J10)*(成型機資料庫!$G$272:$G$295=K10)),成型機資料庫!$I$272:$I$295),0)</f>
        <v>21</v>
      </c>
      <c r="U10" s="483">
        <f>IFERROR(LOOKUP(1,0/((成型機資料庫!$F$272:$F$295=J10)*(成型機資料庫!$G$272:$G$295=K10)),成型機資料庫!$J$272:$J$295),0)</f>
        <v>28</v>
      </c>
      <c r="V10" s="900">
        <f>IFERROR(LOOKUP(1,0/((成型機資料庫!$F$272:$F$295=J10)*(成型機資料庫!$G$272:$G$295=K10)),成型機資料庫!$L$272:$L$295),0)</f>
        <v>388.08</v>
      </c>
      <c r="W10" s="1004"/>
      <c r="X10" s="1004"/>
      <c r="Y10" s="1004"/>
      <c r="Z10" s="960"/>
      <c r="AA10" s="478">
        <f t="shared" si="1"/>
        <v>0</v>
      </c>
      <c r="AB10" s="539"/>
      <c r="AC10" s="969"/>
      <c r="AD10" s="1006"/>
      <c r="AE10" s="539"/>
      <c r="AF10" s="539"/>
    </row>
    <row r="11" spans="1:56" s="439" customFormat="1" ht="15.75">
      <c r="A11" s="934"/>
      <c r="B11" s="934"/>
      <c r="C11" s="934"/>
      <c r="D11" s="934"/>
      <c r="E11" s="934"/>
      <c r="F11" s="435" t="s">
        <v>58</v>
      </c>
      <c r="G11" s="437"/>
      <c r="H11" s="464" t="s">
        <v>437</v>
      </c>
      <c r="I11" s="429" t="s">
        <v>477</v>
      </c>
      <c r="J11" s="429" t="s">
        <v>1424</v>
      </c>
      <c r="K11" s="429" t="s">
        <v>1301</v>
      </c>
      <c r="L11" s="464">
        <v>405</v>
      </c>
      <c r="M11" s="437"/>
      <c r="N11" s="437"/>
      <c r="O11" s="1002"/>
      <c r="P11" s="461">
        <v>7.5</v>
      </c>
      <c r="Q11" s="438">
        <f>IFERROR(LOOKUP(1,0/((成型機資料庫!$F$272:$F$295=J11)*(成型機資料庫!$G$272:$G$295=K11)),成型機資料庫!$K$272:$K$295),0)</f>
        <v>1000</v>
      </c>
      <c r="R11" s="1003"/>
      <c r="S11" s="1004"/>
      <c r="T11" s="482">
        <f>IFERROR(LOOKUP(1,0/((成型機資料庫!$F$272:$F$295=J11)*(成型機資料庫!$G$272:$G$295=K11)),成型機資料庫!$I$272:$I$295),0)</f>
        <v>21</v>
      </c>
      <c r="U11" s="483">
        <f>IFERROR(LOOKUP(1,0/((成型機資料庫!$F$272:$F$295=J11)*(成型機資料庫!$G$272:$G$295=K11)),成型機資料庫!$J$272:$J$295),0)</f>
        <v>28</v>
      </c>
      <c r="V11" s="900">
        <f>IFERROR(LOOKUP(1,0/((成型機資料庫!$F$272:$F$295=J11)*(成型機資料庫!$G$272:$G$295=K11)),成型機資料庫!$L$272:$L$295),0)</f>
        <v>388.08</v>
      </c>
      <c r="W11" s="1004"/>
      <c r="X11" s="1004"/>
      <c r="Y11" s="1004"/>
      <c r="Z11" s="960"/>
      <c r="AA11" s="478"/>
      <c r="AB11" s="539"/>
      <c r="AC11" s="969"/>
      <c r="AD11" s="1006"/>
      <c r="AE11" s="539"/>
      <c r="AF11" s="539"/>
    </row>
    <row r="12" spans="1:56" s="439" customFormat="1" thickBot="1">
      <c r="A12" s="496"/>
      <c r="B12" s="496"/>
      <c r="C12" s="496"/>
      <c r="D12" s="496"/>
      <c r="E12" s="496"/>
      <c r="F12" s="497"/>
      <c r="G12" s="500"/>
      <c r="H12" s="500"/>
      <c r="I12" s="498"/>
      <c r="J12" s="498"/>
      <c r="K12" s="498"/>
      <c r="L12" s="500"/>
      <c r="M12" s="500"/>
      <c r="N12" s="500"/>
      <c r="O12" s="501">
        <f t="shared" si="0"/>
        <v>0</v>
      </c>
      <c r="P12" s="528"/>
      <c r="Q12" s="499">
        <f>IFERROR(LOOKUP(1,0/((成型機資料庫!$F$272:$F$295=J12)*(成型機資料庫!$G$272:$G$295=K12)),成型機資料庫!$K$272:$K$295),0)</f>
        <v>0</v>
      </c>
      <c r="R12" s="502"/>
      <c r="S12" s="503"/>
      <c r="T12" s="509">
        <f>IFERROR(LOOKUP(1,0/((成型機資料庫!$F$272:$F$295=J12)*(成型機資料庫!$G$272:$G$295=K12)),成型機資料庫!$I$272:$I$295),0)</f>
        <v>0</v>
      </c>
      <c r="U12" s="505">
        <f>IFERROR(LOOKUP(1,0/((成型機資料庫!$F$272:$F$295=J12)*(成型機資料庫!$G$272:$G$295=K12)),成型機資料庫!$J$272:$J$295),0)</f>
        <v>0</v>
      </c>
      <c r="V12" s="991">
        <f>IFERROR(LOOKUP(1,0/((成型機資料庫!$F$272:$F$295=J12)*(成型機資料庫!$G$272:$G$295=K12)),成型機資料庫!$L$272:$L$295),0)</f>
        <v>0</v>
      </c>
      <c r="W12" s="507"/>
      <c r="X12" s="507"/>
      <c r="Y12" s="507"/>
      <c r="Z12" s="507"/>
      <c r="AA12" s="478">
        <f t="shared" si="1"/>
        <v>0</v>
      </c>
      <c r="AB12" s="499"/>
      <c r="AC12" s="509"/>
      <c r="AD12" s="529"/>
      <c r="AE12" s="499"/>
      <c r="AF12" s="499"/>
    </row>
    <row r="13" spans="1:56" s="433" customFormat="1" ht="15.75">
      <c r="A13" s="935">
        <v>113</v>
      </c>
      <c r="B13" s="935"/>
      <c r="C13" s="935">
        <v>1</v>
      </c>
      <c r="D13" s="889"/>
      <c r="E13" s="889" t="s">
        <v>0</v>
      </c>
      <c r="F13" s="962" t="s">
        <v>44</v>
      </c>
      <c r="G13" s="999"/>
      <c r="H13" s="532"/>
      <c r="I13" s="964"/>
      <c r="J13" s="964"/>
      <c r="K13" s="964"/>
      <c r="L13" s="532"/>
      <c r="M13" s="532"/>
      <c r="N13" s="927">
        <f>M13*Q13</f>
        <v>0</v>
      </c>
      <c r="O13" s="995">
        <f t="shared" si="0"/>
        <v>0</v>
      </c>
      <c r="P13" s="1000"/>
      <c r="Q13" s="480">
        <f>IFERROR(LOOKUP(1,0/((成型機資料庫!$F$272:$F$295=J13)*(成型機資料庫!$G$272:$G$295=K13)),成型機資料庫!$K$272:$K$295),0)</f>
        <v>0</v>
      </c>
      <c r="R13" s="997">
        <f t="shared" ref="R13:R42" si="2">M13*Q13*P13/1000</f>
        <v>0</v>
      </c>
      <c r="S13" s="996">
        <f t="shared" ref="S13:S42" si="3">IFERROR((G13-R13)/G13,0)</f>
        <v>0</v>
      </c>
      <c r="T13" s="968">
        <f>IFERROR(LOOKUP(1,0/((成型機資料庫!$F$272:$F$295=J13)*(成型機資料庫!$G$272:$G$295=K13)),成型機資料庫!$I$272:$I$295),0)</f>
        <v>0</v>
      </c>
      <c r="U13" s="967">
        <f>IFERROR(LOOKUP(1,0/((成型機資料庫!$F$272:$F$295=J13)*(成型機資料庫!$G$272:$G$295=K13)),成型機資料庫!$J$272:$J$295),0)</f>
        <v>0</v>
      </c>
      <c r="V13" s="927">
        <f>IFERROR(LOOKUP(1,0/((成型機資料庫!$F$272:$F$295=J13)*(成型機資料庫!$G$272:$G$295=K13)),成型機資料庫!$L$272:$L$295),0)</f>
        <v>0</v>
      </c>
      <c r="W13" s="996">
        <f t="shared" ref="W13:W42" si="4">IFERROR(M13/V13,0)</f>
        <v>0</v>
      </c>
      <c r="X13" s="987">
        <f>IFERROR(T13*U13*60*AA13/Q13,0)</f>
        <v>0</v>
      </c>
      <c r="Y13" s="996">
        <f>IFERROR(M13/X13,0)</f>
        <v>0</v>
      </c>
      <c r="Z13" s="987"/>
      <c r="AA13" s="495">
        <f t="shared" si="1"/>
        <v>0</v>
      </c>
      <c r="AB13" s="480"/>
      <c r="AC13" s="968"/>
      <c r="AD13" s="532"/>
      <c r="AE13" s="480"/>
      <c r="AF13" s="480"/>
    </row>
    <row r="14" spans="1:56" s="433" customFormat="1" ht="15.75">
      <c r="A14" s="434">
        <v>113</v>
      </c>
      <c r="B14" s="581"/>
      <c r="C14" s="581">
        <v>2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ref="N14:N42" si="5">M14*Q14</f>
        <v>0</v>
      </c>
      <c r="O14" s="901">
        <f t="shared" si="0"/>
        <v>0</v>
      </c>
      <c r="P14" s="460"/>
      <c r="Q14" s="438">
        <f>IFERROR(LOOKUP(1,0/((成型機資料庫!$F$272:$F$295=J14)*(成型機資料庫!$G$272:$G$295=K14)),成型機資料庫!$K$272:$K$295),0)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IFERROR(LOOKUP(1,0/((成型機資料庫!$F$272:$F$295=J14)*(成型機資料庫!$G$272:$G$295=K14)),成型機資料庫!$I$272:$I$295),0)</f>
        <v>0</v>
      </c>
      <c r="U14" s="483">
        <f>IFERROR(LOOKUP(1,0/((成型機資料庫!$F$272:$F$295=J14)*(成型機資料庫!$G$272:$G$295=K14)),成型機資料庫!$J$272:$J$295),0)</f>
        <v>0</v>
      </c>
      <c r="V14" s="900">
        <f>IFERROR(LOOKUP(1,0/((成型機資料庫!$F$272:$F$295=J14)*(成型機資料庫!$G$272:$G$295=K14)),成型機資料庫!$L$272:$L$295),0)</f>
        <v>0</v>
      </c>
      <c r="W14" s="898">
        <f t="shared" si="4"/>
        <v>0</v>
      </c>
      <c r="X14" s="923">
        <f t="shared" ref="X14:X42" si="6">IFERROR(T14*U14*60*AA14/Q14,0)</f>
        <v>0</v>
      </c>
      <c r="Y14" s="898">
        <f t="shared" ref="Y14:Y42" si="7">IFERROR(M14/X14,0)</f>
        <v>0</v>
      </c>
      <c r="Z14" s="923"/>
      <c r="AA14" s="478">
        <f t="shared" si="1"/>
        <v>0</v>
      </c>
      <c r="AB14" s="438"/>
      <c r="AC14" s="482"/>
      <c r="AD14" s="464"/>
      <c r="AE14" s="438"/>
      <c r="AF14" s="438"/>
    </row>
    <row r="15" spans="1:56" s="433" customFormat="1" ht="15.75">
      <c r="A15" s="434">
        <v>113</v>
      </c>
      <c r="B15" s="581"/>
      <c r="C15" s="581">
        <v>3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IFERROR(LOOKUP(1,0/((成型機資料庫!$F$272:$F$295=J15)*(成型機資料庫!$G$272:$G$295=K15)),成型機資料庫!$K$272:$K$295),0)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IFERROR(LOOKUP(1,0/((成型機資料庫!$F$272:$F$295=J15)*(成型機資料庫!$G$272:$G$295=K15)),成型機資料庫!$I$272:$I$295),0)</f>
        <v>0</v>
      </c>
      <c r="U15" s="483">
        <f>IFERROR(LOOKUP(1,0/((成型機資料庫!$F$272:$F$295=J15)*(成型機資料庫!$G$272:$G$295=K15)),成型機資料庫!$J$272:$J$295),0)</f>
        <v>0</v>
      </c>
      <c r="V15" s="900">
        <f>IFERROR(LOOKUP(1,0/((成型機資料庫!$F$272:$F$295=J15)*(成型機資料庫!$G$272:$G$295=K15)),成型機資料庫!$L$272:$L$295),0)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1"/>
        <v>0</v>
      </c>
      <c r="AB15" s="438"/>
      <c r="AC15" s="482"/>
      <c r="AD15" s="438"/>
      <c r="AE15" s="438"/>
      <c r="AF15" s="438"/>
    </row>
    <row r="16" spans="1:56" s="433" customFormat="1" ht="15.75">
      <c r="A16" s="434">
        <v>113</v>
      </c>
      <c r="B16" s="581"/>
      <c r="C16" s="581">
        <v>4</v>
      </c>
      <c r="D16" s="581"/>
      <c r="E16" s="581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IFERROR(LOOKUP(1,0/((成型機資料庫!$F$272:$F$295=J16)*(成型機資料庫!$G$272:$G$295=K16)),成型機資料庫!$K$272:$K$295),0)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IFERROR(LOOKUP(1,0/((成型機資料庫!$F$272:$F$295=J16)*(成型機資料庫!$G$272:$G$295=K16)),成型機資料庫!$I$272:$I$295),0)</f>
        <v>0</v>
      </c>
      <c r="U16" s="483">
        <f>IFERROR(LOOKUP(1,0/((成型機資料庫!$F$272:$F$295=J16)*(成型機資料庫!$G$272:$G$295=K16)),成型機資料庫!$J$272:$J$295),0)</f>
        <v>0</v>
      </c>
      <c r="V16" s="900">
        <f>IFERROR(LOOKUP(1,0/((成型機資料庫!$F$272:$F$295=J16)*(成型機資料庫!$G$272:$G$295=K16)),成型機資料庫!$L$272:$L$295),0)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1"/>
        <v>0</v>
      </c>
      <c r="AB16" s="438"/>
      <c r="AC16" s="482"/>
      <c r="AD16" s="438"/>
      <c r="AE16" s="464"/>
      <c r="AF16" s="438"/>
    </row>
    <row r="17" spans="1:32" s="433" customFormat="1" ht="15.75">
      <c r="A17" s="434">
        <v>113</v>
      </c>
      <c r="B17" s="581"/>
      <c r="C17" s="581">
        <v>5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IFERROR(LOOKUP(1,0/((成型機資料庫!$F$272:$F$295=J17)*(成型機資料庫!$G$272:$G$295=K17)),成型機資料庫!$K$272:$K$295),0)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IFERROR(LOOKUP(1,0/((成型機資料庫!$F$272:$F$295=J17)*(成型機資料庫!$G$272:$G$295=K17)),成型機資料庫!$I$272:$I$295),0)</f>
        <v>0</v>
      </c>
      <c r="U17" s="483">
        <f>IFERROR(LOOKUP(1,0/((成型機資料庫!$F$272:$F$295=J17)*(成型機資料庫!$G$272:$G$295=K17)),成型機資料庫!$J$272:$J$295),0)</f>
        <v>0</v>
      </c>
      <c r="V17" s="900">
        <f>IFERROR(LOOKUP(1,0/((成型機資料庫!$F$272:$F$295=J17)*(成型機資料庫!$G$272:$G$295=K17)),成型機資料庫!$L$272:$L$295),0)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1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6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IFERROR(LOOKUP(1,0/((成型機資料庫!$F$272:$F$295=J18)*(成型機資料庫!$G$272:$G$295=K18)),成型機資料庫!$K$272:$K$295),0)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IFERROR(LOOKUP(1,0/((成型機資料庫!$F$272:$F$295=J18)*(成型機資料庫!$G$272:$G$295=K18)),成型機資料庫!$I$272:$I$295),0)</f>
        <v>0</v>
      </c>
      <c r="U18" s="483">
        <f>IFERROR(LOOKUP(1,0/((成型機資料庫!$F$272:$F$295=J18)*(成型機資料庫!$G$272:$G$295=K18)),成型機資料庫!$J$272:$J$295),0)</f>
        <v>0</v>
      </c>
      <c r="V18" s="900">
        <f>IFERROR(LOOKUP(1,0/((成型機資料庫!$F$272:$F$295=J18)*(成型機資料庫!$G$272:$G$295=K18)),成型機資料庫!$L$272:$L$295),0)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1"/>
        <v>0</v>
      </c>
      <c r="AB18" s="438"/>
      <c r="AC18" s="482"/>
      <c r="AD18" s="879"/>
      <c r="AE18" s="438"/>
      <c r="AF18" s="438"/>
    </row>
    <row r="19" spans="1:32" s="433" customFormat="1" ht="15.75">
      <c r="A19" s="434">
        <v>113</v>
      </c>
      <c r="B19" s="581"/>
      <c r="C19" s="581">
        <v>7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IFERROR(LOOKUP(1,0/((成型機資料庫!$F$272:$F$295=J19)*(成型機資料庫!$G$272:$G$295=K19)),成型機資料庫!$K$272:$K$295),0)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IFERROR(LOOKUP(1,0/((成型機資料庫!$F$272:$F$295=J19)*(成型機資料庫!$G$272:$G$295=K19)),成型機資料庫!$I$272:$I$295),0)</f>
        <v>0</v>
      </c>
      <c r="U19" s="483">
        <f>IFERROR(LOOKUP(1,0/((成型機資料庫!$F$272:$F$295=J19)*(成型機資料庫!$G$272:$G$295=K19)),成型機資料庫!$J$272:$J$295),0)</f>
        <v>0</v>
      </c>
      <c r="V19" s="900">
        <f>IFERROR(LOOKUP(1,0/((成型機資料庫!$F$272:$F$295=J19)*(成型機資料庫!$G$272:$G$295=K19)),成型機資料庫!$L$272:$L$295),0)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1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8</v>
      </c>
      <c r="D20" s="581"/>
      <c r="E20" s="889" t="s">
        <v>0</v>
      </c>
      <c r="F20" s="962" t="s">
        <v>44</v>
      </c>
      <c r="G20" s="927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IFERROR(LOOKUP(1,0/((成型機資料庫!$F$272:$F$295=J20)*(成型機資料庫!$G$272:$G$295=K20)),成型機資料庫!$K$272:$K$295),0)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IFERROR(LOOKUP(1,0/((成型機資料庫!$F$272:$F$295=J20)*(成型機資料庫!$G$272:$G$295=K20)),成型機資料庫!$I$272:$I$295),0)</f>
        <v>0</v>
      </c>
      <c r="U20" s="483">
        <f>IFERROR(LOOKUP(1,0/((成型機資料庫!$F$272:$F$295=J20)*(成型機資料庫!$G$272:$G$295=K20)),成型機資料庫!$J$272:$J$295),0)</f>
        <v>0</v>
      </c>
      <c r="V20" s="900">
        <f>IFERROR(LOOKUP(1,0/((成型機資料庫!$F$272:$F$295=J20)*(成型機資料庫!$G$272:$G$295=K20)),成型機資料庫!$L$272:$L$295),0)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1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9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IFERROR(LOOKUP(1,0/((成型機資料庫!$F$272:$F$295=J21)*(成型機資料庫!$G$272:$G$295=K21)),成型機資料庫!$K$272:$K$295),0)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IFERROR(LOOKUP(1,0/((成型機資料庫!$F$272:$F$295=J21)*(成型機資料庫!$G$272:$G$295=K21)),成型機資料庫!$I$272:$I$295),0)</f>
        <v>0</v>
      </c>
      <c r="U21" s="483">
        <f>IFERROR(LOOKUP(1,0/((成型機資料庫!$F$272:$F$295=J21)*(成型機資料庫!$G$272:$G$295=K21)),成型機資料庫!$J$272:$J$295),0)</f>
        <v>0</v>
      </c>
      <c r="V21" s="900">
        <f>IFERROR(LOOKUP(1,0/((成型機資料庫!$F$272:$F$295=J21)*(成型機資料庫!$G$272:$G$295=K21)),成型機資料庫!$L$272:$L$295),0)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1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10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IFERROR(LOOKUP(1,0/((成型機資料庫!$F$272:$F$295=J22)*(成型機資料庫!$G$272:$G$295=K22)),成型機資料庫!$K$272:$K$295),0)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IFERROR(LOOKUP(1,0/((成型機資料庫!$F$272:$F$295=J22)*(成型機資料庫!$G$272:$G$295=K22)),成型機資料庫!$I$272:$I$295),0)</f>
        <v>0</v>
      </c>
      <c r="U22" s="483">
        <f>IFERROR(LOOKUP(1,0/((成型機資料庫!$F$272:$F$295=J22)*(成型機資料庫!$G$272:$G$295=K22)),成型機資料庫!$J$272:$J$295),0)</f>
        <v>0</v>
      </c>
      <c r="V22" s="900">
        <f>IFERROR(LOOKUP(1,0/((成型機資料庫!$F$272:$F$295=J22)*(成型機資料庫!$G$272:$G$295=K22)),成型機資料庫!$L$272:$L$295),0)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1"/>
        <v>0</v>
      </c>
      <c r="AB22" s="438"/>
      <c r="AC22" s="482"/>
      <c r="AD22" s="438"/>
      <c r="AE22" s="438"/>
      <c r="AF22" s="438"/>
    </row>
    <row r="23" spans="1:32" s="433" customFormat="1" ht="15.75">
      <c r="A23" s="434">
        <v>113</v>
      </c>
      <c r="B23" s="581"/>
      <c r="C23" s="581">
        <v>11</v>
      </c>
      <c r="D23" s="581"/>
      <c r="E23" s="581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IFERROR(LOOKUP(1,0/((成型機資料庫!$F$272:$F$295=J23)*(成型機資料庫!$G$272:$G$295=K23)),成型機資料庫!$K$272:$K$295),0)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IFERROR(LOOKUP(1,0/((成型機資料庫!$F$272:$F$295=J23)*(成型機資料庫!$G$272:$G$295=K23)),成型機資料庫!$I$272:$I$295),0)</f>
        <v>0</v>
      </c>
      <c r="U23" s="483">
        <f>IFERROR(LOOKUP(1,0/((成型機資料庫!$F$272:$F$295=J23)*(成型機資料庫!$G$272:$G$295=K23)),成型機資料庫!$J$272:$J$295),0)</f>
        <v>0</v>
      </c>
      <c r="V23" s="900">
        <f>IFERROR(LOOKUP(1,0/((成型機資料庫!$F$272:$F$295=J23)*(成型機資料庫!$G$272:$G$295=K23)),成型機資料庫!$L$272:$L$295),0)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1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12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IFERROR(LOOKUP(1,0/((成型機資料庫!$F$272:$F$295=J24)*(成型機資料庫!$G$272:$G$295=K24)),成型機資料庫!$K$272:$K$295),0)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IFERROR(LOOKUP(1,0/((成型機資料庫!$F$272:$F$295=J24)*(成型機資料庫!$G$272:$G$295=K24)),成型機資料庫!$I$272:$I$295),0)</f>
        <v>0</v>
      </c>
      <c r="U24" s="483">
        <f>IFERROR(LOOKUP(1,0/((成型機資料庫!$F$272:$F$295=J24)*(成型機資料庫!$G$272:$G$295=K24)),成型機資料庫!$J$272:$J$295),0)</f>
        <v>0</v>
      </c>
      <c r="V24" s="900">
        <f>IFERROR(LOOKUP(1,0/((成型機資料庫!$F$272:$F$295=J24)*(成型機資料庫!$G$272:$G$295=K24)),成型機資料庫!$L$272:$L$295),0)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1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13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IFERROR(LOOKUP(1,0/((成型機資料庫!$F$272:$F$295=J25)*(成型機資料庫!$G$272:$G$295=K25)),成型機資料庫!$K$272:$K$295),0)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IFERROR(LOOKUP(1,0/((成型機資料庫!$F$272:$F$295=J25)*(成型機資料庫!$G$272:$G$295=K25)),成型機資料庫!$I$272:$I$295),0)</f>
        <v>0</v>
      </c>
      <c r="U25" s="483">
        <f>IFERROR(LOOKUP(1,0/((成型機資料庫!$F$272:$F$295=J25)*(成型機資料庫!$G$272:$G$295=K25)),成型機資料庫!$J$272:$J$295),0)</f>
        <v>0</v>
      </c>
      <c r="V25" s="900">
        <f>IFERROR(LOOKUP(1,0/((成型機資料庫!$F$272:$F$295=J25)*(成型機資料庫!$G$272:$G$295=K25)),成型機資料庫!$L$272:$L$295),0)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1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14</v>
      </c>
      <c r="D26" s="581"/>
      <c r="E26" s="889" t="s">
        <v>0</v>
      </c>
      <c r="F26" s="962" t="s">
        <v>44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IFERROR(LOOKUP(1,0/((成型機資料庫!$F$272:$F$295=J26)*(成型機資料庫!$G$272:$G$295=K26)),成型機資料庫!$K$272:$K$295),0)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IFERROR(LOOKUP(1,0/((成型機資料庫!$F$272:$F$295=J26)*(成型機資料庫!$G$272:$G$295=K26)),成型機資料庫!$I$272:$I$295),0)</f>
        <v>0</v>
      </c>
      <c r="U26" s="483">
        <f>IFERROR(LOOKUP(1,0/((成型機資料庫!$F$272:$F$295=J26)*(成型機資料庫!$G$272:$G$295=K26)),成型機資料庫!$J$272:$J$295),0)</f>
        <v>0</v>
      </c>
      <c r="V26" s="900">
        <f>IFERROR(LOOKUP(1,0/((成型機資料庫!$F$272:$F$295=J26)*(成型機資料庫!$G$272:$G$295=K26)),成型機資料庫!$L$272:$L$295),0)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1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581"/>
      <c r="C27" s="581">
        <v>15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IFERROR(LOOKUP(1,0/((成型機資料庫!$F$272:$F$295=J27)*(成型機資料庫!$G$272:$G$295=K27)),成型機資料庫!$K$272:$K$295),0)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IFERROR(LOOKUP(1,0/((成型機資料庫!$F$272:$F$295=J27)*(成型機資料庫!$G$272:$G$295=K27)),成型機資料庫!$I$272:$I$295),0)</f>
        <v>0</v>
      </c>
      <c r="U27" s="483">
        <f>IFERROR(LOOKUP(1,0/((成型機資料庫!$F$272:$F$295=J27)*(成型機資料庫!$G$272:$G$295=K27)),成型機資料庫!$J$272:$J$295),0)</f>
        <v>0</v>
      </c>
      <c r="V27" s="900">
        <f>IFERROR(LOOKUP(1,0/((成型機資料庫!$F$272:$F$295=J27)*(成型機資料庫!$G$272:$G$295=K27)),成型機資料庫!$L$272:$L$295),0)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1"/>
        <v>0</v>
      </c>
      <c r="AB27" s="438"/>
      <c r="AC27" s="482"/>
      <c r="AD27" s="438"/>
      <c r="AE27" s="438"/>
      <c r="AF27" s="438"/>
    </row>
    <row r="28" spans="1:32" s="433" customFormat="1" ht="15.75">
      <c r="A28" s="434">
        <v>113</v>
      </c>
      <c r="B28" s="581"/>
      <c r="C28" s="581">
        <v>16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IFERROR(LOOKUP(1,0/((成型機資料庫!$F$272:$F$295=J28)*(成型機資料庫!$G$272:$G$295=K28)),成型機資料庫!$K$272:$K$295),0)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IFERROR(LOOKUP(1,0/((成型機資料庫!$F$272:$F$295=J28)*(成型機資料庫!$G$272:$G$295=K28)),成型機資料庫!$I$272:$I$295),0)</f>
        <v>0</v>
      </c>
      <c r="U28" s="483">
        <f>IFERROR(LOOKUP(1,0/((成型機資料庫!$F$272:$F$295=J28)*(成型機資料庫!$G$272:$G$295=K28)),成型機資料庫!$J$272:$J$295),0)</f>
        <v>0</v>
      </c>
      <c r="V28" s="900">
        <f>IFERROR(LOOKUP(1,0/((成型機資料庫!$F$272:$F$295=J28)*(成型機資料庫!$G$272:$G$295=K28)),成型機資料庫!$L$272:$L$295),0)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1"/>
        <v>0</v>
      </c>
      <c r="AB28" s="438"/>
      <c r="AC28" s="482"/>
      <c r="AD28" s="464"/>
      <c r="AE28" s="464"/>
      <c r="AF28" s="438"/>
    </row>
    <row r="29" spans="1:32" s="433" customFormat="1" ht="15.75">
      <c r="A29" s="434">
        <v>113</v>
      </c>
      <c r="B29" s="581"/>
      <c r="C29" s="581">
        <v>17</v>
      </c>
      <c r="D29" s="581"/>
      <c r="E29" s="889" t="s">
        <v>0</v>
      </c>
      <c r="F29" s="962" t="s">
        <v>44</v>
      </c>
      <c r="G29" s="927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IFERROR(LOOKUP(1,0/((成型機資料庫!$F$272:$F$295=J29)*(成型機資料庫!$G$272:$G$295=K29)),成型機資料庫!$K$272:$K$295),0)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IFERROR(LOOKUP(1,0/((成型機資料庫!$F$272:$F$295=J29)*(成型機資料庫!$G$272:$G$295=K29)),成型機資料庫!$I$272:$I$295),0)</f>
        <v>0</v>
      </c>
      <c r="U29" s="483">
        <f>IFERROR(LOOKUP(1,0/((成型機資料庫!$F$272:$F$295=J29)*(成型機資料庫!$G$272:$G$295=K29)),成型機資料庫!$J$272:$J$295),0)</f>
        <v>0</v>
      </c>
      <c r="V29" s="900">
        <f>IFERROR(LOOKUP(1,0/((成型機資料庫!$F$272:$F$295=J29)*(成型機資料庫!$G$272:$G$295=K29)),成型機資料庫!$L$272:$L$295),0)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1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18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IFERROR(LOOKUP(1,0/((成型機資料庫!$F$272:$F$295=J30)*(成型機資料庫!$G$272:$G$295=K30)),成型機資料庫!$K$272:$K$295),0)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IFERROR(LOOKUP(1,0/((成型機資料庫!$F$272:$F$295=J30)*(成型機資料庫!$G$272:$G$295=K30)),成型機資料庫!$I$272:$I$295),0)</f>
        <v>0</v>
      </c>
      <c r="U30" s="483">
        <f>IFERROR(LOOKUP(1,0/((成型機資料庫!$F$272:$F$295=J30)*(成型機資料庫!$G$272:$G$295=K30)),成型機資料庫!$J$272:$J$295),0)</f>
        <v>0</v>
      </c>
      <c r="V30" s="900">
        <f>IFERROR(LOOKUP(1,0/((成型機資料庫!$F$272:$F$295=J30)*(成型機資料庫!$G$272:$G$295=K30)),成型機資料庫!$L$272:$L$295),0)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1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19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IFERROR(LOOKUP(1,0/((成型機資料庫!$F$272:$F$295=J31)*(成型機資料庫!$G$272:$G$295=K31)),成型機資料庫!$K$272:$K$295),0)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IFERROR(LOOKUP(1,0/((成型機資料庫!$F$272:$F$295=J31)*(成型機資料庫!$G$272:$G$295=K31)),成型機資料庫!$I$272:$I$295),0)</f>
        <v>0</v>
      </c>
      <c r="U31" s="483">
        <f>IFERROR(LOOKUP(1,0/((成型機資料庫!$F$272:$F$295=J31)*(成型機資料庫!$G$272:$G$295=K31)),成型機資料庫!$J$272:$J$295),0)</f>
        <v>0</v>
      </c>
      <c r="V31" s="900">
        <f>IFERROR(LOOKUP(1,0/((成型機資料庫!$F$272:$F$295=J31)*(成型機資料庫!$G$272:$G$295=K31)),成型機資料庫!$L$272:$L$295),0)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1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20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IFERROR(LOOKUP(1,0/((成型機資料庫!$F$272:$F$295=J32)*(成型機資料庫!$G$272:$G$295=K32)),成型機資料庫!$K$272:$K$295),0)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IFERROR(LOOKUP(1,0/((成型機資料庫!$F$272:$F$295=J32)*(成型機資料庫!$G$272:$G$295=K32)),成型機資料庫!$I$272:$I$295),0)</f>
        <v>0</v>
      </c>
      <c r="U32" s="483">
        <f>IFERROR(LOOKUP(1,0/((成型機資料庫!$F$272:$F$295=J32)*(成型機資料庫!$G$272:$G$295=K32)),成型機資料庫!$J$272:$J$295),0)</f>
        <v>0</v>
      </c>
      <c r="V32" s="900">
        <f>IFERROR(LOOKUP(1,0/((成型機資料庫!$F$272:$F$295=J32)*(成型機資料庫!$G$272:$G$295=K32)),成型機資料庫!$L$272:$L$295),0)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1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21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IFERROR(LOOKUP(1,0/((成型機資料庫!$F$272:$F$295=J33)*(成型機資料庫!$G$272:$G$295=K33)),成型機資料庫!$K$272:$K$295),0)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IFERROR(LOOKUP(1,0/((成型機資料庫!$F$272:$F$295=J33)*(成型機資料庫!$G$272:$G$295=K33)),成型機資料庫!$I$272:$I$295),0)</f>
        <v>0</v>
      </c>
      <c r="U33" s="483">
        <f>IFERROR(LOOKUP(1,0/((成型機資料庫!$F$272:$F$295=J33)*(成型機資料庫!$G$272:$G$295=K33)),成型機資料庫!$J$272:$J$295),0)</f>
        <v>0</v>
      </c>
      <c r="V33" s="900">
        <f>IFERROR(LOOKUP(1,0/((成型機資料庫!$F$272:$F$295=J33)*(成型機資料庫!$G$272:$G$295=K33)),成型機資料庫!$L$272:$L$295),0)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1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22</v>
      </c>
      <c r="D34" s="581"/>
      <c r="E34" s="889" t="s">
        <v>0</v>
      </c>
      <c r="F34" s="962" t="s">
        <v>44</v>
      </c>
      <c r="G34" s="927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IFERROR(LOOKUP(1,0/((成型機資料庫!$F$272:$F$295=J34)*(成型機資料庫!$G$272:$G$295=K34)),成型機資料庫!$K$272:$K$295),0)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IFERROR(LOOKUP(1,0/((成型機資料庫!$F$272:$F$295=J34)*(成型機資料庫!$G$272:$G$295=K34)),成型機資料庫!$I$272:$I$295),0)</f>
        <v>0</v>
      </c>
      <c r="U34" s="483">
        <f>IFERROR(LOOKUP(1,0/((成型機資料庫!$F$272:$F$295=J34)*(成型機資料庫!$G$272:$G$295=K34)),成型機資料庫!$J$272:$J$295),0)</f>
        <v>0</v>
      </c>
      <c r="V34" s="900">
        <f>IFERROR(LOOKUP(1,0/((成型機資料庫!$F$272:$F$295=J34)*(成型機資料庫!$G$272:$G$295=K34)),成型機資料庫!$L$272:$L$295),0)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1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23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IFERROR(LOOKUP(1,0/((成型機資料庫!$F$272:$F$295=J35)*(成型機資料庫!$G$272:$G$295=K35)),成型機資料庫!$K$272:$K$295),0)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IFERROR(LOOKUP(1,0/((成型機資料庫!$F$272:$F$295=J35)*(成型機資料庫!$G$272:$G$295=K35)),成型機資料庫!$I$272:$I$295),0)</f>
        <v>0</v>
      </c>
      <c r="U35" s="483">
        <f>IFERROR(LOOKUP(1,0/((成型機資料庫!$F$272:$F$295=J35)*(成型機資料庫!$G$272:$G$295=K35)),成型機資料庫!$J$272:$J$295),0)</f>
        <v>0</v>
      </c>
      <c r="V35" s="900">
        <f>IFERROR(LOOKUP(1,0/((成型機資料庫!$F$272:$F$295=J35)*(成型機資料庫!$G$272:$G$295=K35)),成型機資料庫!$L$272:$L$295),0)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1"/>
        <v>0</v>
      </c>
      <c r="AB35" s="438"/>
      <c r="AC35" s="482"/>
      <c r="AD35" s="464"/>
      <c r="AE35" s="464"/>
      <c r="AF35" s="438"/>
    </row>
    <row r="36" spans="1:32" s="433" customFormat="1" ht="15.75">
      <c r="A36" s="434">
        <v>113</v>
      </c>
      <c r="B36" s="434"/>
      <c r="C36" s="434">
        <v>24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IFERROR(LOOKUP(1,0/((成型機資料庫!$F$272:$F$295=J36)*(成型機資料庫!$G$272:$G$295=K36)),成型機資料庫!$K$272:$K$295),0)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IFERROR(LOOKUP(1,0/((成型機資料庫!$F$272:$F$295=J36)*(成型機資料庫!$G$272:$G$295=K36)),成型機資料庫!$I$272:$I$295),0)</f>
        <v>0</v>
      </c>
      <c r="U36" s="483">
        <f>IFERROR(LOOKUP(1,0/((成型機資料庫!$F$272:$F$295=J36)*(成型機資料庫!$G$272:$G$295=K36)),成型機資料庫!$J$272:$J$295),0)</f>
        <v>0</v>
      </c>
      <c r="V36" s="900">
        <f>IFERROR(LOOKUP(1,0/((成型機資料庫!$F$272:$F$295=J36)*(成型機資料庫!$G$272:$G$295=K36)),成型機資料庫!$L$272:$L$295),0)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1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25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IFERROR(LOOKUP(1,0/((成型機資料庫!$F$272:$F$295=J37)*(成型機資料庫!$G$272:$G$295=K37)),成型機資料庫!$K$272:$K$295),0)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IFERROR(LOOKUP(1,0/((成型機資料庫!$F$272:$F$295=J37)*(成型機資料庫!$G$272:$G$295=K37)),成型機資料庫!$I$272:$I$295),0)</f>
        <v>0</v>
      </c>
      <c r="U37" s="483">
        <f>IFERROR(LOOKUP(1,0/((成型機資料庫!$F$272:$F$295=J37)*(成型機資料庫!$G$272:$G$295=K37)),成型機資料庫!$J$272:$J$295),0)</f>
        <v>0</v>
      </c>
      <c r="V37" s="900">
        <f>IFERROR(LOOKUP(1,0/((成型機資料庫!$F$272:$F$295=J37)*(成型機資料庫!$G$272:$G$295=K37)),成型機資料庫!$L$272:$L$295),0)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1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26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IFERROR(LOOKUP(1,0/((成型機資料庫!$F$272:$F$295=J38)*(成型機資料庫!$G$272:$G$295=K38)),成型機資料庫!$K$272:$K$295),0)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IFERROR(LOOKUP(1,0/((成型機資料庫!$F$272:$F$295=J38)*(成型機資料庫!$G$272:$G$295=K38)),成型機資料庫!$I$272:$I$295),0)</f>
        <v>0</v>
      </c>
      <c r="U38" s="483">
        <f>IFERROR(LOOKUP(1,0/((成型機資料庫!$F$272:$F$295=J38)*(成型機資料庫!$G$272:$G$295=K38)),成型機資料庫!$J$272:$J$295),0)</f>
        <v>0</v>
      </c>
      <c r="V38" s="900">
        <f>IFERROR(LOOKUP(1,0/((成型機資料庫!$F$272:$F$295=J38)*(成型機資料庫!$G$272:$G$295=K38)),成型機資料庫!$L$272:$L$295),0)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1"/>
        <v>0</v>
      </c>
      <c r="AB38" s="438"/>
      <c r="AC38" s="482"/>
      <c r="AD38" s="438"/>
      <c r="AE38" s="464"/>
      <c r="AF38" s="438"/>
    </row>
    <row r="39" spans="1:32" s="433" customFormat="1" ht="15.75">
      <c r="A39" s="434">
        <v>113</v>
      </c>
      <c r="B39" s="434"/>
      <c r="C39" s="434">
        <v>27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5"/>
        <v>0</v>
      </c>
      <c r="O39" s="901">
        <f t="shared" si="0"/>
        <v>0</v>
      </c>
      <c r="P39" s="460"/>
      <c r="Q39" s="438">
        <f>IFERROR(LOOKUP(1,0/((成型機資料庫!$F$272:$F$295=J39)*(成型機資料庫!$G$272:$G$295=K39)),成型機資料庫!$K$272:$K$295),0)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IFERROR(LOOKUP(1,0/((成型機資料庫!$F$272:$F$295=J39)*(成型機資料庫!$G$272:$G$295=K39)),成型機資料庫!$I$272:$I$295),0)</f>
        <v>0</v>
      </c>
      <c r="U39" s="483">
        <f>IFERROR(LOOKUP(1,0/((成型機資料庫!$F$272:$F$295=J39)*(成型機資料庫!$G$272:$G$295=K39)),成型機資料庫!$J$272:$J$295),0)</f>
        <v>0</v>
      </c>
      <c r="V39" s="900">
        <f>IFERROR(LOOKUP(1,0/((成型機資料庫!$F$272:$F$295=J39)*(成型機資料庫!$G$272:$G$295=K39)),成型機資料庫!$L$272:$L$295),0)</f>
        <v>0</v>
      </c>
      <c r="W39" s="898">
        <f t="shared" si="4"/>
        <v>0</v>
      </c>
      <c r="X39" s="923">
        <f t="shared" si="6"/>
        <v>0</v>
      </c>
      <c r="Y39" s="898">
        <f t="shared" si="7"/>
        <v>0</v>
      </c>
      <c r="Z39" s="923"/>
      <c r="AA39" s="478">
        <f t="shared" si="1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28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5"/>
        <v>0</v>
      </c>
      <c r="O40" s="901">
        <f t="shared" si="0"/>
        <v>0</v>
      </c>
      <c r="P40" s="460"/>
      <c r="Q40" s="438">
        <f>IFERROR(LOOKUP(1,0/((成型機資料庫!$F$272:$F$295=J40)*(成型機資料庫!$G$272:$G$295=K40)),成型機資料庫!$K$272:$K$295),0)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IFERROR(LOOKUP(1,0/((成型機資料庫!$F$272:$F$295=J40)*(成型機資料庫!$G$272:$G$295=K40)),成型機資料庫!$I$272:$I$295),0)</f>
        <v>0</v>
      </c>
      <c r="U40" s="483">
        <f>IFERROR(LOOKUP(1,0/((成型機資料庫!$F$272:$F$295=J40)*(成型機資料庫!$G$272:$G$295=K40)),成型機資料庫!$J$272:$J$295),0)</f>
        <v>0</v>
      </c>
      <c r="V40" s="900">
        <f>IFERROR(LOOKUP(1,0/((成型機資料庫!$F$272:$F$295=J40)*(成型機資料庫!$G$272:$G$295=K40)),成型機資料庫!$L$272:$L$295),0)</f>
        <v>0</v>
      </c>
      <c r="W40" s="898">
        <f t="shared" si="4"/>
        <v>0</v>
      </c>
      <c r="X40" s="923">
        <f t="shared" si="6"/>
        <v>0</v>
      </c>
      <c r="Y40" s="898">
        <f t="shared" si="7"/>
        <v>0</v>
      </c>
      <c r="Z40" s="923"/>
      <c r="AA40" s="478">
        <f t="shared" si="1"/>
        <v>0</v>
      </c>
      <c r="AB40" s="438"/>
      <c r="AC40" s="482"/>
      <c r="AD40" s="464"/>
      <c r="AE40" s="438"/>
      <c r="AF40" s="438"/>
    </row>
    <row r="41" spans="1:32" s="433" customFormat="1" ht="15.75">
      <c r="A41" s="434">
        <v>113</v>
      </c>
      <c r="B41" s="581"/>
      <c r="C41" s="581">
        <v>29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5"/>
        <v>0</v>
      </c>
      <c r="O41" s="901">
        <f t="shared" si="0"/>
        <v>0</v>
      </c>
      <c r="P41" s="460"/>
      <c r="Q41" s="438">
        <f>IFERROR(LOOKUP(1,0/((成型機資料庫!$F$272:$F$295=J41)*(成型機資料庫!$G$272:$G$295=K41)),成型機資料庫!$K$272:$K$295),0)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IFERROR(LOOKUP(1,0/((成型機資料庫!$F$272:$F$295=J41)*(成型機資料庫!$G$272:$G$295=K41)),成型機資料庫!$I$272:$I$295),0)</f>
        <v>0</v>
      </c>
      <c r="U41" s="483">
        <f>IFERROR(LOOKUP(1,0/((成型機資料庫!$F$272:$F$295=J41)*(成型機資料庫!$G$272:$G$295=K41)),成型機資料庫!$J$272:$J$295),0)</f>
        <v>0</v>
      </c>
      <c r="V41" s="900">
        <f>IFERROR(LOOKUP(1,0/((成型機資料庫!$F$272:$F$295=J41)*(成型機資料庫!$G$272:$G$295=K41)),成型機資料庫!$L$272:$L$295),0)</f>
        <v>0</v>
      </c>
      <c r="W41" s="898">
        <f t="shared" si="4"/>
        <v>0</v>
      </c>
      <c r="X41" s="923">
        <f t="shared" si="6"/>
        <v>0</v>
      </c>
      <c r="Y41" s="898">
        <f t="shared" si="7"/>
        <v>0</v>
      </c>
      <c r="Z41" s="923"/>
      <c r="AA41" s="478">
        <f t="shared" si="1"/>
        <v>0</v>
      </c>
      <c r="AB41" s="438"/>
      <c r="AC41" s="482"/>
      <c r="AD41" s="464"/>
      <c r="AE41" s="464"/>
      <c r="AF41" s="438"/>
    </row>
    <row r="42" spans="1:32" s="433" customFormat="1" ht="15.75">
      <c r="A42" s="434">
        <v>113</v>
      </c>
      <c r="B42" s="581"/>
      <c r="C42" s="581">
        <v>30</v>
      </c>
      <c r="D42" s="581"/>
      <c r="E42" s="889" t="s">
        <v>0</v>
      </c>
      <c r="F42" s="962" t="s">
        <v>44</v>
      </c>
      <c r="G42" s="926"/>
      <c r="H42" s="464"/>
      <c r="I42" s="429"/>
      <c r="J42" s="429"/>
      <c r="K42" s="429"/>
      <c r="L42" s="464"/>
      <c r="M42" s="464"/>
      <c r="N42" s="900">
        <f t="shared" si="5"/>
        <v>0</v>
      </c>
      <c r="O42" s="901">
        <f t="shared" si="0"/>
        <v>0</v>
      </c>
      <c r="P42" s="460"/>
      <c r="Q42" s="438">
        <f>IFERROR(LOOKUP(1,0/((成型機資料庫!$F$272:$F$295=J42)*(成型機資料庫!$G$272:$G$295=K42)),成型機資料庫!$K$272:$K$295),0)</f>
        <v>0</v>
      </c>
      <c r="R42" s="899">
        <f t="shared" si="2"/>
        <v>0</v>
      </c>
      <c r="S42" s="898">
        <f t="shared" si="3"/>
        <v>0</v>
      </c>
      <c r="T42" s="482">
        <f>IFERROR(LOOKUP(1,0/((成型機資料庫!$F$272:$F$295=J42)*(成型機資料庫!$G$272:$G$295=K42)),成型機資料庫!$I$272:$I$295),0)</f>
        <v>0</v>
      </c>
      <c r="U42" s="483">
        <f>IFERROR(LOOKUP(1,0/((成型機資料庫!$F$272:$F$295=J42)*(成型機資料庫!$G$272:$G$295=K42)),成型機資料庫!$J$272:$J$295),0)</f>
        <v>0</v>
      </c>
      <c r="V42" s="900">
        <f>IFERROR(LOOKUP(1,0/((成型機資料庫!$F$272:$F$295=J42)*(成型機資料庫!$G$272:$G$295=K42)),成型機資料庫!$L$272:$L$295),0)</f>
        <v>0</v>
      </c>
      <c r="W42" s="898">
        <f t="shared" si="4"/>
        <v>0</v>
      </c>
      <c r="X42" s="923">
        <f t="shared" si="6"/>
        <v>0</v>
      </c>
      <c r="Y42" s="898">
        <f t="shared" si="7"/>
        <v>0</v>
      </c>
      <c r="Z42" s="923"/>
      <c r="AA42" s="478">
        <f t="shared" si="1"/>
        <v>0</v>
      </c>
      <c r="AB42" s="438"/>
      <c r="AC42" s="482"/>
      <c r="AD42" s="464"/>
      <c r="AE42" s="438"/>
      <c r="AF42" s="438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ht="15.75">
      <c r="A44" s="446"/>
      <c r="B44" s="456"/>
      <c r="C44" s="456"/>
      <c r="D44" s="456"/>
      <c r="E44" s="456"/>
      <c r="F44" s="448"/>
      <c r="G44" s="951"/>
      <c r="H44" s="452"/>
      <c r="I44" s="430"/>
      <c r="J44" s="430"/>
      <c r="K44" s="430"/>
      <c r="L44" s="452"/>
      <c r="M44" s="452"/>
      <c r="N44" s="945"/>
      <c r="O44" s="946"/>
      <c r="P44" s="868"/>
      <c r="Q44" s="467"/>
      <c r="R44" s="948"/>
      <c r="S44" s="936"/>
      <c r="T44" s="936"/>
      <c r="U44" s="936"/>
      <c r="V44" s="945"/>
      <c r="W44" s="936"/>
      <c r="X44" s="947"/>
      <c r="Y44" s="936"/>
      <c r="Z44" s="947"/>
      <c r="AA44" s="488"/>
      <c r="AB44" s="439"/>
      <c r="AC44" s="471"/>
      <c r="AD44" s="452"/>
      <c r="AE44" s="439"/>
      <c r="AF44" s="439"/>
    </row>
    <row r="45" spans="1:32" s="433" customFormat="1" thickBot="1">
      <c r="A45" s="446"/>
      <c r="B45" s="446"/>
      <c r="C45" s="446"/>
      <c r="D45" s="446"/>
      <c r="E45" s="446"/>
      <c r="F45" s="448"/>
      <c r="G45" s="448"/>
      <c r="H45" s="430"/>
      <c r="I45" s="430"/>
      <c r="J45" s="430"/>
      <c r="K45" s="430"/>
      <c r="L45" s="439"/>
      <c r="M45" s="452"/>
      <c r="N45" s="452"/>
      <c r="O45" s="457"/>
      <c r="P45" s="466"/>
      <c r="Q45" s="467"/>
      <c r="R45" s="486"/>
      <c r="S45" s="457"/>
      <c r="T45" s="457"/>
      <c r="U45" s="457"/>
      <c r="V45" s="458"/>
      <c r="W45" s="487">
        <f>SUM(W13:W42)</f>
        <v>0</v>
      </c>
      <c r="X45" s="487"/>
      <c r="Y45" s="487"/>
      <c r="Z45" s="487"/>
      <c r="AA45" s="488"/>
      <c r="AB45" s="489"/>
      <c r="AC45" s="489"/>
      <c r="AD45" s="469" t="s">
        <v>46</v>
      </c>
      <c r="AE45" s="439"/>
      <c r="AF45" s="439"/>
    </row>
    <row r="46" spans="1:32" s="469" customFormat="1" ht="31.5">
      <c r="A46" s="479"/>
      <c r="B46" s="479"/>
      <c r="C46" s="479"/>
      <c r="D46" s="479"/>
      <c r="E46" s="479"/>
      <c r="F46" s="452"/>
      <c r="G46" s="524" t="s">
        <v>503</v>
      </c>
      <c r="H46" s="517"/>
      <c r="I46" s="518"/>
      <c r="L46" s="1842" t="s">
        <v>1348</v>
      </c>
      <c r="M46" s="525" t="s">
        <v>1294</v>
      </c>
      <c r="N46" s="525" t="s">
        <v>1295</v>
      </c>
      <c r="O46" s="526" t="s">
        <v>458</v>
      </c>
      <c r="P46" s="520"/>
      <c r="Q46" s="521"/>
      <c r="R46" s="524" t="s">
        <v>504</v>
      </c>
      <c r="S46" s="524" t="s">
        <v>455</v>
      </c>
      <c r="T46" s="521"/>
      <c r="U46" s="521"/>
      <c r="V46" s="524" t="s">
        <v>1293</v>
      </c>
      <c r="W46" s="524" t="s">
        <v>459</v>
      </c>
      <c r="X46" s="521"/>
      <c r="Y46" s="524" t="s">
        <v>1345</v>
      </c>
      <c r="Z46" s="524" t="s">
        <v>1350</v>
      </c>
      <c r="AA46" s="524" t="s">
        <v>1351</v>
      </c>
      <c r="AB46" s="524" t="s">
        <v>1353</v>
      </c>
      <c r="AC46" s="524" t="s">
        <v>1352</v>
      </c>
      <c r="AD46" s="469" t="s">
        <v>253</v>
      </c>
      <c r="AE46" s="452"/>
      <c r="AF46" s="452"/>
    </row>
    <row r="47" spans="1:32" thickBot="1">
      <c r="G47" s="522">
        <f>SUM(G13:G42)</f>
        <v>0</v>
      </c>
      <c r="I47" s="431"/>
      <c r="J47" s="518"/>
      <c r="K47" s="518"/>
      <c r="L47" s="1843"/>
      <c r="M47" s="522">
        <f>SUM(M13:M42)</f>
        <v>0</v>
      </c>
      <c r="N47" s="522">
        <f>SUM(N13:N42)</f>
        <v>0</v>
      </c>
      <c r="O47" s="902">
        <f>SUM(O13:O42)</f>
        <v>0</v>
      </c>
      <c r="P47" s="470"/>
      <c r="R47" s="924">
        <f>SUM(R13:R42)</f>
        <v>0</v>
      </c>
      <c r="S47" s="897" t="e">
        <f>(G47-R47)/G47</f>
        <v>#DIV/0!</v>
      </c>
      <c r="T47" s="446"/>
      <c r="U47" s="446"/>
      <c r="V47" s="686" t="e">
        <f>N47/W47</f>
        <v>#DIV/0!</v>
      </c>
      <c r="W47" s="516" t="e">
        <f>W45/Y47</f>
        <v>#DIV/0!</v>
      </c>
      <c r="X47" s="446"/>
      <c r="Y47" s="516"/>
      <c r="Z47" s="958">
        <f>SUM(Z13:Z42)</f>
        <v>0</v>
      </c>
      <c r="AA47" s="516">
        <f>SUM(AA13:AA42)</f>
        <v>0</v>
      </c>
      <c r="AB47" s="516">
        <f>Z47-AA47</f>
        <v>0</v>
      </c>
      <c r="AC47" s="896" t="e">
        <f>AA47/Z47</f>
        <v>#DIV/0!</v>
      </c>
    </row>
    <row r="48" spans="1:32">
      <c r="G48" s="453"/>
      <c r="M48" s="453"/>
      <c r="N48" s="453"/>
      <c r="O48"/>
      <c r="P48" s="470"/>
      <c r="R48"/>
      <c r="S48"/>
      <c r="T48"/>
      <c r="U48"/>
    </row>
    <row r="49" spans="1:56" ht="17.25" thickBot="1"/>
    <row r="50" spans="1:56" ht="15.75">
      <c r="A50" s="1824" t="s">
        <v>668</v>
      </c>
      <c r="B50" s="1824" t="s">
        <v>330</v>
      </c>
      <c r="C50" s="1826" t="s">
        <v>311</v>
      </c>
      <c r="D50" s="1828" t="s">
        <v>331</v>
      </c>
      <c r="E50" s="1828" t="s">
        <v>332</v>
      </c>
      <c r="F50" s="1830" t="s">
        <v>194</v>
      </c>
      <c r="G50" s="1830" t="s">
        <v>386</v>
      </c>
      <c r="H50" s="1832" t="s">
        <v>360</v>
      </c>
      <c r="I50" s="1832" t="s">
        <v>361</v>
      </c>
      <c r="J50" s="1832" t="s">
        <v>510</v>
      </c>
      <c r="K50" s="1832" t="s">
        <v>1320</v>
      </c>
      <c r="L50" s="1828" t="s">
        <v>362</v>
      </c>
      <c r="M50" s="1828" t="s">
        <v>514</v>
      </c>
      <c r="N50" s="1856" t="s">
        <v>511</v>
      </c>
      <c r="O50" s="1858" t="s">
        <v>457</v>
      </c>
      <c r="P50" s="1836" t="s">
        <v>379</v>
      </c>
      <c r="Q50" s="1828" t="s">
        <v>627</v>
      </c>
      <c r="R50" s="1852" t="s">
        <v>381</v>
      </c>
      <c r="S50" s="1854" t="s">
        <v>435</v>
      </c>
      <c r="T50" s="1834" t="s">
        <v>365</v>
      </c>
      <c r="U50" s="1836" t="s">
        <v>366</v>
      </c>
      <c r="V50" s="1844" t="s">
        <v>1286</v>
      </c>
      <c r="W50" s="1846" t="s">
        <v>201</v>
      </c>
      <c r="X50" s="1846" t="s">
        <v>1318</v>
      </c>
      <c r="Y50" s="1846" t="s">
        <v>1319</v>
      </c>
      <c r="Z50" s="1849" t="s">
        <v>1285</v>
      </c>
      <c r="AA50" s="1849" t="s">
        <v>339</v>
      </c>
      <c r="AB50" s="1860" t="s">
        <v>340</v>
      </c>
      <c r="AC50" s="1861"/>
      <c r="AD50" s="1862" t="s">
        <v>371</v>
      </c>
      <c r="AE50" s="1862" t="s">
        <v>383</v>
      </c>
      <c r="AF50" s="1840" t="s">
        <v>29</v>
      </c>
    </row>
    <row r="51" spans="1:56" s="447" customFormat="1" thickBot="1">
      <c r="A51" s="1825"/>
      <c r="B51" s="1825"/>
      <c r="C51" s="1827"/>
      <c r="D51" s="1829"/>
      <c r="E51" s="1829"/>
      <c r="F51" s="1831"/>
      <c r="G51" s="1831"/>
      <c r="H51" s="1833"/>
      <c r="I51" s="1833"/>
      <c r="J51" s="1833"/>
      <c r="K51" s="1838"/>
      <c r="L51" s="1829"/>
      <c r="M51" s="1839"/>
      <c r="N51" s="1857"/>
      <c r="O51" s="1859"/>
      <c r="P51" s="1837"/>
      <c r="Q51" s="1829"/>
      <c r="R51" s="1853"/>
      <c r="S51" s="1855"/>
      <c r="T51" s="1835"/>
      <c r="U51" s="1837"/>
      <c r="V51" s="1845"/>
      <c r="W51" s="1847"/>
      <c r="X51" s="1848"/>
      <c r="Y51" s="1848"/>
      <c r="Z51" s="1850"/>
      <c r="AA51" s="1851"/>
      <c r="AB51" s="491" t="s">
        <v>350</v>
      </c>
      <c r="AC51" s="491" t="s">
        <v>351</v>
      </c>
      <c r="AD51" s="1863"/>
      <c r="AE51" s="1863"/>
      <c r="AF51" s="1841"/>
      <c r="AG51" s="446"/>
      <c r="AH51" s="446"/>
      <c r="AU51" s="446"/>
      <c r="AV51" s="446"/>
      <c r="AW51" s="446"/>
      <c r="AX51" s="446"/>
      <c r="AY51" s="446"/>
      <c r="AZ51" s="446"/>
      <c r="BA51" s="446"/>
      <c r="BB51" s="446"/>
      <c r="BC51" s="446"/>
      <c r="BD51" s="446"/>
    </row>
    <row r="52" spans="1:56" s="433" customFormat="1" ht="15.75">
      <c r="A52" s="434">
        <v>113</v>
      </c>
      <c r="B52" s="434"/>
      <c r="C52" s="434">
        <v>1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>M52*Q52</f>
        <v>0</v>
      </c>
      <c r="O52" s="901">
        <f t="shared" ref="O52:O81" si="8">L52*M52</f>
        <v>0</v>
      </c>
      <c r="P52" s="460"/>
      <c r="Q52" s="438">
        <f>IFERROR(LOOKUP(1,0/((成型機資料庫!$F$272:$F$295=J52)*(成型機資料庫!$G$272:$G$295=K52)),成型機資料庫!$K$272:$K$295),0)</f>
        <v>0</v>
      </c>
      <c r="R52" s="899">
        <f t="shared" ref="R52:R81" si="9">M52*Q52*P52/1000</f>
        <v>0</v>
      </c>
      <c r="S52" s="898">
        <f t="shared" ref="S52:S81" si="10">IFERROR((G52-R52)/G52,0)</f>
        <v>0</v>
      </c>
      <c r="T52" s="482">
        <f>IFERROR(LOOKUP(1,0/((成型機資料庫!$F$272:$F$295=J52)*(成型機資料庫!$G$272:$G$295=K52)),成型機資料庫!$I$272:$I$295),0)</f>
        <v>0</v>
      </c>
      <c r="U52" s="483">
        <f>IFERROR(LOOKUP(1,0/((成型機資料庫!$F$272:$F$295=J52)*(成型機資料庫!$G$272:$G$295=K52)),成型機資料庫!$J$272:$J$295),0)</f>
        <v>0</v>
      </c>
      <c r="V52" s="900">
        <f>IFERROR(LOOKUP(1,0/((成型機資料庫!$F$272:$F$295=J52)*(成型機資料庫!$G$272:$G$295=K52)),成型機資料庫!$L$272:$L$295),0)</f>
        <v>0</v>
      </c>
      <c r="W52" s="898">
        <f t="shared" ref="W52:W81" si="11">IFERROR(M52/V52,0)</f>
        <v>0</v>
      </c>
      <c r="X52" s="923">
        <f>IFERROR(T52*U52*60*AA52/Q52,0)</f>
        <v>0</v>
      </c>
      <c r="Y52" s="898">
        <f>IFERROR(M52/X52,0)</f>
        <v>0</v>
      </c>
      <c r="Z52" s="923"/>
      <c r="AA52" s="478">
        <f t="shared" ref="AA52:AA81" si="12">AB52+AC52/60</f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2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ref="N53:N81" si="13">M53*Q53</f>
        <v>0</v>
      </c>
      <c r="O53" s="901">
        <f t="shared" si="8"/>
        <v>0</v>
      </c>
      <c r="P53" s="460"/>
      <c r="Q53" s="438">
        <f>IFERROR(LOOKUP(1,0/((成型機資料庫!$F$272:$F$295=J53)*(成型機資料庫!$G$272:$G$295=K53)),成型機資料庫!$K$272:$K$295),0)</f>
        <v>0</v>
      </c>
      <c r="R53" s="899">
        <f t="shared" si="9"/>
        <v>0</v>
      </c>
      <c r="S53" s="898">
        <f t="shared" si="10"/>
        <v>0</v>
      </c>
      <c r="T53" s="482">
        <f>IFERROR(LOOKUP(1,0/((成型機資料庫!$F$272:$F$295=J53)*(成型機資料庫!$G$272:$G$295=K53)),成型機資料庫!$I$272:$I$295),0)</f>
        <v>0</v>
      </c>
      <c r="U53" s="483">
        <f>IFERROR(LOOKUP(1,0/((成型機資料庫!$F$272:$F$295=J53)*(成型機資料庫!$G$272:$G$295=K53)),成型機資料庫!$J$272:$J$295),0)</f>
        <v>0</v>
      </c>
      <c r="V53" s="900">
        <f>IFERROR(LOOKUP(1,0/((成型機資料庫!$F$272:$F$295=J53)*(成型機資料庫!$G$272:$G$295=K53)),成型機資料庫!$L$272:$L$295),0)</f>
        <v>0</v>
      </c>
      <c r="W53" s="898">
        <f t="shared" si="11"/>
        <v>0</v>
      </c>
      <c r="X53" s="923">
        <f t="shared" ref="X53:X81" si="14">IFERROR(T53*U53*60*AA53/Q53,0)</f>
        <v>0</v>
      </c>
      <c r="Y53" s="898">
        <f t="shared" ref="Y53:Y81" si="15">IFERROR(M53/X53,0)</f>
        <v>0</v>
      </c>
      <c r="Z53" s="923"/>
      <c r="AA53" s="478">
        <f t="shared" si="12"/>
        <v>0</v>
      </c>
      <c r="AB53" s="438"/>
      <c r="AC53" s="482"/>
      <c r="AD53" s="464"/>
      <c r="AE53" s="438"/>
      <c r="AF53" s="438"/>
    </row>
    <row r="54" spans="1:56" s="433" customFormat="1" ht="15.75">
      <c r="A54" s="434">
        <v>113</v>
      </c>
      <c r="B54" s="581"/>
      <c r="C54" s="581">
        <v>3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8"/>
        <v>0</v>
      </c>
      <c r="P54" s="460"/>
      <c r="Q54" s="438">
        <f>IFERROR(LOOKUP(1,0/((成型機資料庫!$F$272:$F$295=J54)*(成型機資料庫!$G$272:$G$295=K54)),成型機資料庫!$K$272:$K$295),0)</f>
        <v>0</v>
      </c>
      <c r="R54" s="899">
        <f t="shared" si="9"/>
        <v>0</v>
      </c>
      <c r="S54" s="898">
        <f t="shared" si="10"/>
        <v>0</v>
      </c>
      <c r="T54" s="482">
        <f>IFERROR(LOOKUP(1,0/((成型機資料庫!$F$272:$F$295=J54)*(成型機資料庫!$G$272:$G$295=K54)),成型機資料庫!$I$272:$I$295),0)</f>
        <v>0</v>
      </c>
      <c r="U54" s="483">
        <f>IFERROR(LOOKUP(1,0/((成型機資料庫!$F$272:$F$295=J54)*(成型機資料庫!$G$272:$G$295=K54)),成型機資料庫!$J$272:$J$295),0)</f>
        <v>0</v>
      </c>
      <c r="V54" s="900">
        <f>IFERROR(LOOKUP(1,0/((成型機資料庫!$F$272:$F$295=J54)*(成型機資料庫!$G$272:$G$295=K54)),成型機資料庫!$L$272:$L$295),0)</f>
        <v>0</v>
      </c>
      <c r="W54" s="898">
        <f t="shared" si="11"/>
        <v>0</v>
      </c>
      <c r="X54" s="923">
        <f t="shared" si="14"/>
        <v>0</v>
      </c>
      <c r="Y54" s="898">
        <f t="shared" si="15"/>
        <v>0</v>
      </c>
      <c r="Z54" s="923"/>
      <c r="AA54" s="478">
        <f t="shared" si="12"/>
        <v>0</v>
      </c>
      <c r="AB54" s="438"/>
      <c r="AC54" s="482"/>
      <c r="AD54" s="438"/>
      <c r="AE54" s="438"/>
      <c r="AF54" s="438"/>
    </row>
    <row r="55" spans="1:56" s="433" customFormat="1" ht="15.75">
      <c r="A55" s="434">
        <v>113</v>
      </c>
      <c r="B55" s="581"/>
      <c r="C55" s="581">
        <v>4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8"/>
        <v>0</v>
      </c>
      <c r="P55" s="460"/>
      <c r="Q55" s="438">
        <f>IFERROR(LOOKUP(1,0/((成型機資料庫!$F$272:$F$295=J55)*(成型機資料庫!$G$272:$G$295=K55)),成型機資料庫!$K$272:$K$295),0)</f>
        <v>0</v>
      </c>
      <c r="R55" s="899">
        <f t="shared" si="9"/>
        <v>0</v>
      </c>
      <c r="S55" s="898">
        <f t="shared" si="10"/>
        <v>0</v>
      </c>
      <c r="T55" s="482">
        <f>IFERROR(LOOKUP(1,0/((成型機資料庫!$F$272:$F$295=J55)*(成型機資料庫!$G$272:$G$295=K55)),成型機資料庫!$I$272:$I$295),0)</f>
        <v>0</v>
      </c>
      <c r="U55" s="483">
        <f>IFERROR(LOOKUP(1,0/((成型機資料庫!$F$272:$F$295=J55)*(成型機資料庫!$G$272:$G$295=K55)),成型機資料庫!$J$272:$J$295),0)</f>
        <v>0</v>
      </c>
      <c r="V55" s="900">
        <f>IFERROR(LOOKUP(1,0/((成型機資料庫!$F$272:$F$295=J55)*(成型機資料庫!$G$272:$G$295=K55)),成型機資料庫!$L$272:$L$295),0)</f>
        <v>0</v>
      </c>
      <c r="W55" s="898">
        <f t="shared" si="11"/>
        <v>0</v>
      </c>
      <c r="X55" s="923">
        <f t="shared" si="14"/>
        <v>0</v>
      </c>
      <c r="Y55" s="898">
        <f t="shared" si="15"/>
        <v>0</v>
      </c>
      <c r="Z55" s="923"/>
      <c r="AA55" s="478">
        <f t="shared" si="12"/>
        <v>0</v>
      </c>
      <c r="AB55" s="438"/>
      <c r="AC55" s="482"/>
      <c r="AD55" s="438"/>
      <c r="AE55" s="464"/>
      <c r="AF55" s="438"/>
    </row>
    <row r="56" spans="1:56" s="433" customFormat="1" ht="15.75">
      <c r="A56" s="434">
        <v>113</v>
      </c>
      <c r="B56" s="581"/>
      <c r="C56" s="581">
        <v>5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8"/>
        <v>0</v>
      </c>
      <c r="P56" s="460"/>
      <c r="Q56" s="438">
        <f>IFERROR(LOOKUP(1,0/((成型機資料庫!$F$272:$F$295=J56)*(成型機資料庫!$G$272:$G$295=K56)),成型機資料庫!$K$272:$K$295),0)</f>
        <v>0</v>
      </c>
      <c r="R56" s="899">
        <f t="shared" si="9"/>
        <v>0</v>
      </c>
      <c r="S56" s="898">
        <f t="shared" si="10"/>
        <v>0</v>
      </c>
      <c r="T56" s="482">
        <f>IFERROR(LOOKUP(1,0/((成型機資料庫!$F$272:$F$295=J56)*(成型機資料庫!$G$272:$G$295=K56)),成型機資料庫!$I$272:$I$295),0)</f>
        <v>0</v>
      </c>
      <c r="U56" s="483">
        <f>IFERROR(LOOKUP(1,0/((成型機資料庫!$F$272:$F$295=J56)*(成型機資料庫!$G$272:$G$295=K56)),成型機資料庫!$J$272:$J$295),0)</f>
        <v>0</v>
      </c>
      <c r="V56" s="900">
        <f>IFERROR(LOOKUP(1,0/((成型機資料庫!$F$272:$F$295=J56)*(成型機資料庫!$G$272:$G$295=K56)),成型機資料庫!$L$272:$L$295),0)</f>
        <v>0</v>
      </c>
      <c r="W56" s="898">
        <f t="shared" si="11"/>
        <v>0</v>
      </c>
      <c r="X56" s="923">
        <f t="shared" si="14"/>
        <v>0</v>
      </c>
      <c r="Y56" s="898">
        <f t="shared" si="15"/>
        <v>0</v>
      </c>
      <c r="Z56" s="923"/>
      <c r="AA56" s="478">
        <f t="shared" si="12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6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8"/>
        <v>0</v>
      </c>
      <c r="P57" s="460"/>
      <c r="Q57" s="438">
        <f>IFERROR(LOOKUP(1,0/((成型機資料庫!$F$272:$F$295=J57)*(成型機資料庫!$G$272:$G$295=K57)),成型機資料庫!$K$272:$K$295),0)</f>
        <v>0</v>
      </c>
      <c r="R57" s="899">
        <f t="shared" si="9"/>
        <v>0</v>
      </c>
      <c r="S57" s="898">
        <f t="shared" si="10"/>
        <v>0</v>
      </c>
      <c r="T57" s="482">
        <f>IFERROR(LOOKUP(1,0/((成型機資料庫!$F$272:$F$295=J57)*(成型機資料庫!$G$272:$G$295=K57)),成型機資料庫!$I$272:$I$295),0)</f>
        <v>0</v>
      </c>
      <c r="U57" s="483">
        <f>IFERROR(LOOKUP(1,0/((成型機資料庫!$F$272:$F$295=J57)*(成型機資料庫!$G$272:$G$295=K57)),成型機資料庫!$J$272:$J$295),0)</f>
        <v>0</v>
      </c>
      <c r="V57" s="900">
        <f>IFERROR(LOOKUP(1,0/((成型機資料庫!$F$272:$F$295=J57)*(成型機資料庫!$G$272:$G$295=K57)),成型機資料庫!$L$272:$L$295),0)</f>
        <v>0</v>
      </c>
      <c r="W57" s="898">
        <f t="shared" si="11"/>
        <v>0</v>
      </c>
      <c r="X57" s="923">
        <f t="shared" si="14"/>
        <v>0</v>
      </c>
      <c r="Y57" s="898">
        <f t="shared" si="15"/>
        <v>0</v>
      </c>
      <c r="Z57" s="923"/>
      <c r="AA57" s="478">
        <f t="shared" si="12"/>
        <v>0</v>
      </c>
      <c r="AB57" s="438"/>
      <c r="AC57" s="482"/>
      <c r="AD57" s="879"/>
      <c r="AE57" s="438"/>
      <c r="AF57" s="438"/>
    </row>
    <row r="58" spans="1:56" s="433" customFormat="1" ht="15.75">
      <c r="A58" s="434">
        <v>113</v>
      </c>
      <c r="B58" s="581"/>
      <c r="C58" s="581">
        <v>7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8"/>
        <v>0</v>
      </c>
      <c r="P58" s="460"/>
      <c r="Q58" s="438">
        <f>IFERROR(LOOKUP(1,0/((成型機資料庫!$F$272:$F$295=J58)*(成型機資料庫!$G$272:$G$295=K58)),成型機資料庫!$K$272:$K$295),0)</f>
        <v>0</v>
      </c>
      <c r="R58" s="899">
        <f t="shared" si="9"/>
        <v>0</v>
      </c>
      <c r="S58" s="898">
        <f t="shared" si="10"/>
        <v>0</v>
      </c>
      <c r="T58" s="482">
        <f>IFERROR(LOOKUP(1,0/((成型機資料庫!$F$272:$F$295=J58)*(成型機資料庫!$G$272:$G$295=K58)),成型機資料庫!$I$272:$I$295),0)</f>
        <v>0</v>
      </c>
      <c r="U58" s="483">
        <f>IFERROR(LOOKUP(1,0/((成型機資料庫!$F$272:$F$295=J58)*(成型機資料庫!$G$272:$G$295=K58)),成型機資料庫!$J$272:$J$295),0)</f>
        <v>0</v>
      </c>
      <c r="V58" s="900">
        <f>IFERROR(LOOKUP(1,0/((成型機資料庫!$F$272:$F$295=J58)*(成型機資料庫!$G$272:$G$295=K58)),成型機資料庫!$L$272:$L$295),0)</f>
        <v>0</v>
      </c>
      <c r="W58" s="898">
        <f t="shared" si="11"/>
        <v>0</v>
      </c>
      <c r="X58" s="923">
        <f t="shared" si="14"/>
        <v>0</v>
      </c>
      <c r="Y58" s="898">
        <f t="shared" si="15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8</v>
      </c>
      <c r="D59" s="581"/>
      <c r="E59" s="581" t="s">
        <v>43</v>
      </c>
      <c r="F59" s="436" t="s">
        <v>44</v>
      </c>
      <c r="G59" s="927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8"/>
        <v>0</v>
      </c>
      <c r="P59" s="460"/>
      <c r="Q59" s="438">
        <f>IFERROR(LOOKUP(1,0/((成型機資料庫!$F$272:$F$295=J59)*(成型機資料庫!$G$272:$G$295=K59)),成型機資料庫!$K$272:$K$295),0)</f>
        <v>0</v>
      </c>
      <c r="R59" s="899">
        <f t="shared" si="9"/>
        <v>0</v>
      </c>
      <c r="S59" s="898">
        <f t="shared" si="10"/>
        <v>0</v>
      </c>
      <c r="T59" s="482">
        <f>IFERROR(LOOKUP(1,0/((成型機資料庫!$F$272:$F$295=J59)*(成型機資料庫!$G$272:$G$295=K59)),成型機資料庫!$I$272:$I$295),0)</f>
        <v>0</v>
      </c>
      <c r="U59" s="483">
        <f>IFERROR(LOOKUP(1,0/((成型機資料庫!$F$272:$F$295=J59)*(成型機資料庫!$G$272:$G$295=K59)),成型機資料庫!$J$272:$J$295),0)</f>
        <v>0</v>
      </c>
      <c r="V59" s="900">
        <f>IFERROR(LOOKUP(1,0/((成型機資料庫!$F$272:$F$295=J59)*(成型機資料庫!$G$272:$G$295=K59)),成型機資料庫!$L$272:$L$295),0)</f>
        <v>0</v>
      </c>
      <c r="W59" s="898">
        <f t="shared" si="11"/>
        <v>0</v>
      </c>
      <c r="X59" s="923">
        <f t="shared" si="14"/>
        <v>0</v>
      </c>
      <c r="Y59" s="898">
        <f t="shared" si="15"/>
        <v>0</v>
      </c>
      <c r="Z59" s="923"/>
      <c r="AA59" s="478">
        <f t="shared" si="12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9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8"/>
        <v>0</v>
      </c>
      <c r="P60" s="460"/>
      <c r="Q60" s="438">
        <f>IFERROR(LOOKUP(1,0/((成型機資料庫!$F$272:$F$295=J60)*(成型機資料庫!$G$272:$G$295=K60)),成型機資料庫!$K$272:$K$295),0)</f>
        <v>0</v>
      </c>
      <c r="R60" s="899">
        <f t="shared" si="9"/>
        <v>0</v>
      </c>
      <c r="S60" s="898">
        <f t="shared" si="10"/>
        <v>0</v>
      </c>
      <c r="T60" s="482">
        <f>IFERROR(LOOKUP(1,0/((成型機資料庫!$F$272:$F$295=J60)*(成型機資料庫!$G$272:$G$295=K60)),成型機資料庫!$I$272:$I$295),0)</f>
        <v>0</v>
      </c>
      <c r="U60" s="483">
        <f>IFERROR(LOOKUP(1,0/((成型機資料庫!$F$272:$F$295=J60)*(成型機資料庫!$G$272:$G$295=K60)),成型機資料庫!$J$272:$J$295),0)</f>
        <v>0</v>
      </c>
      <c r="V60" s="900">
        <f>IFERROR(LOOKUP(1,0/((成型機資料庫!$F$272:$F$295=J60)*(成型機資料庫!$G$272:$G$295=K60)),成型機資料庫!$L$272:$L$295),0)</f>
        <v>0</v>
      </c>
      <c r="W60" s="898">
        <f t="shared" si="11"/>
        <v>0</v>
      </c>
      <c r="X60" s="923">
        <f t="shared" si="14"/>
        <v>0</v>
      </c>
      <c r="Y60" s="898">
        <f t="shared" si="15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10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8"/>
        <v>0</v>
      </c>
      <c r="P61" s="460"/>
      <c r="Q61" s="438">
        <f>IFERROR(LOOKUP(1,0/((成型機資料庫!$F$272:$F$295=J61)*(成型機資料庫!$G$272:$G$295=K61)),成型機資料庫!$K$272:$K$295),0)</f>
        <v>0</v>
      </c>
      <c r="R61" s="899">
        <f t="shared" si="9"/>
        <v>0</v>
      </c>
      <c r="S61" s="898">
        <f t="shared" si="10"/>
        <v>0</v>
      </c>
      <c r="T61" s="482">
        <f>IFERROR(LOOKUP(1,0/((成型機資料庫!$F$272:$F$295=J61)*(成型機資料庫!$G$272:$G$295=K61)),成型機資料庫!$I$272:$I$295),0)</f>
        <v>0</v>
      </c>
      <c r="U61" s="483">
        <f>IFERROR(LOOKUP(1,0/((成型機資料庫!$F$272:$F$295=J61)*(成型機資料庫!$G$272:$G$295=K61)),成型機資料庫!$J$272:$J$295),0)</f>
        <v>0</v>
      </c>
      <c r="V61" s="900">
        <f>IFERROR(LOOKUP(1,0/((成型機資料庫!$F$272:$F$295=J61)*(成型機資料庫!$G$272:$G$295=K61)),成型機資料庫!$L$272:$L$295),0)</f>
        <v>0</v>
      </c>
      <c r="W61" s="898">
        <f t="shared" si="11"/>
        <v>0</v>
      </c>
      <c r="X61" s="923">
        <f t="shared" si="14"/>
        <v>0</v>
      </c>
      <c r="Y61" s="898">
        <f t="shared" si="15"/>
        <v>0</v>
      </c>
      <c r="Z61" s="923"/>
      <c r="AA61" s="478">
        <f t="shared" si="12"/>
        <v>0</v>
      </c>
      <c r="AB61" s="438"/>
      <c r="AC61" s="482"/>
      <c r="AD61" s="438"/>
      <c r="AE61" s="438"/>
      <c r="AF61" s="438"/>
    </row>
    <row r="62" spans="1:56" s="433" customFormat="1" ht="15.75">
      <c r="A62" s="434">
        <v>113</v>
      </c>
      <c r="B62" s="581"/>
      <c r="C62" s="581">
        <v>11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8"/>
        <v>0</v>
      </c>
      <c r="P62" s="460"/>
      <c r="Q62" s="438">
        <f>IFERROR(LOOKUP(1,0/((成型機資料庫!$F$272:$F$295=J62)*(成型機資料庫!$G$272:$G$295=K62)),成型機資料庫!$K$272:$K$295),0)</f>
        <v>0</v>
      </c>
      <c r="R62" s="899">
        <f t="shared" si="9"/>
        <v>0</v>
      </c>
      <c r="S62" s="898">
        <f t="shared" si="10"/>
        <v>0</v>
      </c>
      <c r="T62" s="482">
        <f>IFERROR(LOOKUP(1,0/((成型機資料庫!$F$272:$F$295=J62)*(成型機資料庫!$G$272:$G$295=K62)),成型機資料庫!$I$272:$I$295),0)</f>
        <v>0</v>
      </c>
      <c r="U62" s="483">
        <f>IFERROR(LOOKUP(1,0/((成型機資料庫!$F$272:$F$295=J62)*(成型機資料庫!$G$272:$G$295=K62)),成型機資料庫!$J$272:$J$295),0)</f>
        <v>0</v>
      </c>
      <c r="V62" s="900">
        <f>IFERROR(LOOKUP(1,0/((成型機資料庫!$F$272:$F$295=J62)*(成型機資料庫!$G$272:$G$295=K62)),成型機資料庫!$L$272:$L$295),0)</f>
        <v>0</v>
      </c>
      <c r="W62" s="898">
        <f t="shared" si="11"/>
        <v>0</v>
      </c>
      <c r="X62" s="923">
        <f t="shared" si="14"/>
        <v>0</v>
      </c>
      <c r="Y62" s="898">
        <f t="shared" si="15"/>
        <v>0</v>
      </c>
      <c r="Z62" s="923"/>
      <c r="AA62" s="478">
        <f t="shared" si="12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12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8"/>
        <v>0</v>
      </c>
      <c r="P63" s="460"/>
      <c r="Q63" s="438">
        <f>IFERROR(LOOKUP(1,0/((成型機資料庫!$F$272:$F$295=J63)*(成型機資料庫!$G$272:$G$295=K63)),成型機資料庫!$K$272:$K$295),0)</f>
        <v>0</v>
      </c>
      <c r="R63" s="899">
        <f t="shared" si="9"/>
        <v>0</v>
      </c>
      <c r="S63" s="898">
        <f t="shared" si="10"/>
        <v>0</v>
      </c>
      <c r="T63" s="482">
        <f>IFERROR(LOOKUP(1,0/((成型機資料庫!$F$272:$F$295=J63)*(成型機資料庫!$G$272:$G$295=K63)),成型機資料庫!$I$272:$I$295),0)</f>
        <v>0</v>
      </c>
      <c r="U63" s="483">
        <f>IFERROR(LOOKUP(1,0/((成型機資料庫!$F$272:$F$295=J63)*(成型機資料庫!$G$272:$G$295=K63)),成型機資料庫!$J$272:$J$295),0)</f>
        <v>0</v>
      </c>
      <c r="V63" s="900">
        <f>IFERROR(LOOKUP(1,0/((成型機資料庫!$F$272:$F$295=J63)*(成型機資料庫!$G$272:$G$295=K63)),成型機資料庫!$L$272:$L$295),0)</f>
        <v>0</v>
      </c>
      <c r="W63" s="898">
        <f t="shared" si="11"/>
        <v>0</v>
      </c>
      <c r="X63" s="923">
        <f t="shared" si="14"/>
        <v>0</v>
      </c>
      <c r="Y63" s="898">
        <f t="shared" si="15"/>
        <v>0</v>
      </c>
      <c r="Z63" s="923"/>
      <c r="AA63" s="478">
        <f t="shared" si="12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13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8"/>
        <v>0</v>
      </c>
      <c r="P64" s="460"/>
      <c r="Q64" s="438">
        <f>IFERROR(LOOKUP(1,0/((成型機資料庫!$F$272:$F$295=J64)*(成型機資料庫!$G$272:$G$295=K64)),成型機資料庫!$K$272:$K$295),0)</f>
        <v>0</v>
      </c>
      <c r="R64" s="899">
        <f t="shared" si="9"/>
        <v>0</v>
      </c>
      <c r="S64" s="898">
        <f t="shared" si="10"/>
        <v>0</v>
      </c>
      <c r="T64" s="482">
        <f>IFERROR(LOOKUP(1,0/((成型機資料庫!$F$272:$F$295=J64)*(成型機資料庫!$G$272:$G$295=K64)),成型機資料庫!$I$272:$I$295),0)</f>
        <v>0</v>
      </c>
      <c r="U64" s="483">
        <f>IFERROR(LOOKUP(1,0/((成型機資料庫!$F$272:$F$295=J64)*(成型機資料庫!$G$272:$G$295=K64)),成型機資料庫!$J$272:$J$295),0)</f>
        <v>0</v>
      </c>
      <c r="V64" s="900">
        <f>IFERROR(LOOKUP(1,0/((成型機資料庫!$F$272:$F$295=J64)*(成型機資料庫!$G$272:$G$295=K64)),成型機資料庫!$L$272:$L$295),0)</f>
        <v>0</v>
      </c>
      <c r="W64" s="898">
        <f t="shared" si="11"/>
        <v>0</v>
      </c>
      <c r="X64" s="923">
        <f t="shared" si="14"/>
        <v>0</v>
      </c>
      <c r="Y64" s="898">
        <f t="shared" si="15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14</v>
      </c>
      <c r="D65" s="581"/>
      <c r="E65" s="581" t="s">
        <v>43</v>
      </c>
      <c r="F65" s="436" t="s">
        <v>44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8"/>
        <v>0</v>
      </c>
      <c r="P65" s="460"/>
      <c r="Q65" s="438">
        <f>IFERROR(LOOKUP(1,0/((成型機資料庫!$F$272:$F$295=J65)*(成型機資料庫!$G$272:$G$295=K65)),成型機資料庫!$K$272:$K$295),0)</f>
        <v>0</v>
      </c>
      <c r="R65" s="899">
        <f t="shared" si="9"/>
        <v>0</v>
      </c>
      <c r="S65" s="898">
        <f t="shared" si="10"/>
        <v>0</v>
      </c>
      <c r="T65" s="482">
        <f>IFERROR(LOOKUP(1,0/((成型機資料庫!$F$272:$F$295=J65)*(成型機資料庫!$G$272:$G$295=K65)),成型機資料庫!$I$272:$I$295),0)</f>
        <v>0</v>
      </c>
      <c r="U65" s="483">
        <f>IFERROR(LOOKUP(1,0/((成型機資料庫!$F$272:$F$295=J65)*(成型機資料庫!$G$272:$G$295=K65)),成型機資料庫!$J$272:$J$295),0)</f>
        <v>0</v>
      </c>
      <c r="V65" s="900">
        <f>IFERROR(LOOKUP(1,0/((成型機資料庫!$F$272:$F$295=J65)*(成型機資料庫!$G$272:$G$295=K65)),成型機資料庫!$L$272:$L$295),0)</f>
        <v>0</v>
      </c>
      <c r="W65" s="898">
        <f t="shared" si="11"/>
        <v>0</v>
      </c>
      <c r="X65" s="923">
        <f t="shared" si="14"/>
        <v>0</v>
      </c>
      <c r="Y65" s="898">
        <f t="shared" si="15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581"/>
      <c r="C66" s="581">
        <v>15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8"/>
        <v>0</v>
      </c>
      <c r="P66" s="460"/>
      <c r="Q66" s="438">
        <f>IFERROR(LOOKUP(1,0/((成型機資料庫!$F$272:$F$295=J66)*(成型機資料庫!$G$272:$G$295=K66)),成型機資料庫!$K$272:$K$295),0)</f>
        <v>0</v>
      </c>
      <c r="R66" s="899">
        <f t="shared" si="9"/>
        <v>0</v>
      </c>
      <c r="S66" s="898">
        <f t="shared" si="10"/>
        <v>0</v>
      </c>
      <c r="T66" s="482">
        <f>IFERROR(LOOKUP(1,0/((成型機資料庫!$F$272:$F$295=J66)*(成型機資料庫!$G$272:$G$295=K66)),成型機資料庫!$I$272:$I$295),0)</f>
        <v>0</v>
      </c>
      <c r="U66" s="483">
        <f>IFERROR(LOOKUP(1,0/((成型機資料庫!$F$272:$F$295=J66)*(成型機資料庫!$G$272:$G$295=K66)),成型機資料庫!$J$272:$J$295),0)</f>
        <v>0</v>
      </c>
      <c r="V66" s="900">
        <f>IFERROR(LOOKUP(1,0/((成型機資料庫!$F$272:$F$295=J66)*(成型機資料庫!$G$272:$G$295=K66)),成型機資料庫!$L$272:$L$295),0)</f>
        <v>0</v>
      </c>
      <c r="W66" s="898">
        <f t="shared" si="11"/>
        <v>0</v>
      </c>
      <c r="X66" s="923">
        <f t="shared" si="14"/>
        <v>0</v>
      </c>
      <c r="Y66" s="898">
        <f t="shared" si="15"/>
        <v>0</v>
      </c>
      <c r="Z66" s="923"/>
      <c r="AA66" s="478">
        <f t="shared" si="12"/>
        <v>0</v>
      </c>
      <c r="AB66" s="438"/>
      <c r="AC66" s="482"/>
      <c r="AD66" s="438"/>
      <c r="AE66" s="438"/>
      <c r="AF66" s="438"/>
    </row>
    <row r="67" spans="1:32" s="433" customFormat="1" ht="15.75">
      <c r="A67" s="434">
        <v>113</v>
      </c>
      <c r="B67" s="581"/>
      <c r="C67" s="581">
        <v>16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8"/>
        <v>0</v>
      </c>
      <c r="P67" s="460"/>
      <c r="Q67" s="438">
        <f>IFERROR(LOOKUP(1,0/((成型機資料庫!$F$272:$F$295=J67)*(成型機資料庫!$G$272:$G$295=K67)),成型機資料庫!$K$272:$K$295),0)</f>
        <v>0</v>
      </c>
      <c r="R67" s="899">
        <f t="shared" si="9"/>
        <v>0</v>
      </c>
      <c r="S67" s="898">
        <f t="shared" si="10"/>
        <v>0</v>
      </c>
      <c r="T67" s="482">
        <f>IFERROR(LOOKUP(1,0/((成型機資料庫!$F$272:$F$295=J67)*(成型機資料庫!$G$272:$G$295=K67)),成型機資料庫!$I$272:$I$295),0)</f>
        <v>0</v>
      </c>
      <c r="U67" s="483">
        <f>IFERROR(LOOKUP(1,0/((成型機資料庫!$F$272:$F$295=J67)*(成型機資料庫!$G$272:$G$295=K67)),成型機資料庫!$J$272:$J$295),0)</f>
        <v>0</v>
      </c>
      <c r="V67" s="900">
        <f>IFERROR(LOOKUP(1,0/((成型機資料庫!$F$272:$F$295=J67)*(成型機資料庫!$G$272:$G$295=K67)),成型機資料庫!$L$272:$L$295),0)</f>
        <v>0</v>
      </c>
      <c r="W67" s="898">
        <f t="shared" si="11"/>
        <v>0</v>
      </c>
      <c r="X67" s="923">
        <f t="shared" si="14"/>
        <v>0</v>
      </c>
      <c r="Y67" s="898">
        <f t="shared" si="15"/>
        <v>0</v>
      </c>
      <c r="Z67" s="923"/>
      <c r="AA67" s="478">
        <f t="shared" si="12"/>
        <v>0</v>
      </c>
      <c r="AB67" s="438"/>
      <c r="AC67" s="482"/>
      <c r="AD67" s="464"/>
      <c r="AE67" s="464"/>
      <c r="AF67" s="438"/>
    </row>
    <row r="68" spans="1:32" s="433" customFormat="1" ht="15.75">
      <c r="A68" s="434">
        <v>113</v>
      </c>
      <c r="B68" s="581"/>
      <c r="C68" s="581">
        <v>17</v>
      </c>
      <c r="D68" s="581"/>
      <c r="E68" s="581" t="s">
        <v>43</v>
      </c>
      <c r="F68" s="436" t="s">
        <v>44</v>
      </c>
      <c r="G68" s="927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8"/>
        <v>0</v>
      </c>
      <c r="P68" s="460"/>
      <c r="Q68" s="438">
        <f>IFERROR(LOOKUP(1,0/((成型機資料庫!$F$272:$F$295=J68)*(成型機資料庫!$G$272:$G$295=K68)),成型機資料庫!$K$272:$K$295),0)</f>
        <v>0</v>
      </c>
      <c r="R68" s="899">
        <f t="shared" si="9"/>
        <v>0</v>
      </c>
      <c r="S68" s="898">
        <f t="shared" si="10"/>
        <v>0</v>
      </c>
      <c r="T68" s="482">
        <f>IFERROR(LOOKUP(1,0/((成型機資料庫!$F$272:$F$295=J68)*(成型機資料庫!$G$272:$G$295=K68)),成型機資料庫!$I$272:$I$295),0)</f>
        <v>0</v>
      </c>
      <c r="U68" s="483">
        <f>IFERROR(LOOKUP(1,0/((成型機資料庫!$F$272:$F$295=J68)*(成型機資料庫!$G$272:$G$295=K68)),成型機資料庫!$J$272:$J$295),0)</f>
        <v>0</v>
      </c>
      <c r="V68" s="900">
        <f>IFERROR(LOOKUP(1,0/((成型機資料庫!$F$272:$F$295=J68)*(成型機資料庫!$G$272:$G$295=K68)),成型機資料庫!$L$272:$L$295),0)</f>
        <v>0</v>
      </c>
      <c r="W68" s="898">
        <f t="shared" si="11"/>
        <v>0</v>
      </c>
      <c r="X68" s="923">
        <f t="shared" si="14"/>
        <v>0</v>
      </c>
      <c r="Y68" s="898">
        <f t="shared" si="15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18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8"/>
        <v>0</v>
      </c>
      <c r="P69" s="460"/>
      <c r="Q69" s="438">
        <f>IFERROR(LOOKUP(1,0/((成型機資料庫!$F$272:$F$295=J69)*(成型機資料庫!$G$272:$G$295=K69)),成型機資料庫!$K$272:$K$295),0)</f>
        <v>0</v>
      </c>
      <c r="R69" s="899">
        <f t="shared" si="9"/>
        <v>0</v>
      </c>
      <c r="S69" s="898">
        <f t="shared" si="10"/>
        <v>0</v>
      </c>
      <c r="T69" s="482">
        <f>IFERROR(LOOKUP(1,0/((成型機資料庫!$F$272:$F$295=J69)*(成型機資料庫!$G$272:$G$295=K69)),成型機資料庫!$I$272:$I$295),0)</f>
        <v>0</v>
      </c>
      <c r="U69" s="483">
        <f>IFERROR(LOOKUP(1,0/((成型機資料庫!$F$272:$F$295=J69)*(成型機資料庫!$G$272:$G$295=K69)),成型機資料庫!$J$272:$J$295),0)</f>
        <v>0</v>
      </c>
      <c r="V69" s="900">
        <f>IFERROR(LOOKUP(1,0/((成型機資料庫!$F$272:$F$295=J69)*(成型機資料庫!$G$272:$G$295=K69)),成型機資料庫!$L$272:$L$295),0)</f>
        <v>0</v>
      </c>
      <c r="W69" s="898">
        <f t="shared" si="11"/>
        <v>0</v>
      </c>
      <c r="X69" s="923">
        <f t="shared" si="14"/>
        <v>0</v>
      </c>
      <c r="Y69" s="898">
        <f t="shared" si="15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19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8"/>
        <v>0</v>
      </c>
      <c r="P70" s="460"/>
      <c r="Q70" s="438">
        <f>IFERROR(LOOKUP(1,0/((成型機資料庫!$F$272:$F$295=J70)*(成型機資料庫!$G$272:$G$295=K70)),成型機資料庫!$K$272:$K$295),0)</f>
        <v>0</v>
      </c>
      <c r="R70" s="899">
        <f t="shared" si="9"/>
        <v>0</v>
      </c>
      <c r="S70" s="898">
        <f t="shared" si="10"/>
        <v>0</v>
      </c>
      <c r="T70" s="482">
        <f>IFERROR(LOOKUP(1,0/((成型機資料庫!$F$272:$F$295=J70)*(成型機資料庫!$G$272:$G$295=K70)),成型機資料庫!$I$272:$I$295),0)</f>
        <v>0</v>
      </c>
      <c r="U70" s="483">
        <f>IFERROR(LOOKUP(1,0/((成型機資料庫!$F$272:$F$295=J70)*(成型機資料庫!$G$272:$G$295=K70)),成型機資料庫!$J$272:$J$295),0)</f>
        <v>0</v>
      </c>
      <c r="V70" s="900">
        <f>IFERROR(LOOKUP(1,0/((成型機資料庫!$F$272:$F$295=J70)*(成型機資料庫!$G$272:$G$295=K70)),成型機資料庫!$L$272:$L$295),0)</f>
        <v>0</v>
      </c>
      <c r="W70" s="898">
        <f t="shared" si="11"/>
        <v>0</v>
      </c>
      <c r="X70" s="923">
        <f t="shared" si="14"/>
        <v>0</v>
      </c>
      <c r="Y70" s="898">
        <f t="shared" si="15"/>
        <v>0</v>
      </c>
      <c r="Z70" s="923"/>
      <c r="AA70" s="478">
        <f t="shared" si="12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20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8"/>
        <v>0</v>
      </c>
      <c r="P71" s="460"/>
      <c r="Q71" s="438">
        <f>IFERROR(LOOKUP(1,0/((成型機資料庫!$F$272:$F$295=J71)*(成型機資料庫!$G$272:$G$295=K71)),成型機資料庫!$K$272:$K$295),0)</f>
        <v>0</v>
      </c>
      <c r="R71" s="899">
        <f t="shared" si="9"/>
        <v>0</v>
      </c>
      <c r="S71" s="898">
        <f t="shared" si="10"/>
        <v>0</v>
      </c>
      <c r="T71" s="482">
        <f>IFERROR(LOOKUP(1,0/((成型機資料庫!$F$272:$F$295=J71)*(成型機資料庫!$G$272:$G$295=K71)),成型機資料庫!$I$272:$I$295),0)</f>
        <v>0</v>
      </c>
      <c r="U71" s="483">
        <f>IFERROR(LOOKUP(1,0/((成型機資料庫!$F$272:$F$295=J71)*(成型機資料庫!$G$272:$G$295=K71)),成型機資料庫!$J$272:$J$295),0)</f>
        <v>0</v>
      </c>
      <c r="V71" s="900">
        <f>IFERROR(LOOKUP(1,0/((成型機資料庫!$F$272:$F$295=J71)*(成型機資料庫!$G$272:$G$295=K71)),成型機資料庫!$L$272:$L$295),0)</f>
        <v>0</v>
      </c>
      <c r="W71" s="898">
        <f t="shared" si="11"/>
        <v>0</v>
      </c>
      <c r="X71" s="923">
        <f t="shared" si="14"/>
        <v>0</v>
      </c>
      <c r="Y71" s="898">
        <f t="shared" si="15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21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8"/>
        <v>0</v>
      </c>
      <c r="P72" s="460"/>
      <c r="Q72" s="438">
        <f>IFERROR(LOOKUP(1,0/((成型機資料庫!$F$272:$F$295=J72)*(成型機資料庫!$G$272:$G$295=K72)),成型機資料庫!$K$272:$K$295),0)</f>
        <v>0</v>
      </c>
      <c r="R72" s="899">
        <f t="shared" si="9"/>
        <v>0</v>
      </c>
      <c r="S72" s="898">
        <f t="shared" si="10"/>
        <v>0</v>
      </c>
      <c r="T72" s="482">
        <f>IFERROR(LOOKUP(1,0/((成型機資料庫!$F$272:$F$295=J72)*(成型機資料庫!$G$272:$G$295=K72)),成型機資料庫!$I$272:$I$295),0)</f>
        <v>0</v>
      </c>
      <c r="U72" s="483">
        <f>IFERROR(LOOKUP(1,0/((成型機資料庫!$F$272:$F$295=J72)*(成型機資料庫!$G$272:$G$295=K72)),成型機資料庫!$J$272:$J$295),0)</f>
        <v>0</v>
      </c>
      <c r="V72" s="900">
        <f>IFERROR(LOOKUP(1,0/((成型機資料庫!$F$272:$F$295=J72)*(成型機資料庫!$G$272:$G$295=K72)),成型機資料庫!$L$272:$L$295),0)</f>
        <v>0</v>
      </c>
      <c r="W72" s="898">
        <f t="shared" si="11"/>
        <v>0</v>
      </c>
      <c r="X72" s="923">
        <f t="shared" si="14"/>
        <v>0</v>
      </c>
      <c r="Y72" s="898">
        <f t="shared" si="15"/>
        <v>0</v>
      </c>
      <c r="Z72" s="923"/>
      <c r="AA72" s="478">
        <f t="shared" si="12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22</v>
      </c>
      <c r="D73" s="581"/>
      <c r="E73" s="581" t="s">
        <v>43</v>
      </c>
      <c r="F73" s="436" t="s">
        <v>44</v>
      </c>
      <c r="G73" s="927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8"/>
        <v>0</v>
      </c>
      <c r="P73" s="460"/>
      <c r="Q73" s="438">
        <f>IFERROR(LOOKUP(1,0/((成型機資料庫!$F$272:$F$295=J73)*(成型機資料庫!$G$272:$G$295=K73)),成型機資料庫!$K$272:$K$295),0)</f>
        <v>0</v>
      </c>
      <c r="R73" s="899">
        <f t="shared" si="9"/>
        <v>0</v>
      </c>
      <c r="S73" s="898">
        <f t="shared" si="10"/>
        <v>0</v>
      </c>
      <c r="T73" s="482">
        <f>IFERROR(LOOKUP(1,0/((成型機資料庫!$F$272:$F$295=J73)*(成型機資料庫!$G$272:$G$295=K73)),成型機資料庫!$I$272:$I$295),0)</f>
        <v>0</v>
      </c>
      <c r="U73" s="483">
        <f>IFERROR(LOOKUP(1,0/((成型機資料庫!$F$272:$F$295=J73)*(成型機資料庫!$G$272:$G$295=K73)),成型機資料庫!$J$272:$J$295),0)</f>
        <v>0</v>
      </c>
      <c r="V73" s="900">
        <f>IFERROR(LOOKUP(1,0/((成型機資料庫!$F$272:$F$295=J73)*(成型機資料庫!$G$272:$G$295=K73)),成型機資料庫!$L$272:$L$295),0)</f>
        <v>0</v>
      </c>
      <c r="W73" s="898">
        <f t="shared" si="11"/>
        <v>0</v>
      </c>
      <c r="X73" s="923">
        <f t="shared" si="14"/>
        <v>0</v>
      </c>
      <c r="Y73" s="898">
        <f t="shared" si="15"/>
        <v>0</v>
      </c>
      <c r="Z73" s="923"/>
      <c r="AA73" s="478">
        <f t="shared" si="12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23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8"/>
        <v>0</v>
      </c>
      <c r="P74" s="460"/>
      <c r="Q74" s="438">
        <f>IFERROR(LOOKUP(1,0/((成型機資料庫!$F$272:$F$295=J74)*(成型機資料庫!$G$272:$G$295=K74)),成型機資料庫!$K$272:$K$295),0)</f>
        <v>0</v>
      </c>
      <c r="R74" s="899">
        <f t="shared" si="9"/>
        <v>0</v>
      </c>
      <c r="S74" s="898">
        <f t="shared" si="10"/>
        <v>0</v>
      </c>
      <c r="T74" s="482">
        <f>IFERROR(LOOKUP(1,0/((成型機資料庫!$F$272:$F$295=J74)*(成型機資料庫!$G$272:$G$295=K74)),成型機資料庫!$I$272:$I$295),0)</f>
        <v>0</v>
      </c>
      <c r="U74" s="483">
        <f>IFERROR(LOOKUP(1,0/((成型機資料庫!$F$272:$F$295=J74)*(成型機資料庫!$G$272:$G$295=K74)),成型機資料庫!$J$272:$J$295),0)</f>
        <v>0</v>
      </c>
      <c r="V74" s="900">
        <f>IFERROR(LOOKUP(1,0/((成型機資料庫!$F$272:$F$295=J74)*(成型機資料庫!$G$272:$G$295=K74)),成型機資料庫!$L$272:$L$295),0)</f>
        <v>0</v>
      </c>
      <c r="W74" s="898">
        <f t="shared" si="11"/>
        <v>0</v>
      </c>
      <c r="X74" s="923">
        <f t="shared" si="14"/>
        <v>0</v>
      </c>
      <c r="Y74" s="898">
        <f t="shared" si="15"/>
        <v>0</v>
      </c>
      <c r="Z74" s="923"/>
      <c r="AA74" s="478">
        <f t="shared" si="12"/>
        <v>0</v>
      </c>
      <c r="AB74" s="438"/>
      <c r="AC74" s="482"/>
      <c r="AD74" s="464"/>
      <c r="AE74" s="464"/>
      <c r="AF74" s="438"/>
    </row>
    <row r="75" spans="1:32" s="433" customFormat="1" ht="15.75">
      <c r="A75" s="434">
        <v>113</v>
      </c>
      <c r="B75" s="434"/>
      <c r="C75" s="434">
        <v>24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8"/>
        <v>0</v>
      </c>
      <c r="P75" s="460"/>
      <c r="Q75" s="438">
        <f>IFERROR(LOOKUP(1,0/((成型機資料庫!$F$272:$F$295=J75)*(成型機資料庫!$G$272:$G$295=K75)),成型機資料庫!$K$272:$K$295),0)</f>
        <v>0</v>
      </c>
      <c r="R75" s="899">
        <f t="shared" si="9"/>
        <v>0</v>
      </c>
      <c r="S75" s="898">
        <f t="shared" si="10"/>
        <v>0</v>
      </c>
      <c r="T75" s="482">
        <f>IFERROR(LOOKUP(1,0/((成型機資料庫!$F$272:$F$295=J75)*(成型機資料庫!$G$272:$G$295=K75)),成型機資料庫!$I$272:$I$295),0)</f>
        <v>0</v>
      </c>
      <c r="U75" s="483">
        <f>IFERROR(LOOKUP(1,0/((成型機資料庫!$F$272:$F$295=J75)*(成型機資料庫!$G$272:$G$295=K75)),成型機資料庫!$J$272:$J$295),0)</f>
        <v>0</v>
      </c>
      <c r="V75" s="900">
        <f>IFERROR(LOOKUP(1,0/((成型機資料庫!$F$272:$F$295=J75)*(成型機資料庫!$G$272:$G$295=K75)),成型機資料庫!$L$272:$L$295),0)</f>
        <v>0</v>
      </c>
      <c r="W75" s="898">
        <f t="shared" si="11"/>
        <v>0</v>
      </c>
      <c r="X75" s="923">
        <f t="shared" si="14"/>
        <v>0</v>
      </c>
      <c r="Y75" s="898">
        <f t="shared" si="15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25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8"/>
        <v>0</v>
      </c>
      <c r="P76" s="460"/>
      <c r="Q76" s="438">
        <f>IFERROR(LOOKUP(1,0/((成型機資料庫!$F$272:$F$295=J76)*(成型機資料庫!$G$272:$G$295=K76)),成型機資料庫!$K$272:$K$295),0)</f>
        <v>0</v>
      </c>
      <c r="R76" s="899">
        <f t="shared" si="9"/>
        <v>0</v>
      </c>
      <c r="S76" s="898">
        <f t="shared" si="10"/>
        <v>0</v>
      </c>
      <c r="T76" s="482">
        <f>IFERROR(LOOKUP(1,0/((成型機資料庫!$F$272:$F$295=J76)*(成型機資料庫!$G$272:$G$295=K76)),成型機資料庫!$I$272:$I$295),0)</f>
        <v>0</v>
      </c>
      <c r="U76" s="483">
        <f>IFERROR(LOOKUP(1,0/((成型機資料庫!$F$272:$F$295=J76)*(成型機資料庫!$G$272:$G$295=K76)),成型機資料庫!$J$272:$J$295),0)</f>
        <v>0</v>
      </c>
      <c r="V76" s="900">
        <f>IFERROR(LOOKUP(1,0/((成型機資料庫!$F$272:$F$295=J76)*(成型機資料庫!$G$272:$G$295=K76)),成型機資料庫!$L$272:$L$295),0)</f>
        <v>0</v>
      </c>
      <c r="W76" s="898">
        <f t="shared" si="11"/>
        <v>0</v>
      </c>
      <c r="X76" s="923">
        <f t="shared" si="14"/>
        <v>0</v>
      </c>
      <c r="Y76" s="898">
        <f t="shared" si="15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26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8"/>
        <v>0</v>
      </c>
      <c r="P77" s="460"/>
      <c r="Q77" s="438">
        <f>IFERROR(LOOKUP(1,0/((成型機資料庫!$F$272:$F$295=J77)*(成型機資料庫!$G$272:$G$295=K77)),成型機資料庫!$K$272:$K$295),0)</f>
        <v>0</v>
      </c>
      <c r="R77" s="899">
        <f t="shared" si="9"/>
        <v>0</v>
      </c>
      <c r="S77" s="898">
        <f t="shared" si="10"/>
        <v>0</v>
      </c>
      <c r="T77" s="482">
        <f>IFERROR(LOOKUP(1,0/((成型機資料庫!$F$272:$F$295=J77)*(成型機資料庫!$G$272:$G$295=K77)),成型機資料庫!$I$272:$I$295),0)</f>
        <v>0</v>
      </c>
      <c r="U77" s="483">
        <f>IFERROR(LOOKUP(1,0/((成型機資料庫!$F$272:$F$295=J77)*(成型機資料庫!$G$272:$G$295=K77)),成型機資料庫!$J$272:$J$295),0)</f>
        <v>0</v>
      </c>
      <c r="V77" s="900">
        <f>IFERROR(LOOKUP(1,0/((成型機資料庫!$F$272:$F$295=J77)*(成型機資料庫!$G$272:$G$295=K77)),成型機資料庫!$L$272:$L$295),0)</f>
        <v>0</v>
      </c>
      <c r="W77" s="898">
        <f t="shared" si="11"/>
        <v>0</v>
      </c>
      <c r="X77" s="923">
        <f t="shared" si="14"/>
        <v>0</v>
      </c>
      <c r="Y77" s="898">
        <f t="shared" si="15"/>
        <v>0</v>
      </c>
      <c r="Z77" s="923"/>
      <c r="AA77" s="478">
        <f t="shared" si="12"/>
        <v>0</v>
      </c>
      <c r="AB77" s="438"/>
      <c r="AC77" s="482"/>
      <c r="AD77" s="438"/>
      <c r="AE77" s="464"/>
      <c r="AF77" s="438"/>
    </row>
    <row r="78" spans="1:32" s="433" customFormat="1" ht="15.75">
      <c r="A78" s="434">
        <v>113</v>
      </c>
      <c r="B78" s="434"/>
      <c r="C78" s="434">
        <v>27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3"/>
        <v>0</v>
      </c>
      <c r="O78" s="901">
        <f t="shared" si="8"/>
        <v>0</v>
      </c>
      <c r="P78" s="460"/>
      <c r="Q78" s="438">
        <f>IFERROR(LOOKUP(1,0/((成型機資料庫!$F$272:$F$295=J78)*(成型機資料庫!$G$272:$G$295=K78)),成型機資料庫!$K$272:$K$295),0)</f>
        <v>0</v>
      </c>
      <c r="R78" s="899">
        <f t="shared" si="9"/>
        <v>0</v>
      </c>
      <c r="S78" s="898">
        <f t="shared" si="10"/>
        <v>0</v>
      </c>
      <c r="T78" s="482">
        <f>IFERROR(LOOKUP(1,0/((成型機資料庫!$F$272:$F$295=J78)*(成型機資料庫!$G$272:$G$295=K78)),成型機資料庫!$I$272:$I$295),0)</f>
        <v>0</v>
      </c>
      <c r="U78" s="483">
        <f>IFERROR(LOOKUP(1,0/((成型機資料庫!$F$272:$F$295=J78)*(成型機資料庫!$G$272:$G$295=K78)),成型機資料庫!$J$272:$J$295),0)</f>
        <v>0</v>
      </c>
      <c r="V78" s="900">
        <f>IFERROR(LOOKUP(1,0/((成型機資料庫!$F$272:$F$295=J78)*(成型機資料庫!$G$272:$G$295=K78)),成型機資料庫!$L$272:$L$295),0)</f>
        <v>0</v>
      </c>
      <c r="W78" s="898">
        <f t="shared" si="11"/>
        <v>0</v>
      </c>
      <c r="X78" s="923">
        <f t="shared" si="14"/>
        <v>0</v>
      </c>
      <c r="Y78" s="898">
        <f t="shared" si="15"/>
        <v>0</v>
      </c>
      <c r="Z78" s="923"/>
      <c r="AA78" s="478">
        <f t="shared" si="12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28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3"/>
        <v>0</v>
      </c>
      <c r="O79" s="901">
        <f t="shared" si="8"/>
        <v>0</v>
      </c>
      <c r="P79" s="460"/>
      <c r="Q79" s="438">
        <f>IFERROR(LOOKUP(1,0/((成型機資料庫!$F$272:$F$295=J79)*(成型機資料庫!$G$272:$G$295=K79)),成型機資料庫!$K$272:$K$295),0)</f>
        <v>0</v>
      </c>
      <c r="R79" s="899">
        <f t="shared" si="9"/>
        <v>0</v>
      </c>
      <c r="S79" s="898">
        <f t="shared" si="10"/>
        <v>0</v>
      </c>
      <c r="T79" s="482">
        <f>IFERROR(LOOKUP(1,0/((成型機資料庫!$F$272:$F$295=J79)*(成型機資料庫!$G$272:$G$295=K79)),成型機資料庫!$I$272:$I$295),0)</f>
        <v>0</v>
      </c>
      <c r="U79" s="483">
        <f>IFERROR(LOOKUP(1,0/((成型機資料庫!$F$272:$F$295=J79)*(成型機資料庫!$G$272:$G$295=K79)),成型機資料庫!$J$272:$J$295),0)</f>
        <v>0</v>
      </c>
      <c r="V79" s="900">
        <f>IFERROR(LOOKUP(1,0/((成型機資料庫!$F$272:$F$295=J79)*(成型機資料庫!$G$272:$G$295=K79)),成型機資料庫!$L$272:$L$295),0)</f>
        <v>0</v>
      </c>
      <c r="W79" s="898">
        <f t="shared" si="11"/>
        <v>0</v>
      </c>
      <c r="X79" s="923">
        <f t="shared" si="14"/>
        <v>0</v>
      </c>
      <c r="Y79" s="898">
        <f t="shared" si="15"/>
        <v>0</v>
      </c>
      <c r="Z79" s="923"/>
      <c r="AA79" s="478">
        <f t="shared" si="12"/>
        <v>0</v>
      </c>
      <c r="AB79" s="438"/>
      <c r="AC79" s="482"/>
      <c r="AD79" s="464"/>
      <c r="AE79" s="438"/>
      <c r="AF79" s="438"/>
    </row>
    <row r="80" spans="1:32" s="433" customFormat="1" ht="15.75">
      <c r="A80" s="434">
        <v>113</v>
      </c>
      <c r="B80" s="581"/>
      <c r="C80" s="581">
        <v>29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3"/>
        <v>0</v>
      </c>
      <c r="O80" s="901">
        <f t="shared" si="8"/>
        <v>0</v>
      </c>
      <c r="P80" s="460"/>
      <c r="Q80" s="438">
        <f>IFERROR(LOOKUP(1,0/((成型機資料庫!$F$272:$F$295=J80)*(成型機資料庫!$G$272:$G$295=K80)),成型機資料庫!$K$272:$K$295),0)</f>
        <v>0</v>
      </c>
      <c r="R80" s="899">
        <f t="shared" si="9"/>
        <v>0</v>
      </c>
      <c r="S80" s="898">
        <f t="shared" si="10"/>
        <v>0</v>
      </c>
      <c r="T80" s="482">
        <f>IFERROR(LOOKUP(1,0/((成型機資料庫!$F$272:$F$295=J80)*(成型機資料庫!$G$272:$G$295=K80)),成型機資料庫!$I$272:$I$295),0)</f>
        <v>0</v>
      </c>
      <c r="U80" s="483">
        <f>IFERROR(LOOKUP(1,0/((成型機資料庫!$F$272:$F$295=J80)*(成型機資料庫!$G$272:$G$295=K80)),成型機資料庫!$J$272:$J$295),0)</f>
        <v>0</v>
      </c>
      <c r="V80" s="900">
        <f>IFERROR(LOOKUP(1,0/((成型機資料庫!$F$272:$F$295=J80)*(成型機資料庫!$G$272:$G$295=K80)),成型機資料庫!$L$272:$L$295),0)</f>
        <v>0</v>
      </c>
      <c r="W80" s="898">
        <f t="shared" si="11"/>
        <v>0</v>
      </c>
      <c r="X80" s="923">
        <f t="shared" si="14"/>
        <v>0</v>
      </c>
      <c r="Y80" s="898">
        <f t="shared" si="15"/>
        <v>0</v>
      </c>
      <c r="Z80" s="923"/>
      <c r="AA80" s="478">
        <f t="shared" si="12"/>
        <v>0</v>
      </c>
      <c r="AB80" s="438"/>
      <c r="AC80" s="482"/>
      <c r="AD80" s="464"/>
      <c r="AE80" s="464"/>
      <c r="AF80" s="438"/>
    </row>
    <row r="81" spans="1:32" s="433" customFormat="1" ht="15.75">
      <c r="A81" s="434">
        <v>113</v>
      </c>
      <c r="B81" s="581"/>
      <c r="C81" s="581">
        <v>30</v>
      </c>
      <c r="D81" s="581"/>
      <c r="E81" s="581" t="s">
        <v>43</v>
      </c>
      <c r="F81" s="436" t="s">
        <v>44</v>
      </c>
      <c r="G81" s="926"/>
      <c r="H81" s="464"/>
      <c r="I81" s="429"/>
      <c r="J81" s="429"/>
      <c r="K81" s="429"/>
      <c r="L81" s="464"/>
      <c r="M81" s="464"/>
      <c r="N81" s="900">
        <f t="shared" si="13"/>
        <v>0</v>
      </c>
      <c r="O81" s="901">
        <f t="shared" si="8"/>
        <v>0</v>
      </c>
      <c r="P81" s="460"/>
      <c r="Q81" s="438">
        <f>IFERROR(LOOKUP(1,0/((成型機資料庫!$F$272:$F$295=J81)*(成型機資料庫!$G$272:$G$295=K81)),成型機資料庫!$K$272:$K$295),0)</f>
        <v>0</v>
      </c>
      <c r="R81" s="899">
        <f t="shared" si="9"/>
        <v>0</v>
      </c>
      <c r="S81" s="898">
        <f t="shared" si="10"/>
        <v>0</v>
      </c>
      <c r="T81" s="482">
        <f>IFERROR(LOOKUP(1,0/((成型機資料庫!$F$272:$F$295=J81)*(成型機資料庫!$G$272:$G$295=K81)),成型機資料庫!$I$272:$I$295),0)</f>
        <v>0</v>
      </c>
      <c r="U81" s="483">
        <f>IFERROR(LOOKUP(1,0/((成型機資料庫!$F$272:$F$295=J81)*(成型機資料庫!$G$272:$G$295=K81)),成型機資料庫!$J$272:$J$295),0)</f>
        <v>0</v>
      </c>
      <c r="V81" s="900">
        <f>IFERROR(LOOKUP(1,0/((成型機資料庫!$F$272:$F$295=J81)*(成型機資料庫!$G$272:$G$295=K81)),成型機資料庫!$L$272:$L$295),0)</f>
        <v>0</v>
      </c>
      <c r="W81" s="898">
        <f t="shared" si="11"/>
        <v>0</v>
      </c>
      <c r="X81" s="923">
        <f t="shared" si="14"/>
        <v>0</v>
      </c>
      <c r="Y81" s="898">
        <f t="shared" si="15"/>
        <v>0</v>
      </c>
      <c r="Z81" s="923"/>
      <c r="AA81" s="478">
        <f t="shared" si="12"/>
        <v>0</v>
      </c>
      <c r="AB81" s="438"/>
      <c r="AC81" s="482"/>
      <c r="AD81" s="464"/>
      <c r="AE81" s="438"/>
      <c r="AF81" s="438"/>
    </row>
    <row r="82" spans="1:32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32" s="433" customFormat="1" ht="15.75">
      <c r="A83" s="446"/>
      <c r="B83" s="456"/>
      <c r="C83" s="456"/>
      <c r="D83" s="456"/>
      <c r="E83" s="456"/>
      <c r="F83" s="448"/>
      <c r="G83" s="951"/>
      <c r="H83" s="452"/>
      <c r="I83" s="430"/>
      <c r="J83" s="469"/>
      <c r="K83" s="469"/>
      <c r="L83" s="452"/>
      <c r="M83" s="452"/>
      <c r="N83" s="945"/>
      <c r="O83" s="946"/>
      <c r="P83" s="868"/>
      <c r="Q83" s="467"/>
      <c r="R83" s="948"/>
      <c r="S83" s="936"/>
      <c r="T83" s="936"/>
      <c r="U83" s="936"/>
      <c r="V83" s="945"/>
      <c r="W83" s="936"/>
      <c r="X83" s="947"/>
      <c r="Y83" s="936"/>
      <c r="Z83" s="947"/>
      <c r="AA83" s="488"/>
      <c r="AB83" s="439"/>
      <c r="AC83" s="471"/>
      <c r="AD83" s="452"/>
      <c r="AE83" s="439"/>
      <c r="AF83" s="439"/>
    </row>
    <row r="84" spans="1:32" s="433" customFormat="1" thickBot="1">
      <c r="A84" s="446"/>
      <c r="B84" s="446"/>
      <c r="C84" s="446"/>
      <c r="D84" s="446"/>
      <c r="E84" s="446"/>
      <c r="F84" s="448"/>
      <c r="G84" s="448"/>
      <c r="H84" s="430"/>
      <c r="I84" s="430"/>
      <c r="J84" s="430"/>
      <c r="K84" s="430"/>
      <c r="L84" s="439"/>
      <c r="M84" s="452"/>
      <c r="N84" s="452"/>
      <c r="O84" s="457"/>
      <c r="P84" s="466"/>
      <c r="Q84" s="467"/>
      <c r="R84" s="486"/>
      <c r="S84" s="457"/>
      <c r="T84" s="457"/>
      <c r="U84" s="457"/>
      <c r="V84" s="458"/>
      <c r="W84" s="487">
        <f>SUM(W52:W81)</f>
        <v>0</v>
      </c>
      <c r="X84" s="487"/>
      <c r="Y84" s="487"/>
      <c r="Z84" s="487"/>
      <c r="AA84" s="488"/>
      <c r="AB84" s="489"/>
      <c r="AC84" s="489"/>
      <c r="AD84" s="469" t="s">
        <v>46</v>
      </c>
      <c r="AE84" s="439"/>
      <c r="AF84" s="439"/>
    </row>
    <row r="85" spans="1:32" s="469" customFormat="1" ht="31.5">
      <c r="A85" s="479"/>
      <c r="B85" s="479"/>
      <c r="C85" s="479"/>
      <c r="D85" s="479"/>
      <c r="E85" s="479"/>
      <c r="F85" s="452"/>
      <c r="G85" s="524" t="s">
        <v>503</v>
      </c>
      <c r="H85" s="517"/>
      <c r="I85" s="518"/>
      <c r="L85" s="1842" t="s">
        <v>1349</v>
      </c>
      <c r="M85" s="525" t="s">
        <v>1294</v>
      </c>
      <c r="N85" s="525" t="s">
        <v>1295</v>
      </c>
      <c r="O85" s="526" t="s">
        <v>458</v>
      </c>
      <c r="P85" s="520"/>
      <c r="Q85" s="521"/>
      <c r="R85" s="524" t="s">
        <v>504</v>
      </c>
      <c r="S85" s="524" t="s">
        <v>455</v>
      </c>
      <c r="T85" s="521"/>
      <c r="U85" s="521"/>
      <c r="V85" s="524" t="s">
        <v>1293</v>
      </c>
      <c r="W85" s="524" t="s">
        <v>459</v>
      </c>
      <c r="X85" s="521"/>
      <c r="Y85" s="524" t="s">
        <v>1345</v>
      </c>
      <c r="Z85" s="524" t="s">
        <v>1350</v>
      </c>
      <c r="AA85" s="524" t="s">
        <v>1351</v>
      </c>
      <c r="AB85" s="524" t="s">
        <v>1353</v>
      </c>
      <c r="AC85" s="524" t="s">
        <v>1352</v>
      </c>
      <c r="AD85" s="469" t="s">
        <v>253</v>
      </c>
      <c r="AE85" s="452"/>
      <c r="AF85" s="452"/>
    </row>
    <row r="86" spans="1:32" thickBot="1">
      <c r="G86" s="522">
        <f>SUM(G52:G81)</f>
        <v>0</v>
      </c>
      <c r="I86" s="431"/>
      <c r="J86" s="518"/>
      <c r="K86" s="518"/>
      <c r="L86" s="1843"/>
      <c r="M86" s="522">
        <f>SUM(M52:M81)</f>
        <v>0</v>
      </c>
      <c r="N86" s="522">
        <f>SUM(N52:N81)</f>
        <v>0</v>
      </c>
      <c r="O86" s="902">
        <f>SUM(O52:O81)</f>
        <v>0</v>
      </c>
      <c r="P86" s="470"/>
      <c r="R86" s="924">
        <f>SUM(R52:R81)</f>
        <v>0</v>
      </c>
      <c r="S86" s="897" t="e">
        <f>(G86-R86)/G86</f>
        <v>#DIV/0!</v>
      </c>
      <c r="T86" s="446"/>
      <c r="U86" s="446"/>
      <c r="V86" s="686" t="e">
        <f>N86/W86</f>
        <v>#DIV/0!</v>
      </c>
      <c r="W86" s="516" t="e">
        <f>W84/Y86</f>
        <v>#DIV/0!</v>
      </c>
      <c r="X86" s="446"/>
      <c r="Y86" s="516"/>
      <c r="Z86" s="958">
        <f>SUM(Z52:Z81)</f>
        <v>0</v>
      </c>
      <c r="AA86" s="516">
        <f>SUM(AA52:AA81)</f>
        <v>0</v>
      </c>
      <c r="AB86" s="516">
        <f>Z86-AA86</f>
        <v>0</v>
      </c>
      <c r="AC86" s="896" t="e">
        <f>AA86/Z86</f>
        <v>#DIV/0!</v>
      </c>
    </row>
    <row r="87" spans="1:32">
      <c r="O87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  <mergeCell ref="K50:K51"/>
    <mergeCell ref="F50:F51"/>
    <mergeCell ref="G50:G51"/>
    <mergeCell ref="H50:H51"/>
    <mergeCell ref="I50:I51"/>
    <mergeCell ref="J50:J51"/>
    <mergeCell ref="A50:A51"/>
    <mergeCell ref="B50:B51"/>
    <mergeCell ref="C50:C51"/>
    <mergeCell ref="D50:D51"/>
    <mergeCell ref="E50:E51"/>
    <mergeCell ref="AF2:AF3"/>
    <mergeCell ref="L46:L47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B2:AC2"/>
    <mergeCell ref="AD2:AD3"/>
    <mergeCell ref="AE2:AE3"/>
    <mergeCell ref="M50:M51"/>
    <mergeCell ref="N50:N51"/>
    <mergeCell ref="O50:O51"/>
    <mergeCell ref="Q50:Q51"/>
    <mergeCell ref="AE50:AE51"/>
    <mergeCell ref="AF50:AF51"/>
    <mergeCell ref="L85:L86"/>
    <mergeCell ref="X50:X51"/>
    <mergeCell ref="Y50:Y51"/>
    <mergeCell ref="Z50:Z51"/>
    <mergeCell ref="AA50:AA51"/>
    <mergeCell ref="AB50:AC50"/>
    <mergeCell ref="AD50:AD51"/>
    <mergeCell ref="R50:R51"/>
    <mergeCell ref="S50:S51"/>
    <mergeCell ref="T50:T51"/>
    <mergeCell ref="U50:U51"/>
    <mergeCell ref="V50:V51"/>
    <mergeCell ref="W50:W51"/>
    <mergeCell ref="L50:L51"/>
    <mergeCell ref="P50:P51"/>
  </mergeCells>
  <phoneticPr fontId="26" type="noConversion"/>
  <conditionalFormatting sqref="G1:G65539">
    <cfRule type="cellIs" dxfId="386" priority="3" stopIfTrue="1" operator="equal">
      <formula>"未開機"</formula>
    </cfRule>
  </conditionalFormatting>
  <conditionalFormatting sqref="R52:U83">
    <cfRule type="expression" dxfId="385" priority="1" stopIfTrue="1">
      <formula>R52=0</formula>
    </cfRule>
  </conditionalFormatting>
  <conditionalFormatting sqref="W13:W44">
    <cfRule type="cellIs" dxfId="384" priority="34" stopIfTrue="1" operator="between">
      <formula>0.851</formula>
      <formula>1</formula>
    </cfRule>
    <cfRule type="cellIs" dxfId="383" priority="33" stopIfTrue="1" operator="lessThan">
      <formula>0.7</formula>
    </cfRule>
    <cfRule type="expression" dxfId="382" priority="32" stopIfTrue="1">
      <formula>W13=0</formula>
    </cfRule>
    <cfRule type="expression" dxfId="381" priority="36" stopIfTrue="1">
      <formula>W13=0</formula>
    </cfRule>
    <cfRule type="cellIs" dxfId="380" priority="35" stopIfTrue="1" operator="between">
      <formula>0.7</formula>
      <formula>0.85</formula>
    </cfRule>
  </conditionalFormatting>
  <conditionalFormatting sqref="W52:W83">
    <cfRule type="expression" dxfId="379" priority="15" stopIfTrue="1">
      <formula>W52=0</formula>
    </cfRule>
    <cfRule type="cellIs" dxfId="378" priority="16" stopIfTrue="1" operator="lessThan">
      <formula>0.7</formula>
    </cfRule>
    <cfRule type="cellIs" dxfId="377" priority="17" stopIfTrue="1" operator="between">
      <formula>0.851</formula>
      <formula>1</formula>
    </cfRule>
    <cfRule type="cellIs" dxfId="376" priority="18" stopIfTrue="1" operator="between">
      <formula>0.7</formula>
      <formula>0.85</formula>
    </cfRule>
    <cfRule type="expression" dxfId="375" priority="19" stopIfTrue="1">
      <formula>W52=0</formula>
    </cfRule>
  </conditionalFormatting>
  <conditionalFormatting sqref="W4:Y11 S4:U4 S5:S11 T5:U42 R13:S42 Z13:Z44 R43:U44">
    <cfRule type="expression" dxfId="374" priority="41" stopIfTrue="1">
      <formula>R4=0</formula>
    </cfRule>
  </conditionalFormatting>
  <conditionalFormatting sqref="W4:Y11">
    <cfRule type="expression" dxfId="373" priority="37" stopIfTrue="1">
      <formula>W4=0</formula>
    </cfRule>
    <cfRule type="cellIs" dxfId="372" priority="38" stopIfTrue="1" operator="lessThan">
      <formula>0.7</formula>
    </cfRule>
    <cfRule type="cellIs" dxfId="371" priority="39" stopIfTrue="1" operator="between">
      <formula>0.851</formula>
      <formula>1</formula>
    </cfRule>
    <cfRule type="cellIs" dxfId="370" priority="40" stopIfTrue="1" operator="between">
      <formula>0.7</formula>
      <formula>0.85</formula>
    </cfRule>
  </conditionalFormatting>
  <conditionalFormatting sqref="X14:X44">
    <cfRule type="cellIs" dxfId="369" priority="22" stopIfTrue="1" operator="lessThan">
      <formula>0.7</formula>
    </cfRule>
    <cfRule type="cellIs" dxfId="368" priority="23" stopIfTrue="1" operator="between">
      <formula>0.851</formula>
      <formula>1</formula>
    </cfRule>
    <cfRule type="cellIs" dxfId="367" priority="24" stopIfTrue="1" operator="between">
      <formula>0.7</formula>
      <formula>0.85</formula>
    </cfRule>
    <cfRule type="expression" dxfId="366" priority="25" stopIfTrue="1">
      <formula>X14=0</formula>
    </cfRule>
    <cfRule type="expression" dxfId="365" priority="21" stopIfTrue="1">
      <formula>X14=0</formula>
    </cfRule>
  </conditionalFormatting>
  <conditionalFormatting sqref="X53:X83">
    <cfRule type="expression" dxfId="364" priority="4" stopIfTrue="1">
      <formula>X53=0</formula>
    </cfRule>
    <cfRule type="cellIs" dxfId="363" priority="5" stopIfTrue="1" operator="lessThan">
      <formula>0.7</formula>
    </cfRule>
    <cfRule type="cellIs" dxfId="362" priority="6" stopIfTrue="1" operator="between">
      <formula>0.851</formula>
      <formula>1</formula>
    </cfRule>
    <cfRule type="cellIs" dxfId="361" priority="7" stopIfTrue="1" operator="between">
      <formula>0.7</formula>
      <formula>0.85</formula>
    </cfRule>
    <cfRule type="expression" dxfId="360" priority="8" stopIfTrue="1">
      <formula>X53=0</formula>
    </cfRule>
  </conditionalFormatting>
  <conditionalFormatting sqref="X13:Y13 Y14:Y44">
    <cfRule type="expression" dxfId="359" priority="27" stopIfTrue="1">
      <formula>X13=0</formula>
    </cfRule>
    <cfRule type="cellIs" dxfId="358" priority="28" stopIfTrue="1" operator="lessThan">
      <formula>0.7</formula>
    </cfRule>
    <cfRule type="cellIs" dxfId="357" priority="29" stopIfTrue="1" operator="between">
      <formula>0.851</formula>
      <formula>1</formula>
    </cfRule>
    <cfRule type="cellIs" dxfId="356" priority="30" stopIfTrue="1" operator="between">
      <formula>0.7</formula>
      <formula>0.85</formula>
    </cfRule>
    <cfRule type="expression" dxfId="355" priority="31" stopIfTrue="1">
      <formula>X13=0</formula>
    </cfRule>
  </conditionalFormatting>
  <conditionalFormatting sqref="X52:Y52 Y53:Y83">
    <cfRule type="expression" dxfId="354" priority="10" stopIfTrue="1">
      <formula>X52=0</formula>
    </cfRule>
    <cfRule type="expression" dxfId="353" priority="14" stopIfTrue="1">
      <formula>X52=0</formula>
    </cfRule>
    <cfRule type="cellIs" dxfId="352" priority="13" stopIfTrue="1" operator="between">
      <formula>0.7</formula>
      <formula>0.85</formula>
    </cfRule>
    <cfRule type="cellIs" dxfId="351" priority="12" stopIfTrue="1" operator="between">
      <formula>0.851</formula>
      <formula>1</formula>
    </cfRule>
    <cfRule type="cellIs" dxfId="350" priority="11" stopIfTrue="1" operator="lessThan">
      <formula>0.7</formula>
    </cfRule>
  </conditionalFormatting>
  <conditionalFormatting sqref="Y13:Y44">
    <cfRule type="cellIs" dxfId="349" priority="26" stopIfTrue="1" operator="greaterThan">
      <formula>1</formula>
    </cfRule>
  </conditionalFormatting>
  <conditionalFormatting sqref="Y52:Y83">
    <cfRule type="cellIs" dxfId="348" priority="9" stopIfTrue="1" operator="greaterThan">
      <formula>1</formula>
    </cfRule>
  </conditionalFormatting>
  <conditionalFormatting sqref="Z52:Z83">
    <cfRule type="expression" dxfId="347" priority="20" stopIfTrue="1">
      <formula>Z52=0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39298A32-2E65-42C2-943B-C2946BD4E45A}">
          <x14:formula1>
            <xm:f>規格清單!$D$42:$D$49</xm:f>
          </x14:formula1>
          <xm:sqref>J52:J81 J4:J42</xm:sqref>
        </x14:dataValidation>
        <x14:dataValidation type="list" allowBlank="1" showInputMessage="1" showErrorMessage="1" xr:uid="{9C798864-2FFF-487C-B233-E7264F53E7CB}">
          <x14:formula1>
            <xm:f>成型機資料庫!$A$9:$A$11</xm:f>
          </x14:formula1>
          <xm:sqref>K4:K42 K52:K81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1A3E4-9403-4971-99FF-0566D60AB2BC}">
  <dimension ref="A1:BD86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452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439</v>
      </c>
      <c r="I4" s="429" t="s">
        <v>967</v>
      </c>
      <c r="J4" s="429" t="s">
        <v>1423</v>
      </c>
      <c r="K4" s="429" t="s">
        <v>1301</v>
      </c>
      <c r="L4" s="464">
        <v>400</v>
      </c>
      <c r="M4" s="464"/>
      <c r="N4" s="464"/>
      <c r="O4" s="443">
        <f>L4*M4</f>
        <v>0</v>
      </c>
      <c r="P4" s="461">
        <v>7.4</v>
      </c>
      <c r="Q4" s="438">
        <f>IFERROR(LOOKUP(1,0/((成型機資料庫!$F$296:$F$316=J4)*(成型機資料庫!$G$296:$G$316=K4)),成型機資料庫!$K$296:$K$316),0)</f>
        <v>1000</v>
      </c>
      <c r="R4" s="477">
        <f>M4*Q4*P4/1000</f>
        <v>0</v>
      </c>
      <c r="S4" s="898">
        <f>IFERROR((G4-R4)/G4,0)</f>
        <v>0</v>
      </c>
      <c r="T4" s="482">
        <f>IFERROR(LOOKUP(1,0/((成型機資料庫!$F$296:$F$316=J4)*(成型機資料庫!$G$296:$G$316=K4)),成型機資料庫!$I$296:$I$316),0)</f>
        <v>21</v>
      </c>
      <c r="U4" s="483">
        <f>IFERROR(LOOKUP(1,0/((成型機資料庫!$F$296:$F$316=J4)*(成型機資料庫!$G$296:$G$316=K4)),成型機資料庫!$J$296:$J$316),0)</f>
        <v>28</v>
      </c>
      <c r="V4" s="900">
        <f>IFERROR(LOOKUP(1,0/((成型機資料庫!$F$296:$F$316=J4)*(成型機資料庫!$G$296:$G$316=K4)),成型機資料庫!$L$296:$L$316),0)</f>
        <v>388.08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733</v>
      </c>
      <c r="I5" s="429" t="s">
        <v>506</v>
      </c>
      <c r="J5" s="429" t="s">
        <v>506</v>
      </c>
      <c r="K5" s="429" t="s">
        <v>1301</v>
      </c>
      <c r="L5" s="464">
        <v>351</v>
      </c>
      <c r="M5" s="464"/>
      <c r="N5" s="464"/>
      <c r="O5" s="443">
        <f t="shared" ref="O5:O41" si="0">L5*M5</f>
        <v>0</v>
      </c>
      <c r="P5" s="461">
        <v>7.4</v>
      </c>
      <c r="Q5" s="438">
        <f>IFERROR(LOOKUP(1,0/((成型機資料庫!$F$296:$F$316=J5)*(成型機資料庫!$G$296:$G$316=K5)),成型機資料庫!$K$296:$K$316),0)</f>
        <v>1000</v>
      </c>
      <c r="R5" s="477"/>
      <c r="S5" s="898"/>
      <c r="T5" s="482">
        <f>IFERROR(LOOKUP(1,0/((成型機資料庫!$F$296:$F$316=J5)*(成型機資料庫!$G$296:$G$316=K5)),成型機資料庫!$I$296:$I$316),0)</f>
        <v>21</v>
      </c>
      <c r="U5" s="483">
        <f>IFERROR(LOOKUP(1,0/((成型機資料庫!$F$296:$F$316=J5)*(成型機資料庫!$G$296:$G$316=K5)),成型機資料庫!$J$296:$J$316),0)</f>
        <v>28</v>
      </c>
      <c r="V5" s="900">
        <f>IFERROR(LOOKUP(1,0/((成型機資料庫!$F$296:$F$316=J5)*(成型機資料庫!$G$296:$G$316=K5)),成型機資料庫!$L$296:$L$316),0)</f>
        <v>388.08</v>
      </c>
      <c r="W5" s="898"/>
      <c r="X5" s="898"/>
      <c r="Y5" s="898"/>
      <c r="Z5" s="485"/>
      <c r="AA5" s="478">
        <f t="shared" ref="AA5:AA11" si="1">AB5+AC5/60</f>
        <v>0</v>
      </c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733</v>
      </c>
      <c r="I6" s="429" t="s">
        <v>491</v>
      </c>
      <c r="J6" s="429" t="s">
        <v>1424</v>
      </c>
      <c r="K6" s="429" t="s">
        <v>1301</v>
      </c>
      <c r="L6" s="464">
        <v>405</v>
      </c>
      <c r="M6" s="464"/>
      <c r="N6" s="464"/>
      <c r="O6" s="443">
        <f t="shared" si="0"/>
        <v>0</v>
      </c>
      <c r="P6" s="461">
        <v>7.5</v>
      </c>
      <c r="Q6" s="438">
        <f>IFERROR(LOOKUP(1,0/((成型機資料庫!$F$296:$F$316=J6)*(成型機資料庫!$G$296:$G$316=K6)),成型機資料庫!$K$296:$K$316),0)</f>
        <v>1000</v>
      </c>
      <c r="R6" s="477"/>
      <c r="S6" s="898"/>
      <c r="T6" s="482">
        <f>IFERROR(LOOKUP(1,0/((成型機資料庫!$F$296:$F$316=J6)*(成型機資料庫!$G$296:$G$316=K6)),成型機資料庫!$I$296:$I$316),0)</f>
        <v>21</v>
      </c>
      <c r="U6" s="483">
        <f>IFERROR(LOOKUP(1,0/((成型機資料庫!$F$296:$F$316=J6)*(成型機資料庫!$G$296:$G$316=K6)),成型機資料庫!$J$296:$J$316),0)</f>
        <v>28</v>
      </c>
      <c r="V6" s="900">
        <f>IFERROR(LOOKUP(1,0/((成型機資料庫!$F$296:$F$316=J6)*(成型機資料庫!$G$296:$G$316=K6)),成型機資料庫!$L$296:$L$316),0)</f>
        <v>388.08</v>
      </c>
      <c r="W6" s="898"/>
      <c r="X6" s="898"/>
      <c r="Y6" s="898"/>
      <c r="Z6" s="485"/>
      <c r="AA6" s="478">
        <f t="shared" si="1"/>
        <v>0</v>
      </c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693</v>
      </c>
      <c r="I7" s="429" t="s">
        <v>1425</v>
      </c>
      <c r="J7" s="429" t="s">
        <v>1426</v>
      </c>
      <c r="K7" s="429" t="s">
        <v>1301</v>
      </c>
      <c r="L7" s="464">
        <v>383</v>
      </c>
      <c r="M7" s="464"/>
      <c r="N7" s="464"/>
      <c r="O7" s="443">
        <f t="shared" si="0"/>
        <v>0</v>
      </c>
      <c r="P7" s="461">
        <v>7.1</v>
      </c>
      <c r="Q7" s="438">
        <f>IFERROR(LOOKUP(1,0/((成型機資料庫!$F$296:$F$316=J7)*(成型機資料庫!$G$296:$G$316=K7)),成型機資料庫!$K$296:$K$316),0)</f>
        <v>1000</v>
      </c>
      <c r="R7" s="477"/>
      <c r="S7" s="898"/>
      <c r="T7" s="482">
        <f>IFERROR(LOOKUP(1,0/((成型機資料庫!$F$296:$F$316=J7)*(成型機資料庫!$G$296:$G$316=K7)),成型機資料庫!$I$296:$I$316),0)</f>
        <v>14</v>
      </c>
      <c r="U7" s="483">
        <f>IFERROR(LOOKUP(1,0/((成型機資料庫!$F$296:$F$316=J7)*(成型機資料庫!$G$296:$G$316=K7)),成型機資料庫!$J$296:$J$316),0)</f>
        <v>20</v>
      </c>
      <c r="V7" s="900">
        <f>IFERROR(LOOKUP(1,0/((成型機資料庫!$F$296:$F$316=J7)*(成型機資料庫!$G$296:$G$316=K7)),成型機資料庫!$L$296:$L$316),0)</f>
        <v>184.8</v>
      </c>
      <c r="W7" s="898"/>
      <c r="X7" s="898"/>
      <c r="Y7" s="898"/>
      <c r="Z7" s="485"/>
      <c r="AA7" s="478">
        <f t="shared" si="1"/>
        <v>0</v>
      </c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5" t="s">
        <v>58</v>
      </c>
      <c r="G8" s="464"/>
      <c r="H8" s="464" t="s">
        <v>450</v>
      </c>
      <c r="I8" s="429" t="s">
        <v>688</v>
      </c>
      <c r="J8" s="429" t="s">
        <v>1428</v>
      </c>
      <c r="K8" s="429" t="s">
        <v>1301</v>
      </c>
      <c r="L8" s="464">
        <v>556</v>
      </c>
      <c r="M8" s="464"/>
      <c r="N8" s="464"/>
      <c r="O8" s="443">
        <f t="shared" si="0"/>
        <v>0</v>
      </c>
      <c r="P8" s="461">
        <v>10.3</v>
      </c>
      <c r="Q8" s="438">
        <f>IFERROR(LOOKUP(1,0/((成型機資料庫!$F$296:$F$316=J8)*(成型機資料庫!$G$296:$G$316=K8)),成型機資料庫!$K$296:$K$316),0)</f>
        <v>1000</v>
      </c>
      <c r="R8" s="477"/>
      <c r="S8" s="898"/>
      <c r="T8" s="482">
        <f>IFERROR(LOOKUP(1,0/((成型機資料庫!$F$296:$F$316=J8)*(成型機資料庫!$G$296:$G$316=K8)),成型機資料庫!$I$296:$I$316),0)</f>
        <v>14</v>
      </c>
      <c r="U8" s="483">
        <f>IFERROR(LOOKUP(1,0/((成型機資料庫!$F$296:$F$316=J8)*(成型機資料庫!$G$296:$G$316=K8)),成型機資料庫!$J$296:$J$316),0)</f>
        <v>21</v>
      </c>
      <c r="V8" s="900">
        <f>IFERROR(LOOKUP(1,0/((成型機資料庫!$F$296:$F$316=J8)*(成型機資料庫!$G$296:$G$316=K8)),成型機資料庫!$L$296:$L$316),0)</f>
        <v>194.04</v>
      </c>
      <c r="W8" s="898"/>
      <c r="X8" s="898"/>
      <c r="Y8" s="898"/>
      <c r="Z8" s="485"/>
      <c r="AA8" s="478">
        <f t="shared" si="1"/>
        <v>0</v>
      </c>
      <c r="AB8" s="438"/>
      <c r="AC8" s="482"/>
      <c r="AD8" s="536"/>
      <c r="AE8" s="438"/>
      <c r="AF8" s="438"/>
    </row>
    <row r="9" spans="1:56" s="439" customFormat="1" ht="15.75">
      <c r="A9" s="934"/>
      <c r="B9" s="934"/>
      <c r="C9" s="934"/>
      <c r="D9" s="934"/>
      <c r="E9" s="934"/>
      <c r="F9" s="435" t="s">
        <v>58</v>
      </c>
      <c r="G9" s="437"/>
      <c r="H9" s="464" t="s">
        <v>949</v>
      </c>
      <c r="I9" s="429" t="s">
        <v>1429</v>
      </c>
      <c r="J9" s="535" t="s">
        <v>1430</v>
      </c>
      <c r="K9" s="429" t="s">
        <v>1301</v>
      </c>
      <c r="L9" s="464">
        <v>640</v>
      </c>
      <c r="M9" s="437"/>
      <c r="N9" s="437"/>
      <c r="O9" s="443">
        <f t="shared" si="0"/>
        <v>0</v>
      </c>
      <c r="P9" s="461">
        <v>11.5</v>
      </c>
      <c r="Q9" s="438">
        <f>IFERROR(LOOKUP(1,0/((成型機資料庫!$F$296:$F$316=J9)*(成型機資料庫!$G$296:$G$316=K9)),成型機資料庫!$K$296:$K$316),0)</f>
        <v>1000</v>
      </c>
      <c r="R9" s="1003"/>
      <c r="S9" s="1004"/>
      <c r="T9" s="482">
        <f>IFERROR(LOOKUP(1,0/((成型機資料庫!$F$296:$F$316=J9)*(成型機資料庫!$G$296:$G$316=K9)),成型機資料庫!$I$296:$I$316),0)</f>
        <v>14</v>
      </c>
      <c r="U9" s="483">
        <f>IFERROR(LOOKUP(1,0/((成型機資料庫!$F$296:$F$316=J9)*(成型機資料庫!$G$296:$G$316=K9)),成型機資料庫!$J$296:$J$316),0)</f>
        <v>21</v>
      </c>
      <c r="V9" s="900">
        <f>IFERROR(LOOKUP(1,0/((成型機資料庫!$F$296:$F$316=J9)*(成型機資料庫!$G$296:$G$316=K9)),成型機資料庫!$L$296:$L$316),0)</f>
        <v>194.04</v>
      </c>
      <c r="W9" s="1004"/>
      <c r="X9" s="1004"/>
      <c r="Y9" s="1004"/>
      <c r="Z9" s="960"/>
      <c r="AA9" s="478">
        <f t="shared" si="1"/>
        <v>0</v>
      </c>
      <c r="AB9" s="539"/>
      <c r="AC9" s="969"/>
      <c r="AD9" s="1006"/>
      <c r="AE9" s="539"/>
      <c r="AF9" s="539"/>
    </row>
    <row r="10" spans="1:56" s="439" customFormat="1" ht="15.75">
      <c r="A10" s="934"/>
      <c r="B10" s="934"/>
      <c r="C10" s="934"/>
      <c r="D10" s="934"/>
      <c r="E10" s="934"/>
      <c r="F10" s="435" t="s">
        <v>58</v>
      </c>
      <c r="G10" s="437"/>
      <c r="H10" s="464" t="s">
        <v>1433</v>
      </c>
      <c r="I10" s="429" t="s">
        <v>1434</v>
      </c>
      <c r="J10" s="535" t="s">
        <v>1431</v>
      </c>
      <c r="K10" s="429" t="s">
        <v>1301</v>
      </c>
      <c r="L10" s="464">
        <v>750</v>
      </c>
      <c r="M10" s="437"/>
      <c r="N10" s="437"/>
      <c r="O10" s="443">
        <f t="shared" si="0"/>
        <v>0</v>
      </c>
      <c r="P10" s="461">
        <v>13.9</v>
      </c>
      <c r="Q10" s="438">
        <f>IFERROR(LOOKUP(1,0/((成型機資料庫!$F$296:$F$316=J10)*(成型機資料庫!$G$296:$G$316=K10)),成型機資料庫!$K$296:$K$316),0)</f>
        <v>1000</v>
      </c>
      <c r="R10" s="1003"/>
      <c r="S10" s="1004"/>
      <c r="T10" s="482">
        <f>IFERROR(LOOKUP(1,0/((成型機資料庫!$F$296:$F$316=J10)*(成型機資料庫!$G$296:$G$316=K10)),成型機資料庫!$I$296:$I$316),0)</f>
        <v>14</v>
      </c>
      <c r="U10" s="483">
        <f>IFERROR(LOOKUP(1,0/((成型機資料庫!$F$296:$F$316=J10)*(成型機資料庫!$G$296:$G$316=K10)),成型機資料庫!$J$296:$J$316),0)</f>
        <v>22</v>
      </c>
      <c r="V10" s="900">
        <f>IFERROR(LOOKUP(1,0/((成型機資料庫!$F$296:$F$316=J10)*(成型機資料庫!$G$296:$G$316=K10)),成型機資料庫!$L$296:$L$316),0)</f>
        <v>203.28</v>
      </c>
      <c r="W10" s="1004"/>
      <c r="X10" s="1004"/>
      <c r="Y10" s="1004"/>
      <c r="Z10" s="960"/>
      <c r="AA10" s="478">
        <f t="shared" si="1"/>
        <v>0</v>
      </c>
      <c r="AB10" s="539"/>
      <c r="AC10" s="969"/>
      <c r="AD10" s="1006"/>
      <c r="AE10" s="539"/>
      <c r="AF10" s="539"/>
    </row>
    <row r="11" spans="1:56" s="439" customFormat="1" thickBot="1">
      <c r="A11" s="496"/>
      <c r="B11" s="496"/>
      <c r="C11" s="496"/>
      <c r="D11" s="496"/>
      <c r="E11" s="496"/>
      <c r="F11" s="497"/>
      <c r="G11" s="500"/>
      <c r="H11" s="500"/>
      <c r="I11" s="498"/>
      <c r="J11" s="498"/>
      <c r="K11" s="498"/>
      <c r="L11" s="500"/>
      <c r="M11" s="500"/>
      <c r="N11" s="500"/>
      <c r="O11" s="501">
        <f t="shared" si="0"/>
        <v>0</v>
      </c>
      <c r="P11" s="528"/>
      <c r="Q11" s="499">
        <f>IFERROR(LOOKUP(1,0/((成型機資料庫!$F$296:$F$316=J11)*(成型機資料庫!$G$296:$G$316=K11)),成型機資料庫!$K$296:$K$316),0)</f>
        <v>0</v>
      </c>
      <c r="R11" s="502"/>
      <c r="S11" s="503"/>
      <c r="T11" s="509">
        <f>IFERROR(LOOKUP(1,0/((成型機資料庫!$F$296:$F$316=J11)*(成型機資料庫!$G$296:$G$316=K11)),成型機資料庫!$I$296:$I$316),0)</f>
        <v>0</v>
      </c>
      <c r="U11" s="505">
        <f>IFERROR(LOOKUP(1,0/((成型機資料庫!$F$296:$F$316=J11)*(成型機資料庫!$G$296:$G$316=K11)),成型機資料庫!$J$296:$J$316),0)</f>
        <v>0</v>
      </c>
      <c r="V11" s="991">
        <f>IFERROR(LOOKUP(1,0/((成型機資料庫!$F$296:$F$316=J11)*(成型機資料庫!$G$296:$G$316=K11)),成型機資料庫!$L$296:$L$316),0)</f>
        <v>0</v>
      </c>
      <c r="W11" s="507"/>
      <c r="X11" s="507"/>
      <c r="Y11" s="507"/>
      <c r="Z11" s="507"/>
      <c r="AA11" s="478">
        <f t="shared" si="1"/>
        <v>0</v>
      </c>
      <c r="AB11" s="499"/>
      <c r="AC11" s="509"/>
      <c r="AD11" s="529"/>
      <c r="AE11" s="499"/>
      <c r="AF11" s="499"/>
    </row>
    <row r="12" spans="1:56" s="433" customFormat="1" ht="15.75">
      <c r="A12" s="935">
        <v>113</v>
      </c>
      <c r="B12" s="935"/>
      <c r="C12" s="935">
        <v>1</v>
      </c>
      <c r="D12" s="889"/>
      <c r="E12" s="889" t="s">
        <v>0</v>
      </c>
      <c r="F12" s="962" t="s">
        <v>44</v>
      </c>
      <c r="G12" s="999"/>
      <c r="H12" s="532"/>
      <c r="I12" s="964"/>
      <c r="J12" s="964"/>
      <c r="K12" s="964"/>
      <c r="L12" s="532"/>
      <c r="M12" s="532"/>
      <c r="N12" s="927">
        <f>M12*Q12</f>
        <v>0</v>
      </c>
      <c r="O12" s="995">
        <f t="shared" si="0"/>
        <v>0</v>
      </c>
      <c r="P12" s="1000"/>
      <c r="Q12" s="480">
        <f>IFERROR(LOOKUP(1,0/((成型機資料庫!$F$296:$F$316=J12)*(成型機資料庫!$G$296:$G$316=K12)),成型機資料庫!$K$296:$K$316),0)</f>
        <v>0</v>
      </c>
      <c r="R12" s="997">
        <f t="shared" ref="R12:R41" si="2">M12*Q12*P12/1000</f>
        <v>0</v>
      </c>
      <c r="S12" s="996">
        <f t="shared" ref="S12:S41" si="3">IFERROR((G12-R12)/G12,0)</f>
        <v>0</v>
      </c>
      <c r="T12" s="968">
        <f>IFERROR(LOOKUP(1,0/((成型機資料庫!$F$296:$F$316=J12)*(成型機資料庫!$G$296:$G$316=K12)),成型機資料庫!$I$296:$I$316),0)</f>
        <v>0</v>
      </c>
      <c r="U12" s="967">
        <f>IFERROR(LOOKUP(1,0/((成型機資料庫!$F$296:$F$316=J12)*(成型機資料庫!$G$296:$G$316=K12)),成型機資料庫!$J$296:$J$316),0)</f>
        <v>0</v>
      </c>
      <c r="V12" s="927">
        <f>IFERROR(LOOKUP(1,0/((成型機資料庫!$F$296:$F$316=J12)*(成型機資料庫!$G$296:$G$316=K12)),成型機資料庫!$L$296:$L$316),0)</f>
        <v>0</v>
      </c>
      <c r="W12" s="996">
        <f t="shared" ref="W12:W41" si="4">IFERROR(M12/V12,0)</f>
        <v>0</v>
      </c>
      <c r="X12" s="987">
        <f>IFERROR(T12*U12*60*AA12/Q12,0)</f>
        <v>0</v>
      </c>
      <c r="Y12" s="996">
        <f>IFERROR(M12/X12,0)</f>
        <v>0</v>
      </c>
      <c r="Z12" s="987"/>
      <c r="AA12" s="495">
        <f t="shared" ref="AA12:AA41" si="5">AB12+AC12/60</f>
        <v>0</v>
      </c>
      <c r="AB12" s="480"/>
      <c r="AC12" s="968"/>
      <c r="AD12" s="532"/>
      <c r="AE12" s="480"/>
      <c r="AF12" s="480"/>
    </row>
    <row r="13" spans="1:56" s="433" customFormat="1" ht="15.75">
      <c r="A13" s="434">
        <v>113</v>
      </c>
      <c r="B13" s="581"/>
      <c r="C13" s="581">
        <v>2</v>
      </c>
      <c r="D13" s="581"/>
      <c r="E13" s="581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ref="N13:N41" si="6">M13*Q13</f>
        <v>0</v>
      </c>
      <c r="O13" s="901">
        <f t="shared" si="0"/>
        <v>0</v>
      </c>
      <c r="P13" s="460"/>
      <c r="Q13" s="438">
        <f>IFERROR(LOOKUP(1,0/((成型機資料庫!$F$296:$F$316=J13)*(成型機資料庫!$G$296:$G$316=K13)),成型機資料庫!$K$296:$K$316),0)</f>
        <v>0</v>
      </c>
      <c r="R13" s="899">
        <f t="shared" si="2"/>
        <v>0</v>
      </c>
      <c r="S13" s="898">
        <f t="shared" si="3"/>
        <v>0</v>
      </c>
      <c r="T13" s="482">
        <f>IFERROR(LOOKUP(1,0/((成型機資料庫!$F$296:$F$316=J13)*(成型機資料庫!$G$296:$G$316=K13)),成型機資料庫!$I$296:$I$316),0)</f>
        <v>0</v>
      </c>
      <c r="U13" s="483">
        <f>IFERROR(LOOKUP(1,0/((成型機資料庫!$F$296:$F$316=J13)*(成型機資料庫!$G$296:$G$316=K13)),成型機資料庫!$J$296:$J$316),0)</f>
        <v>0</v>
      </c>
      <c r="V13" s="900">
        <f>IFERROR(LOOKUP(1,0/((成型機資料庫!$F$296:$F$316=J13)*(成型機資料庫!$G$296:$G$316=K13)),成型機資料庫!$L$296:$L$316),0)</f>
        <v>0</v>
      </c>
      <c r="W13" s="898">
        <f t="shared" si="4"/>
        <v>0</v>
      </c>
      <c r="X13" s="923">
        <f t="shared" ref="X13:X41" si="7">IFERROR(T13*U13*60*AA13/Q13,0)</f>
        <v>0</v>
      </c>
      <c r="Y13" s="898">
        <f t="shared" ref="Y13:Y41" si="8">IFERROR(M13/X13,0)</f>
        <v>0</v>
      </c>
      <c r="Z13" s="923"/>
      <c r="AA13" s="478">
        <f t="shared" si="5"/>
        <v>0</v>
      </c>
      <c r="AB13" s="438"/>
      <c r="AC13" s="482"/>
      <c r="AD13" s="464"/>
      <c r="AE13" s="438"/>
      <c r="AF13" s="438"/>
    </row>
    <row r="14" spans="1:56" s="433" customFormat="1" ht="15.75">
      <c r="A14" s="434">
        <v>113</v>
      </c>
      <c r="B14" s="581"/>
      <c r="C14" s="581">
        <v>3</v>
      </c>
      <c r="D14" s="581"/>
      <c r="E14" s="581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6"/>
        <v>0</v>
      </c>
      <c r="O14" s="901">
        <f t="shared" si="0"/>
        <v>0</v>
      </c>
      <c r="P14" s="460"/>
      <c r="Q14" s="438">
        <f>IFERROR(LOOKUP(1,0/((成型機資料庫!$F$296:$F$316=J14)*(成型機資料庫!$G$296:$G$316=K14)),成型機資料庫!$K$296:$K$316),0)</f>
        <v>0</v>
      </c>
      <c r="R14" s="899">
        <f t="shared" si="2"/>
        <v>0</v>
      </c>
      <c r="S14" s="898">
        <f t="shared" si="3"/>
        <v>0</v>
      </c>
      <c r="T14" s="482">
        <f>IFERROR(LOOKUP(1,0/((成型機資料庫!$F$296:$F$316=J14)*(成型機資料庫!$G$296:$G$316=K14)),成型機資料庫!$I$296:$I$316),0)</f>
        <v>0</v>
      </c>
      <c r="U14" s="483">
        <f>IFERROR(LOOKUP(1,0/((成型機資料庫!$F$296:$F$316=J14)*(成型機資料庫!$G$296:$G$316=K14)),成型機資料庫!$J$296:$J$316),0)</f>
        <v>0</v>
      </c>
      <c r="V14" s="900">
        <f>IFERROR(LOOKUP(1,0/((成型機資料庫!$F$296:$F$316=J14)*(成型機資料庫!$G$296:$G$316=K14)),成型機資料庫!$L$296:$L$316),0)</f>
        <v>0</v>
      </c>
      <c r="W14" s="898">
        <f t="shared" si="4"/>
        <v>0</v>
      </c>
      <c r="X14" s="923">
        <f t="shared" si="7"/>
        <v>0</v>
      </c>
      <c r="Y14" s="898">
        <f t="shared" si="8"/>
        <v>0</v>
      </c>
      <c r="Z14" s="923"/>
      <c r="AA14" s="478">
        <f t="shared" si="5"/>
        <v>0</v>
      </c>
      <c r="AB14" s="438"/>
      <c r="AC14" s="482"/>
      <c r="AD14" s="438"/>
      <c r="AE14" s="438"/>
      <c r="AF14" s="438"/>
    </row>
    <row r="15" spans="1:56" s="433" customFormat="1" ht="15.75">
      <c r="A15" s="434">
        <v>113</v>
      </c>
      <c r="B15" s="581"/>
      <c r="C15" s="581">
        <v>4</v>
      </c>
      <c r="D15" s="581"/>
      <c r="E15" s="581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6"/>
        <v>0</v>
      </c>
      <c r="O15" s="901">
        <f t="shared" si="0"/>
        <v>0</v>
      </c>
      <c r="P15" s="460"/>
      <c r="Q15" s="438">
        <f>IFERROR(LOOKUP(1,0/((成型機資料庫!$F$296:$F$316=J15)*(成型機資料庫!$G$296:$G$316=K15)),成型機資料庫!$K$296:$K$316),0)</f>
        <v>0</v>
      </c>
      <c r="R15" s="899">
        <f t="shared" si="2"/>
        <v>0</v>
      </c>
      <c r="S15" s="898">
        <f t="shared" si="3"/>
        <v>0</v>
      </c>
      <c r="T15" s="482">
        <f>IFERROR(LOOKUP(1,0/((成型機資料庫!$F$296:$F$316=J15)*(成型機資料庫!$G$296:$G$316=K15)),成型機資料庫!$I$296:$I$316),0)</f>
        <v>0</v>
      </c>
      <c r="U15" s="483">
        <f>IFERROR(LOOKUP(1,0/((成型機資料庫!$F$296:$F$316=J15)*(成型機資料庫!$G$296:$G$316=K15)),成型機資料庫!$J$296:$J$316),0)</f>
        <v>0</v>
      </c>
      <c r="V15" s="900">
        <f>IFERROR(LOOKUP(1,0/((成型機資料庫!$F$296:$F$316=J15)*(成型機資料庫!$G$296:$G$316=K15)),成型機資料庫!$L$296:$L$316),0)</f>
        <v>0</v>
      </c>
      <c r="W15" s="898">
        <f t="shared" si="4"/>
        <v>0</v>
      </c>
      <c r="X15" s="923">
        <f t="shared" si="7"/>
        <v>0</v>
      </c>
      <c r="Y15" s="898">
        <f t="shared" si="8"/>
        <v>0</v>
      </c>
      <c r="Z15" s="923"/>
      <c r="AA15" s="478">
        <f t="shared" si="5"/>
        <v>0</v>
      </c>
      <c r="AB15" s="438"/>
      <c r="AC15" s="482"/>
      <c r="AD15" s="438"/>
      <c r="AE15" s="464"/>
      <c r="AF15" s="438"/>
    </row>
    <row r="16" spans="1:56" s="433" customFormat="1" ht="15.75">
      <c r="A16" s="434">
        <v>113</v>
      </c>
      <c r="B16" s="581"/>
      <c r="C16" s="581">
        <v>5</v>
      </c>
      <c r="D16" s="581"/>
      <c r="E16" s="889" t="s">
        <v>0</v>
      </c>
      <c r="F16" s="962" t="s">
        <v>44</v>
      </c>
      <c r="G16" s="926"/>
      <c r="H16" s="464"/>
      <c r="I16" s="429"/>
      <c r="J16" s="429"/>
      <c r="K16" s="429"/>
      <c r="L16" s="464"/>
      <c r="M16" s="464"/>
      <c r="N16" s="900">
        <f t="shared" si="6"/>
        <v>0</v>
      </c>
      <c r="O16" s="901">
        <f t="shared" si="0"/>
        <v>0</v>
      </c>
      <c r="P16" s="460"/>
      <c r="Q16" s="438">
        <f>IFERROR(LOOKUP(1,0/((成型機資料庫!$F$296:$F$316=J16)*(成型機資料庫!$G$296:$G$316=K16)),成型機資料庫!$K$296:$K$316),0)</f>
        <v>0</v>
      </c>
      <c r="R16" s="899">
        <f t="shared" si="2"/>
        <v>0</v>
      </c>
      <c r="S16" s="898">
        <f t="shared" si="3"/>
        <v>0</v>
      </c>
      <c r="T16" s="482">
        <f>IFERROR(LOOKUP(1,0/((成型機資料庫!$F$296:$F$316=J16)*(成型機資料庫!$G$296:$G$316=K16)),成型機資料庫!$I$296:$I$316),0)</f>
        <v>0</v>
      </c>
      <c r="U16" s="483">
        <f>IFERROR(LOOKUP(1,0/((成型機資料庫!$F$296:$F$316=J16)*(成型機資料庫!$G$296:$G$316=K16)),成型機資料庫!$J$296:$J$316),0)</f>
        <v>0</v>
      </c>
      <c r="V16" s="900">
        <f>IFERROR(LOOKUP(1,0/((成型機資料庫!$F$296:$F$316=J16)*(成型機資料庫!$G$296:$G$316=K16)),成型機資料庫!$L$296:$L$316),0)</f>
        <v>0</v>
      </c>
      <c r="W16" s="898">
        <f t="shared" si="4"/>
        <v>0</v>
      </c>
      <c r="X16" s="923">
        <f t="shared" si="7"/>
        <v>0</v>
      </c>
      <c r="Y16" s="898">
        <f t="shared" si="8"/>
        <v>0</v>
      </c>
      <c r="Z16" s="923"/>
      <c r="AA16" s="478">
        <f t="shared" si="5"/>
        <v>0</v>
      </c>
      <c r="AB16" s="438"/>
      <c r="AC16" s="482"/>
      <c r="AD16" s="438"/>
      <c r="AE16" s="438"/>
      <c r="AF16" s="438"/>
    </row>
    <row r="17" spans="1:32" s="433" customFormat="1" ht="15.75">
      <c r="A17" s="434">
        <v>113</v>
      </c>
      <c r="B17" s="581"/>
      <c r="C17" s="581">
        <v>6</v>
      </c>
      <c r="D17" s="581"/>
      <c r="E17" s="889" t="s">
        <v>0</v>
      </c>
      <c r="F17" s="962" t="s">
        <v>44</v>
      </c>
      <c r="G17" s="926"/>
      <c r="H17" s="464"/>
      <c r="I17" s="429"/>
      <c r="J17" s="429"/>
      <c r="K17" s="429"/>
      <c r="L17" s="464"/>
      <c r="M17" s="464"/>
      <c r="N17" s="900">
        <f t="shared" si="6"/>
        <v>0</v>
      </c>
      <c r="O17" s="901">
        <f t="shared" si="0"/>
        <v>0</v>
      </c>
      <c r="P17" s="460"/>
      <c r="Q17" s="438">
        <f>IFERROR(LOOKUP(1,0/((成型機資料庫!$F$296:$F$316=J17)*(成型機資料庫!$G$296:$G$316=K17)),成型機資料庫!$K$296:$K$316),0)</f>
        <v>0</v>
      </c>
      <c r="R17" s="899">
        <f t="shared" si="2"/>
        <v>0</v>
      </c>
      <c r="S17" s="898">
        <f t="shared" si="3"/>
        <v>0</v>
      </c>
      <c r="T17" s="482">
        <f>IFERROR(LOOKUP(1,0/((成型機資料庫!$F$296:$F$316=J17)*(成型機資料庫!$G$296:$G$316=K17)),成型機資料庫!$I$296:$I$316),0)</f>
        <v>0</v>
      </c>
      <c r="U17" s="483">
        <f>IFERROR(LOOKUP(1,0/((成型機資料庫!$F$296:$F$316=J17)*(成型機資料庫!$G$296:$G$316=K17)),成型機資料庫!$J$296:$J$316),0)</f>
        <v>0</v>
      </c>
      <c r="V17" s="900">
        <f>IFERROR(LOOKUP(1,0/((成型機資料庫!$F$296:$F$316=J17)*(成型機資料庫!$G$296:$G$316=K17)),成型機資料庫!$L$296:$L$316),0)</f>
        <v>0</v>
      </c>
      <c r="W17" s="898">
        <f t="shared" si="4"/>
        <v>0</v>
      </c>
      <c r="X17" s="923">
        <f t="shared" si="7"/>
        <v>0</v>
      </c>
      <c r="Y17" s="898">
        <f t="shared" si="8"/>
        <v>0</v>
      </c>
      <c r="Z17" s="923"/>
      <c r="AA17" s="478">
        <f t="shared" si="5"/>
        <v>0</v>
      </c>
      <c r="AB17" s="438"/>
      <c r="AC17" s="482"/>
      <c r="AD17" s="879"/>
      <c r="AE17" s="438"/>
      <c r="AF17" s="438"/>
    </row>
    <row r="18" spans="1:32" s="433" customFormat="1" ht="15.75">
      <c r="A18" s="434">
        <v>113</v>
      </c>
      <c r="B18" s="581"/>
      <c r="C18" s="581">
        <v>7</v>
      </c>
      <c r="D18" s="581"/>
      <c r="E18" s="889" t="s">
        <v>0</v>
      </c>
      <c r="F18" s="962" t="s">
        <v>44</v>
      </c>
      <c r="G18" s="927"/>
      <c r="H18" s="464"/>
      <c r="I18" s="429"/>
      <c r="J18" s="429"/>
      <c r="K18" s="429"/>
      <c r="L18" s="464"/>
      <c r="M18" s="464"/>
      <c r="N18" s="900">
        <f t="shared" si="6"/>
        <v>0</v>
      </c>
      <c r="O18" s="901">
        <f t="shared" si="0"/>
        <v>0</v>
      </c>
      <c r="P18" s="460"/>
      <c r="Q18" s="438">
        <f>IFERROR(LOOKUP(1,0/((成型機資料庫!$F$296:$F$316=J18)*(成型機資料庫!$G$296:$G$316=K18)),成型機資料庫!$K$296:$K$316),0)</f>
        <v>0</v>
      </c>
      <c r="R18" s="899">
        <f t="shared" si="2"/>
        <v>0</v>
      </c>
      <c r="S18" s="898">
        <f t="shared" si="3"/>
        <v>0</v>
      </c>
      <c r="T18" s="482">
        <f>IFERROR(LOOKUP(1,0/((成型機資料庫!$F$296:$F$316=J18)*(成型機資料庫!$G$296:$G$316=K18)),成型機資料庫!$I$296:$I$316),0)</f>
        <v>0</v>
      </c>
      <c r="U18" s="483">
        <f>IFERROR(LOOKUP(1,0/((成型機資料庫!$F$296:$F$316=J18)*(成型機資料庫!$G$296:$G$316=K18)),成型機資料庫!$J$296:$J$316),0)</f>
        <v>0</v>
      </c>
      <c r="V18" s="900">
        <f>IFERROR(LOOKUP(1,0/((成型機資料庫!$F$296:$F$316=J18)*(成型機資料庫!$G$296:$G$316=K18)),成型機資料庫!$L$296:$L$316),0)</f>
        <v>0</v>
      </c>
      <c r="W18" s="898">
        <f t="shared" si="4"/>
        <v>0</v>
      </c>
      <c r="X18" s="923">
        <f t="shared" si="7"/>
        <v>0</v>
      </c>
      <c r="Y18" s="898">
        <f t="shared" si="8"/>
        <v>0</v>
      </c>
      <c r="Z18" s="923"/>
      <c r="AA18" s="478">
        <f t="shared" si="5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8</v>
      </c>
      <c r="D19" s="581"/>
      <c r="E19" s="889" t="s">
        <v>0</v>
      </c>
      <c r="F19" s="962" t="s">
        <v>44</v>
      </c>
      <c r="G19" s="927"/>
      <c r="H19" s="464"/>
      <c r="I19" s="429"/>
      <c r="J19" s="429"/>
      <c r="K19" s="429"/>
      <c r="L19" s="464"/>
      <c r="M19" s="464"/>
      <c r="N19" s="900">
        <f t="shared" si="6"/>
        <v>0</v>
      </c>
      <c r="O19" s="901">
        <f t="shared" si="0"/>
        <v>0</v>
      </c>
      <c r="P19" s="460"/>
      <c r="Q19" s="438">
        <f>IFERROR(LOOKUP(1,0/((成型機資料庫!$F$296:$F$316=J19)*(成型機資料庫!$G$296:$G$316=K19)),成型機資料庫!$K$296:$K$316),0)</f>
        <v>0</v>
      </c>
      <c r="R19" s="899">
        <f t="shared" si="2"/>
        <v>0</v>
      </c>
      <c r="S19" s="898">
        <f t="shared" si="3"/>
        <v>0</v>
      </c>
      <c r="T19" s="482">
        <f>IFERROR(LOOKUP(1,0/((成型機資料庫!$F$296:$F$316=J19)*(成型機資料庫!$G$296:$G$316=K19)),成型機資料庫!$I$296:$I$316),0)</f>
        <v>0</v>
      </c>
      <c r="U19" s="483">
        <f>IFERROR(LOOKUP(1,0/((成型機資料庫!$F$296:$F$316=J19)*(成型機資料庫!$G$296:$G$316=K19)),成型機資料庫!$J$296:$J$316),0)</f>
        <v>0</v>
      </c>
      <c r="V19" s="900">
        <f>IFERROR(LOOKUP(1,0/((成型機資料庫!$F$296:$F$316=J19)*(成型機資料庫!$G$296:$G$316=K19)),成型機資料庫!$L$296:$L$316),0)</f>
        <v>0</v>
      </c>
      <c r="W19" s="898">
        <f t="shared" si="4"/>
        <v>0</v>
      </c>
      <c r="X19" s="923">
        <f t="shared" si="7"/>
        <v>0</v>
      </c>
      <c r="Y19" s="898">
        <f t="shared" si="8"/>
        <v>0</v>
      </c>
      <c r="Z19" s="923"/>
      <c r="AA19" s="478">
        <f t="shared" si="5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9</v>
      </c>
      <c r="D20" s="581"/>
      <c r="E20" s="889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6"/>
        <v>0</v>
      </c>
      <c r="O20" s="901">
        <f t="shared" si="0"/>
        <v>0</v>
      </c>
      <c r="P20" s="460"/>
      <c r="Q20" s="438">
        <f>IFERROR(LOOKUP(1,0/((成型機資料庫!$F$296:$F$316=J20)*(成型機資料庫!$G$296:$G$316=K20)),成型機資料庫!$K$296:$K$316),0)</f>
        <v>0</v>
      </c>
      <c r="R20" s="899">
        <f t="shared" si="2"/>
        <v>0</v>
      </c>
      <c r="S20" s="898">
        <f t="shared" si="3"/>
        <v>0</v>
      </c>
      <c r="T20" s="482">
        <f>IFERROR(LOOKUP(1,0/((成型機資料庫!$F$296:$F$316=J20)*(成型機資料庫!$G$296:$G$316=K20)),成型機資料庫!$I$296:$I$316),0)</f>
        <v>0</v>
      </c>
      <c r="U20" s="483">
        <f>IFERROR(LOOKUP(1,0/((成型機資料庫!$F$296:$F$316=J20)*(成型機資料庫!$G$296:$G$316=K20)),成型機資料庫!$J$296:$J$316),0)</f>
        <v>0</v>
      </c>
      <c r="V20" s="900">
        <f>IFERROR(LOOKUP(1,0/((成型機資料庫!$F$296:$F$316=J20)*(成型機資料庫!$G$296:$G$316=K20)),成型機資料庫!$L$296:$L$316),0)</f>
        <v>0</v>
      </c>
      <c r="W20" s="898">
        <f t="shared" si="4"/>
        <v>0</v>
      </c>
      <c r="X20" s="923">
        <f t="shared" si="7"/>
        <v>0</v>
      </c>
      <c r="Y20" s="898">
        <f t="shared" si="8"/>
        <v>0</v>
      </c>
      <c r="Z20" s="923"/>
      <c r="AA20" s="478">
        <f t="shared" si="5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10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6"/>
        <v>0</v>
      </c>
      <c r="O21" s="901">
        <f t="shared" si="0"/>
        <v>0</v>
      </c>
      <c r="P21" s="460"/>
      <c r="Q21" s="438">
        <f>IFERROR(LOOKUP(1,0/((成型機資料庫!$F$296:$F$316=J21)*(成型機資料庫!$G$296:$G$316=K21)),成型機資料庫!$K$296:$K$316),0)</f>
        <v>0</v>
      </c>
      <c r="R21" s="899">
        <f t="shared" si="2"/>
        <v>0</v>
      </c>
      <c r="S21" s="898">
        <f t="shared" si="3"/>
        <v>0</v>
      </c>
      <c r="T21" s="482">
        <f>IFERROR(LOOKUP(1,0/((成型機資料庫!$F$296:$F$316=J21)*(成型機資料庫!$G$296:$G$316=K21)),成型機資料庫!$I$296:$I$316),0)</f>
        <v>0</v>
      </c>
      <c r="U21" s="483">
        <f>IFERROR(LOOKUP(1,0/((成型機資料庫!$F$296:$F$316=J21)*(成型機資料庫!$G$296:$G$316=K21)),成型機資料庫!$J$296:$J$316),0)</f>
        <v>0</v>
      </c>
      <c r="V21" s="900">
        <f>IFERROR(LOOKUP(1,0/((成型機資料庫!$F$296:$F$316=J21)*(成型機資料庫!$G$296:$G$316=K21)),成型機資料庫!$L$296:$L$316),0)</f>
        <v>0</v>
      </c>
      <c r="W21" s="898">
        <f t="shared" si="4"/>
        <v>0</v>
      </c>
      <c r="X21" s="923">
        <f t="shared" si="7"/>
        <v>0</v>
      </c>
      <c r="Y21" s="898">
        <f t="shared" si="8"/>
        <v>0</v>
      </c>
      <c r="Z21" s="923"/>
      <c r="AA21" s="478">
        <f t="shared" si="5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11</v>
      </c>
      <c r="D22" s="581"/>
      <c r="E22" s="581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6"/>
        <v>0</v>
      </c>
      <c r="O22" s="901">
        <f t="shared" si="0"/>
        <v>0</v>
      </c>
      <c r="P22" s="460"/>
      <c r="Q22" s="438">
        <f>IFERROR(LOOKUP(1,0/((成型機資料庫!$F$296:$F$316=J22)*(成型機資料庫!$G$296:$G$316=K22)),成型機資料庫!$K$296:$K$316),0)</f>
        <v>0</v>
      </c>
      <c r="R22" s="899">
        <f t="shared" si="2"/>
        <v>0</v>
      </c>
      <c r="S22" s="898">
        <f t="shared" si="3"/>
        <v>0</v>
      </c>
      <c r="T22" s="482">
        <f>IFERROR(LOOKUP(1,0/((成型機資料庫!$F$296:$F$316=J22)*(成型機資料庫!$G$296:$G$316=K22)),成型機資料庫!$I$296:$I$316),0)</f>
        <v>0</v>
      </c>
      <c r="U22" s="483">
        <f>IFERROR(LOOKUP(1,0/((成型機資料庫!$F$296:$F$316=J22)*(成型機資料庫!$G$296:$G$316=K22)),成型機資料庫!$J$296:$J$316),0)</f>
        <v>0</v>
      </c>
      <c r="V22" s="900">
        <f>IFERROR(LOOKUP(1,0/((成型機資料庫!$F$296:$F$316=J22)*(成型機資料庫!$G$296:$G$316=K22)),成型機資料庫!$L$296:$L$316),0)</f>
        <v>0</v>
      </c>
      <c r="W22" s="898">
        <f t="shared" si="4"/>
        <v>0</v>
      </c>
      <c r="X22" s="923">
        <f t="shared" si="7"/>
        <v>0</v>
      </c>
      <c r="Y22" s="898">
        <f t="shared" si="8"/>
        <v>0</v>
      </c>
      <c r="Z22" s="923"/>
      <c r="AA22" s="478">
        <f t="shared" si="5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12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6"/>
        <v>0</v>
      </c>
      <c r="O23" s="901">
        <f t="shared" si="0"/>
        <v>0</v>
      </c>
      <c r="P23" s="460"/>
      <c r="Q23" s="438">
        <f>IFERROR(LOOKUP(1,0/((成型機資料庫!$F$296:$F$316=J23)*(成型機資料庫!$G$296:$G$316=K23)),成型機資料庫!$K$296:$K$316),0)</f>
        <v>0</v>
      </c>
      <c r="R23" s="899">
        <f t="shared" si="2"/>
        <v>0</v>
      </c>
      <c r="S23" s="898">
        <f t="shared" si="3"/>
        <v>0</v>
      </c>
      <c r="T23" s="482">
        <f>IFERROR(LOOKUP(1,0/((成型機資料庫!$F$296:$F$316=J23)*(成型機資料庫!$G$296:$G$316=K23)),成型機資料庫!$I$296:$I$316),0)</f>
        <v>0</v>
      </c>
      <c r="U23" s="483">
        <f>IFERROR(LOOKUP(1,0/((成型機資料庫!$F$296:$F$316=J23)*(成型機資料庫!$G$296:$G$316=K23)),成型機資料庫!$J$296:$J$316),0)</f>
        <v>0</v>
      </c>
      <c r="V23" s="900">
        <f>IFERROR(LOOKUP(1,0/((成型機資料庫!$F$296:$F$316=J23)*(成型機資料庫!$G$296:$G$316=K23)),成型機資料庫!$L$296:$L$316),0)</f>
        <v>0</v>
      </c>
      <c r="W23" s="898">
        <f t="shared" si="4"/>
        <v>0</v>
      </c>
      <c r="X23" s="923">
        <f t="shared" si="7"/>
        <v>0</v>
      </c>
      <c r="Y23" s="898">
        <f t="shared" si="8"/>
        <v>0</v>
      </c>
      <c r="Z23" s="923"/>
      <c r="AA23" s="478">
        <f t="shared" si="5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13</v>
      </c>
      <c r="D24" s="581"/>
      <c r="E24" s="889" t="s">
        <v>0</v>
      </c>
      <c r="F24" s="962" t="s">
        <v>44</v>
      </c>
      <c r="G24" s="926"/>
      <c r="H24" s="464"/>
      <c r="I24" s="429"/>
      <c r="J24" s="429"/>
      <c r="K24" s="429"/>
      <c r="L24" s="464"/>
      <c r="M24" s="464"/>
      <c r="N24" s="900">
        <f t="shared" si="6"/>
        <v>0</v>
      </c>
      <c r="O24" s="901">
        <f t="shared" si="0"/>
        <v>0</v>
      </c>
      <c r="P24" s="460"/>
      <c r="Q24" s="438">
        <f>IFERROR(LOOKUP(1,0/((成型機資料庫!$F$296:$F$316=J24)*(成型機資料庫!$G$296:$G$316=K24)),成型機資料庫!$K$296:$K$316),0)</f>
        <v>0</v>
      </c>
      <c r="R24" s="899">
        <f t="shared" si="2"/>
        <v>0</v>
      </c>
      <c r="S24" s="898">
        <f t="shared" si="3"/>
        <v>0</v>
      </c>
      <c r="T24" s="482">
        <f>IFERROR(LOOKUP(1,0/((成型機資料庫!$F$296:$F$316=J24)*(成型機資料庫!$G$296:$G$316=K24)),成型機資料庫!$I$296:$I$316),0)</f>
        <v>0</v>
      </c>
      <c r="U24" s="483">
        <f>IFERROR(LOOKUP(1,0/((成型機資料庫!$F$296:$F$316=J24)*(成型機資料庫!$G$296:$G$316=K24)),成型機資料庫!$J$296:$J$316),0)</f>
        <v>0</v>
      </c>
      <c r="V24" s="900">
        <f>IFERROR(LOOKUP(1,0/((成型機資料庫!$F$296:$F$316=J24)*(成型機資料庫!$G$296:$G$316=K24)),成型機資料庫!$L$296:$L$316),0)</f>
        <v>0</v>
      </c>
      <c r="W24" s="898">
        <f t="shared" si="4"/>
        <v>0</v>
      </c>
      <c r="X24" s="923">
        <f t="shared" si="7"/>
        <v>0</v>
      </c>
      <c r="Y24" s="898">
        <f t="shared" si="8"/>
        <v>0</v>
      </c>
      <c r="Z24" s="923"/>
      <c r="AA24" s="478">
        <f t="shared" si="5"/>
        <v>0</v>
      </c>
      <c r="AB24" s="438"/>
      <c r="AC24" s="482"/>
      <c r="AD24" s="464"/>
      <c r="AE24" s="438"/>
      <c r="AF24" s="438"/>
    </row>
    <row r="25" spans="1:32" s="433" customFormat="1" ht="15.75">
      <c r="A25" s="434">
        <v>113</v>
      </c>
      <c r="B25" s="581"/>
      <c r="C25" s="581">
        <v>14</v>
      </c>
      <c r="D25" s="581"/>
      <c r="E25" s="889" t="s">
        <v>0</v>
      </c>
      <c r="F25" s="962" t="s">
        <v>44</v>
      </c>
      <c r="G25" s="926"/>
      <c r="H25" s="464"/>
      <c r="I25" s="429"/>
      <c r="J25" s="429"/>
      <c r="K25" s="429"/>
      <c r="L25" s="464"/>
      <c r="M25" s="464"/>
      <c r="N25" s="900">
        <f t="shared" si="6"/>
        <v>0</v>
      </c>
      <c r="O25" s="901">
        <f t="shared" si="0"/>
        <v>0</v>
      </c>
      <c r="P25" s="460"/>
      <c r="Q25" s="438">
        <f>IFERROR(LOOKUP(1,0/((成型機資料庫!$F$296:$F$316=J25)*(成型機資料庫!$G$296:$G$316=K25)),成型機資料庫!$K$296:$K$316),0)</f>
        <v>0</v>
      </c>
      <c r="R25" s="899">
        <f t="shared" si="2"/>
        <v>0</v>
      </c>
      <c r="S25" s="898">
        <f t="shared" si="3"/>
        <v>0</v>
      </c>
      <c r="T25" s="482">
        <f>IFERROR(LOOKUP(1,0/((成型機資料庫!$F$296:$F$316=J25)*(成型機資料庫!$G$296:$G$316=K25)),成型機資料庫!$I$296:$I$316),0)</f>
        <v>0</v>
      </c>
      <c r="U25" s="483">
        <f>IFERROR(LOOKUP(1,0/((成型機資料庫!$F$296:$F$316=J25)*(成型機資料庫!$G$296:$G$316=K25)),成型機資料庫!$J$296:$J$316),0)</f>
        <v>0</v>
      </c>
      <c r="V25" s="900">
        <f>IFERROR(LOOKUP(1,0/((成型機資料庫!$F$296:$F$316=J25)*(成型機資料庫!$G$296:$G$316=K25)),成型機資料庫!$L$296:$L$316),0)</f>
        <v>0</v>
      </c>
      <c r="W25" s="898">
        <f t="shared" si="4"/>
        <v>0</v>
      </c>
      <c r="X25" s="923">
        <f t="shared" si="7"/>
        <v>0</v>
      </c>
      <c r="Y25" s="898">
        <f t="shared" si="8"/>
        <v>0</v>
      </c>
      <c r="Z25" s="923"/>
      <c r="AA25" s="478">
        <f t="shared" si="5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15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6"/>
        <v>0</v>
      </c>
      <c r="O26" s="901">
        <f t="shared" si="0"/>
        <v>0</v>
      </c>
      <c r="P26" s="460"/>
      <c r="Q26" s="438">
        <f>IFERROR(LOOKUP(1,0/((成型機資料庫!$F$296:$F$316=J26)*(成型機資料庫!$G$296:$G$316=K26)),成型機資料庫!$K$296:$K$316),0)</f>
        <v>0</v>
      </c>
      <c r="R26" s="899">
        <f t="shared" si="2"/>
        <v>0</v>
      </c>
      <c r="S26" s="898">
        <f t="shared" si="3"/>
        <v>0</v>
      </c>
      <c r="T26" s="482">
        <f>IFERROR(LOOKUP(1,0/((成型機資料庫!$F$296:$F$316=J26)*(成型機資料庫!$G$296:$G$316=K26)),成型機資料庫!$I$296:$I$316),0)</f>
        <v>0</v>
      </c>
      <c r="U26" s="483">
        <f>IFERROR(LOOKUP(1,0/((成型機資料庫!$F$296:$F$316=J26)*(成型機資料庫!$G$296:$G$316=K26)),成型機資料庫!$J$296:$J$316),0)</f>
        <v>0</v>
      </c>
      <c r="V26" s="900">
        <f>IFERROR(LOOKUP(1,0/((成型機資料庫!$F$296:$F$316=J26)*(成型機資料庫!$G$296:$G$316=K26)),成型機資料庫!$L$296:$L$316),0)</f>
        <v>0</v>
      </c>
      <c r="W26" s="898">
        <f t="shared" si="4"/>
        <v>0</v>
      </c>
      <c r="X26" s="923">
        <f t="shared" si="7"/>
        <v>0</v>
      </c>
      <c r="Y26" s="898">
        <f t="shared" si="8"/>
        <v>0</v>
      </c>
      <c r="Z26" s="923"/>
      <c r="AA26" s="478">
        <f t="shared" si="5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16</v>
      </c>
      <c r="D27" s="581"/>
      <c r="E27" s="889" t="s">
        <v>0</v>
      </c>
      <c r="F27" s="962" t="s">
        <v>44</v>
      </c>
      <c r="G27" s="927"/>
      <c r="H27" s="464"/>
      <c r="I27" s="429"/>
      <c r="J27" s="429"/>
      <c r="K27" s="429"/>
      <c r="L27" s="464"/>
      <c r="M27" s="464"/>
      <c r="N27" s="900">
        <f t="shared" si="6"/>
        <v>0</v>
      </c>
      <c r="O27" s="901">
        <f t="shared" si="0"/>
        <v>0</v>
      </c>
      <c r="P27" s="460"/>
      <c r="Q27" s="438">
        <f>IFERROR(LOOKUP(1,0/((成型機資料庫!$F$296:$F$316=J27)*(成型機資料庫!$G$296:$G$316=K27)),成型機資料庫!$K$296:$K$316),0)</f>
        <v>0</v>
      </c>
      <c r="R27" s="899">
        <f t="shared" si="2"/>
        <v>0</v>
      </c>
      <c r="S27" s="898">
        <f t="shared" si="3"/>
        <v>0</v>
      </c>
      <c r="T27" s="482">
        <f>IFERROR(LOOKUP(1,0/((成型機資料庫!$F$296:$F$316=J27)*(成型機資料庫!$G$296:$G$316=K27)),成型機資料庫!$I$296:$I$316),0)</f>
        <v>0</v>
      </c>
      <c r="U27" s="483">
        <f>IFERROR(LOOKUP(1,0/((成型機資料庫!$F$296:$F$316=J27)*(成型機資料庫!$G$296:$G$316=K27)),成型機資料庫!$J$296:$J$316),0)</f>
        <v>0</v>
      </c>
      <c r="V27" s="900">
        <f>IFERROR(LOOKUP(1,0/((成型機資料庫!$F$296:$F$316=J27)*(成型機資料庫!$G$296:$G$316=K27)),成型機資料庫!$L$296:$L$316),0)</f>
        <v>0</v>
      </c>
      <c r="W27" s="898">
        <f t="shared" si="4"/>
        <v>0</v>
      </c>
      <c r="X27" s="923">
        <f t="shared" si="7"/>
        <v>0</v>
      </c>
      <c r="Y27" s="898">
        <f t="shared" si="8"/>
        <v>0</v>
      </c>
      <c r="Z27" s="923"/>
      <c r="AA27" s="478">
        <f t="shared" si="5"/>
        <v>0</v>
      </c>
      <c r="AB27" s="438"/>
      <c r="AC27" s="482"/>
      <c r="AD27" s="464"/>
      <c r="AE27" s="464"/>
      <c r="AF27" s="438"/>
    </row>
    <row r="28" spans="1:32" s="433" customFormat="1" ht="15.75">
      <c r="A28" s="434">
        <v>113</v>
      </c>
      <c r="B28" s="581"/>
      <c r="C28" s="581">
        <v>17</v>
      </c>
      <c r="D28" s="581"/>
      <c r="E28" s="889" t="s">
        <v>0</v>
      </c>
      <c r="F28" s="962" t="s">
        <v>44</v>
      </c>
      <c r="G28" s="927"/>
      <c r="H28" s="464"/>
      <c r="I28" s="429"/>
      <c r="J28" s="429"/>
      <c r="K28" s="429"/>
      <c r="L28" s="464"/>
      <c r="M28" s="464"/>
      <c r="N28" s="900">
        <f t="shared" si="6"/>
        <v>0</v>
      </c>
      <c r="O28" s="901">
        <f t="shared" si="0"/>
        <v>0</v>
      </c>
      <c r="P28" s="460"/>
      <c r="Q28" s="438">
        <f>IFERROR(LOOKUP(1,0/((成型機資料庫!$F$296:$F$316=J28)*(成型機資料庫!$G$296:$G$316=K28)),成型機資料庫!$K$296:$K$316),0)</f>
        <v>0</v>
      </c>
      <c r="R28" s="899">
        <f t="shared" si="2"/>
        <v>0</v>
      </c>
      <c r="S28" s="898">
        <f t="shared" si="3"/>
        <v>0</v>
      </c>
      <c r="T28" s="482">
        <f>IFERROR(LOOKUP(1,0/((成型機資料庫!$F$296:$F$316=J28)*(成型機資料庫!$G$296:$G$316=K28)),成型機資料庫!$I$296:$I$316),0)</f>
        <v>0</v>
      </c>
      <c r="U28" s="483">
        <f>IFERROR(LOOKUP(1,0/((成型機資料庫!$F$296:$F$316=J28)*(成型機資料庫!$G$296:$G$316=K28)),成型機資料庫!$J$296:$J$316),0)</f>
        <v>0</v>
      </c>
      <c r="V28" s="900">
        <f>IFERROR(LOOKUP(1,0/((成型機資料庫!$F$296:$F$316=J28)*(成型機資料庫!$G$296:$G$316=K28)),成型機資料庫!$L$296:$L$316),0)</f>
        <v>0</v>
      </c>
      <c r="W28" s="898">
        <f t="shared" si="4"/>
        <v>0</v>
      </c>
      <c r="X28" s="923">
        <f t="shared" si="7"/>
        <v>0</v>
      </c>
      <c r="Y28" s="898">
        <f t="shared" si="8"/>
        <v>0</v>
      </c>
      <c r="Z28" s="923"/>
      <c r="AA28" s="478">
        <f t="shared" si="5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18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6"/>
        <v>0</v>
      </c>
      <c r="O29" s="901">
        <f t="shared" si="0"/>
        <v>0</v>
      </c>
      <c r="P29" s="460"/>
      <c r="Q29" s="438">
        <f>IFERROR(LOOKUP(1,0/((成型機資料庫!$F$296:$F$316=J29)*(成型機資料庫!$G$296:$G$316=K29)),成型機資料庫!$K$296:$K$316),0)</f>
        <v>0</v>
      </c>
      <c r="R29" s="899">
        <f t="shared" si="2"/>
        <v>0</v>
      </c>
      <c r="S29" s="898">
        <f t="shared" si="3"/>
        <v>0</v>
      </c>
      <c r="T29" s="482">
        <f>IFERROR(LOOKUP(1,0/((成型機資料庫!$F$296:$F$316=J29)*(成型機資料庫!$G$296:$G$316=K29)),成型機資料庫!$I$296:$I$316),0)</f>
        <v>0</v>
      </c>
      <c r="U29" s="483">
        <f>IFERROR(LOOKUP(1,0/((成型機資料庫!$F$296:$F$316=J29)*(成型機資料庫!$G$296:$G$316=K29)),成型機資料庫!$J$296:$J$316),0)</f>
        <v>0</v>
      </c>
      <c r="V29" s="900">
        <f>IFERROR(LOOKUP(1,0/((成型機資料庫!$F$296:$F$316=J29)*(成型機資料庫!$G$296:$G$316=K29)),成型機資料庫!$L$296:$L$316),0)</f>
        <v>0</v>
      </c>
      <c r="W29" s="898">
        <f t="shared" si="4"/>
        <v>0</v>
      </c>
      <c r="X29" s="923">
        <f t="shared" si="7"/>
        <v>0</v>
      </c>
      <c r="Y29" s="898">
        <f t="shared" si="8"/>
        <v>0</v>
      </c>
      <c r="Z29" s="923"/>
      <c r="AA29" s="478">
        <f t="shared" si="5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19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6"/>
        <v>0</v>
      </c>
      <c r="O30" s="901">
        <f t="shared" si="0"/>
        <v>0</v>
      </c>
      <c r="P30" s="460"/>
      <c r="Q30" s="438">
        <f>IFERROR(LOOKUP(1,0/((成型機資料庫!$F$296:$F$316=J30)*(成型機資料庫!$G$296:$G$316=K30)),成型機資料庫!$K$296:$K$316),0)</f>
        <v>0</v>
      </c>
      <c r="R30" s="899">
        <f t="shared" si="2"/>
        <v>0</v>
      </c>
      <c r="S30" s="898">
        <f t="shared" si="3"/>
        <v>0</v>
      </c>
      <c r="T30" s="482">
        <f>IFERROR(LOOKUP(1,0/((成型機資料庫!$F$296:$F$316=J30)*(成型機資料庫!$G$296:$G$316=K30)),成型機資料庫!$I$296:$I$316),0)</f>
        <v>0</v>
      </c>
      <c r="U30" s="483">
        <f>IFERROR(LOOKUP(1,0/((成型機資料庫!$F$296:$F$316=J30)*(成型機資料庫!$G$296:$G$316=K30)),成型機資料庫!$J$296:$J$316),0)</f>
        <v>0</v>
      </c>
      <c r="V30" s="900">
        <f>IFERROR(LOOKUP(1,0/((成型機資料庫!$F$296:$F$316=J30)*(成型機資料庫!$G$296:$G$316=K30)),成型機資料庫!$L$296:$L$316),0)</f>
        <v>0</v>
      </c>
      <c r="W30" s="898">
        <f t="shared" si="4"/>
        <v>0</v>
      </c>
      <c r="X30" s="923">
        <f t="shared" si="7"/>
        <v>0</v>
      </c>
      <c r="Y30" s="898">
        <f t="shared" si="8"/>
        <v>0</v>
      </c>
      <c r="Z30" s="923"/>
      <c r="AA30" s="478">
        <f t="shared" si="5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20</v>
      </c>
      <c r="D31" s="581"/>
      <c r="E31" s="889" t="s">
        <v>0</v>
      </c>
      <c r="F31" s="962" t="s">
        <v>44</v>
      </c>
      <c r="G31" s="926"/>
      <c r="H31" s="464"/>
      <c r="I31" s="429"/>
      <c r="J31" s="429"/>
      <c r="K31" s="429"/>
      <c r="L31" s="464"/>
      <c r="M31" s="464"/>
      <c r="N31" s="900">
        <f t="shared" si="6"/>
        <v>0</v>
      </c>
      <c r="O31" s="901">
        <f t="shared" si="0"/>
        <v>0</v>
      </c>
      <c r="P31" s="460"/>
      <c r="Q31" s="438">
        <f>IFERROR(LOOKUP(1,0/((成型機資料庫!$F$296:$F$316=J31)*(成型機資料庫!$G$296:$G$316=K31)),成型機資料庫!$K$296:$K$316),0)</f>
        <v>0</v>
      </c>
      <c r="R31" s="899">
        <f t="shared" si="2"/>
        <v>0</v>
      </c>
      <c r="S31" s="898">
        <f t="shared" si="3"/>
        <v>0</v>
      </c>
      <c r="T31" s="482">
        <f>IFERROR(LOOKUP(1,0/((成型機資料庫!$F$296:$F$316=J31)*(成型機資料庫!$G$296:$G$316=K31)),成型機資料庫!$I$296:$I$316),0)</f>
        <v>0</v>
      </c>
      <c r="U31" s="483">
        <f>IFERROR(LOOKUP(1,0/((成型機資料庫!$F$296:$F$316=J31)*(成型機資料庫!$G$296:$G$316=K31)),成型機資料庫!$J$296:$J$316),0)</f>
        <v>0</v>
      </c>
      <c r="V31" s="900">
        <f>IFERROR(LOOKUP(1,0/((成型機資料庫!$F$296:$F$316=J31)*(成型機資料庫!$G$296:$G$316=K31)),成型機資料庫!$L$296:$L$316),0)</f>
        <v>0</v>
      </c>
      <c r="W31" s="898">
        <f t="shared" si="4"/>
        <v>0</v>
      </c>
      <c r="X31" s="923">
        <f t="shared" si="7"/>
        <v>0</v>
      </c>
      <c r="Y31" s="898">
        <f t="shared" si="8"/>
        <v>0</v>
      </c>
      <c r="Z31" s="923"/>
      <c r="AA31" s="478">
        <f t="shared" si="5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21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6"/>
        <v>0</v>
      </c>
      <c r="O32" s="901">
        <f t="shared" si="0"/>
        <v>0</v>
      </c>
      <c r="P32" s="460"/>
      <c r="Q32" s="438">
        <f>IFERROR(LOOKUP(1,0/((成型機資料庫!$F$296:$F$316=J32)*(成型機資料庫!$G$296:$G$316=K32)),成型機資料庫!$K$296:$K$316),0)</f>
        <v>0</v>
      </c>
      <c r="R32" s="899">
        <f t="shared" si="2"/>
        <v>0</v>
      </c>
      <c r="S32" s="898">
        <f t="shared" si="3"/>
        <v>0</v>
      </c>
      <c r="T32" s="482">
        <f>IFERROR(LOOKUP(1,0/((成型機資料庫!$F$296:$F$316=J32)*(成型機資料庫!$G$296:$G$316=K32)),成型機資料庫!$I$296:$I$316),0)</f>
        <v>0</v>
      </c>
      <c r="U32" s="483">
        <f>IFERROR(LOOKUP(1,0/((成型機資料庫!$F$296:$F$316=J32)*(成型機資料庫!$G$296:$G$316=K32)),成型機資料庫!$J$296:$J$316),0)</f>
        <v>0</v>
      </c>
      <c r="V32" s="900">
        <f>IFERROR(LOOKUP(1,0/((成型機資料庫!$F$296:$F$316=J32)*(成型機資料庫!$G$296:$G$316=K32)),成型機資料庫!$L$296:$L$316),0)</f>
        <v>0</v>
      </c>
      <c r="W32" s="898">
        <f t="shared" si="4"/>
        <v>0</v>
      </c>
      <c r="X32" s="923">
        <f t="shared" si="7"/>
        <v>0</v>
      </c>
      <c r="Y32" s="898">
        <f t="shared" si="8"/>
        <v>0</v>
      </c>
      <c r="Z32" s="923"/>
      <c r="AA32" s="478">
        <f t="shared" si="5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22</v>
      </c>
      <c r="D33" s="581"/>
      <c r="E33" s="889" t="s">
        <v>0</v>
      </c>
      <c r="F33" s="962" t="s">
        <v>44</v>
      </c>
      <c r="G33" s="927"/>
      <c r="H33" s="464"/>
      <c r="I33" s="429"/>
      <c r="J33" s="429"/>
      <c r="K33" s="429"/>
      <c r="L33" s="464"/>
      <c r="M33" s="464"/>
      <c r="N33" s="900">
        <f t="shared" si="6"/>
        <v>0</v>
      </c>
      <c r="O33" s="901">
        <f t="shared" si="0"/>
        <v>0</v>
      </c>
      <c r="P33" s="460"/>
      <c r="Q33" s="438">
        <f>IFERROR(LOOKUP(1,0/((成型機資料庫!$F$296:$F$316=J33)*(成型機資料庫!$G$296:$G$316=K33)),成型機資料庫!$K$296:$K$316),0)</f>
        <v>0</v>
      </c>
      <c r="R33" s="899">
        <f t="shared" si="2"/>
        <v>0</v>
      </c>
      <c r="S33" s="898">
        <f t="shared" si="3"/>
        <v>0</v>
      </c>
      <c r="T33" s="482">
        <f>IFERROR(LOOKUP(1,0/((成型機資料庫!$F$296:$F$316=J33)*(成型機資料庫!$G$296:$G$316=K33)),成型機資料庫!$I$296:$I$316),0)</f>
        <v>0</v>
      </c>
      <c r="U33" s="483">
        <f>IFERROR(LOOKUP(1,0/((成型機資料庫!$F$296:$F$316=J33)*(成型機資料庫!$G$296:$G$316=K33)),成型機資料庫!$J$296:$J$316),0)</f>
        <v>0</v>
      </c>
      <c r="V33" s="900">
        <f>IFERROR(LOOKUP(1,0/((成型機資料庫!$F$296:$F$316=J33)*(成型機資料庫!$G$296:$G$316=K33)),成型機資料庫!$L$296:$L$316),0)</f>
        <v>0</v>
      </c>
      <c r="W33" s="898">
        <f t="shared" si="4"/>
        <v>0</v>
      </c>
      <c r="X33" s="923">
        <f t="shared" si="7"/>
        <v>0</v>
      </c>
      <c r="Y33" s="898">
        <f t="shared" si="8"/>
        <v>0</v>
      </c>
      <c r="Z33" s="923"/>
      <c r="AA33" s="478">
        <f t="shared" si="5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23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6"/>
        <v>0</v>
      </c>
      <c r="O34" s="901">
        <f t="shared" si="0"/>
        <v>0</v>
      </c>
      <c r="P34" s="460"/>
      <c r="Q34" s="438">
        <f>IFERROR(LOOKUP(1,0/((成型機資料庫!$F$296:$F$316=J34)*(成型機資料庫!$G$296:$G$316=K34)),成型機資料庫!$K$296:$K$316),0)</f>
        <v>0</v>
      </c>
      <c r="R34" s="899">
        <f t="shared" si="2"/>
        <v>0</v>
      </c>
      <c r="S34" s="898">
        <f t="shared" si="3"/>
        <v>0</v>
      </c>
      <c r="T34" s="482">
        <f>IFERROR(LOOKUP(1,0/((成型機資料庫!$F$296:$F$316=J34)*(成型機資料庫!$G$296:$G$316=K34)),成型機資料庫!$I$296:$I$316),0)</f>
        <v>0</v>
      </c>
      <c r="U34" s="483">
        <f>IFERROR(LOOKUP(1,0/((成型機資料庫!$F$296:$F$316=J34)*(成型機資料庫!$G$296:$G$316=K34)),成型機資料庫!$J$296:$J$316),0)</f>
        <v>0</v>
      </c>
      <c r="V34" s="900">
        <f>IFERROR(LOOKUP(1,0/((成型機資料庫!$F$296:$F$316=J34)*(成型機資料庫!$G$296:$G$316=K34)),成型機資料庫!$L$296:$L$316),0)</f>
        <v>0</v>
      </c>
      <c r="W34" s="898">
        <f t="shared" si="4"/>
        <v>0</v>
      </c>
      <c r="X34" s="923">
        <f t="shared" si="7"/>
        <v>0</v>
      </c>
      <c r="Y34" s="898">
        <f t="shared" si="8"/>
        <v>0</v>
      </c>
      <c r="Z34" s="923"/>
      <c r="AA34" s="478">
        <f t="shared" si="5"/>
        <v>0</v>
      </c>
      <c r="AB34" s="438"/>
      <c r="AC34" s="482"/>
      <c r="AD34" s="464"/>
      <c r="AE34" s="464"/>
      <c r="AF34" s="438"/>
    </row>
    <row r="35" spans="1:32" s="433" customFormat="1" ht="15.75">
      <c r="A35" s="434">
        <v>113</v>
      </c>
      <c r="B35" s="434"/>
      <c r="C35" s="434">
        <v>24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6"/>
        <v>0</v>
      </c>
      <c r="O35" s="901">
        <f t="shared" si="0"/>
        <v>0</v>
      </c>
      <c r="P35" s="460"/>
      <c r="Q35" s="438">
        <f>IFERROR(LOOKUP(1,0/((成型機資料庫!$F$296:$F$316=J35)*(成型機資料庫!$G$296:$G$316=K35)),成型機資料庫!$K$296:$K$316),0)</f>
        <v>0</v>
      </c>
      <c r="R35" s="899">
        <f t="shared" si="2"/>
        <v>0</v>
      </c>
      <c r="S35" s="898">
        <f t="shared" si="3"/>
        <v>0</v>
      </c>
      <c r="T35" s="482">
        <f>IFERROR(LOOKUP(1,0/((成型機資料庫!$F$296:$F$316=J35)*(成型機資料庫!$G$296:$G$316=K35)),成型機資料庫!$I$296:$I$316),0)</f>
        <v>0</v>
      </c>
      <c r="U35" s="483">
        <f>IFERROR(LOOKUP(1,0/((成型機資料庫!$F$296:$F$316=J35)*(成型機資料庫!$G$296:$G$316=K35)),成型機資料庫!$J$296:$J$316),0)</f>
        <v>0</v>
      </c>
      <c r="V35" s="900">
        <f>IFERROR(LOOKUP(1,0/((成型機資料庫!$F$296:$F$316=J35)*(成型機資料庫!$G$296:$G$316=K35)),成型機資料庫!$L$296:$L$316),0)</f>
        <v>0</v>
      </c>
      <c r="W35" s="898">
        <f t="shared" si="4"/>
        <v>0</v>
      </c>
      <c r="X35" s="923">
        <f t="shared" si="7"/>
        <v>0</v>
      </c>
      <c r="Y35" s="898">
        <f t="shared" si="8"/>
        <v>0</v>
      </c>
      <c r="Z35" s="923"/>
      <c r="AA35" s="478">
        <f t="shared" si="5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25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6"/>
        <v>0</v>
      </c>
      <c r="O36" s="901">
        <f t="shared" si="0"/>
        <v>0</v>
      </c>
      <c r="P36" s="460"/>
      <c r="Q36" s="438">
        <f>IFERROR(LOOKUP(1,0/((成型機資料庫!$F$296:$F$316=J36)*(成型機資料庫!$G$296:$G$316=K36)),成型機資料庫!$K$296:$K$316),0)</f>
        <v>0</v>
      </c>
      <c r="R36" s="899">
        <f t="shared" si="2"/>
        <v>0</v>
      </c>
      <c r="S36" s="898">
        <f t="shared" si="3"/>
        <v>0</v>
      </c>
      <c r="T36" s="482">
        <f>IFERROR(LOOKUP(1,0/((成型機資料庫!$F$296:$F$316=J36)*(成型機資料庫!$G$296:$G$316=K36)),成型機資料庫!$I$296:$I$316),0)</f>
        <v>0</v>
      </c>
      <c r="U36" s="483">
        <f>IFERROR(LOOKUP(1,0/((成型機資料庫!$F$296:$F$316=J36)*(成型機資料庫!$G$296:$G$316=K36)),成型機資料庫!$J$296:$J$316),0)</f>
        <v>0</v>
      </c>
      <c r="V36" s="900">
        <f>IFERROR(LOOKUP(1,0/((成型機資料庫!$F$296:$F$316=J36)*(成型機資料庫!$G$296:$G$316=K36)),成型機資料庫!$L$296:$L$316),0)</f>
        <v>0</v>
      </c>
      <c r="W36" s="898">
        <f t="shared" si="4"/>
        <v>0</v>
      </c>
      <c r="X36" s="923">
        <f t="shared" si="7"/>
        <v>0</v>
      </c>
      <c r="Y36" s="898">
        <f t="shared" si="8"/>
        <v>0</v>
      </c>
      <c r="Z36" s="923"/>
      <c r="AA36" s="478">
        <f t="shared" si="5"/>
        <v>0</v>
      </c>
      <c r="AB36" s="438"/>
      <c r="AC36" s="482"/>
      <c r="AD36" s="464"/>
      <c r="AE36" s="464"/>
      <c r="AF36" s="438"/>
    </row>
    <row r="37" spans="1:32" s="433" customFormat="1" ht="15.75">
      <c r="A37" s="434">
        <v>113</v>
      </c>
      <c r="B37" s="434"/>
      <c r="C37" s="434">
        <v>26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6"/>
        <v>0</v>
      </c>
      <c r="O37" s="901">
        <f t="shared" si="0"/>
        <v>0</v>
      </c>
      <c r="P37" s="460"/>
      <c r="Q37" s="438">
        <f>IFERROR(LOOKUP(1,0/((成型機資料庫!$F$296:$F$316=J37)*(成型機資料庫!$G$296:$G$316=K37)),成型機資料庫!$K$296:$K$316),0)</f>
        <v>0</v>
      </c>
      <c r="R37" s="899">
        <f t="shared" si="2"/>
        <v>0</v>
      </c>
      <c r="S37" s="898">
        <f t="shared" si="3"/>
        <v>0</v>
      </c>
      <c r="T37" s="482">
        <f>IFERROR(LOOKUP(1,0/((成型機資料庫!$F$296:$F$316=J37)*(成型機資料庫!$G$296:$G$316=K37)),成型機資料庫!$I$296:$I$316),0)</f>
        <v>0</v>
      </c>
      <c r="U37" s="483">
        <f>IFERROR(LOOKUP(1,0/((成型機資料庫!$F$296:$F$316=J37)*(成型機資料庫!$G$296:$G$316=K37)),成型機資料庫!$J$296:$J$316),0)</f>
        <v>0</v>
      </c>
      <c r="V37" s="900">
        <f>IFERROR(LOOKUP(1,0/((成型機資料庫!$F$296:$F$316=J37)*(成型機資料庫!$G$296:$G$316=K37)),成型機資料庫!$L$296:$L$316),0)</f>
        <v>0</v>
      </c>
      <c r="W37" s="898">
        <f t="shared" si="4"/>
        <v>0</v>
      </c>
      <c r="X37" s="923">
        <f t="shared" si="7"/>
        <v>0</v>
      </c>
      <c r="Y37" s="898">
        <f t="shared" si="8"/>
        <v>0</v>
      </c>
      <c r="Z37" s="923"/>
      <c r="AA37" s="478">
        <f t="shared" si="5"/>
        <v>0</v>
      </c>
      <c r="AB37" s="438"/>
      <c r="AC37" s="482"/>
      <c r="AD37" s="438"/>
      <c r="AE37" s="464"/>
      <c r="AF37" s="438"/>
    </row>
    <row r="38" spans="1:32" s="433" customFormat="1" ht="15.75">
      <c r="A38" s="434">
        <v>113</v>
      </c>
      <c r="B38" s="434"/>
      <c r="C38" s="434">
        <v>27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6"/>
        <v>0</v>
      </c>
      <c r="O38" s="901">
        <f t="shared" si="0"/>
        <v>0</v>
      </c>
      <c r="P38" s="460"/>
      <c r="Q38" s="438">
        <f>IFERROR(LOOKUP(1,0/((成型機資料庫!$F$296:$F$316=J38)*(成型機資料庫!$G$296:$G$316=K38)),成型機資料庫!$K$296:$K$316),0)</f>
        <v>0</v>
      </c>
      <c r="R38" s="899">
        <f t="shared" si="2"/>
        <v>0</v>
      </c>
      <c r="S38" s="898">
        <f t="shared" si="3"/>
        <v>0</v>
      </c>
      <c r="T38" s="482">
        <f>IFERROR(LOOKUP(1,0/((成型機資料庫!$F$296:$F$316=J38)*(成型機資料庫!$G$296:$G$316=K38)),成型機資料庫!$I$296:$I$316),0)</f>
        <v>0</v>
      </c>
      <c r="U38" s="483">
        <f>IFERROR(LOOKUP(1,0/((成型機資料庫!$F$296:$F$316=J38)*(成型機資料庫!$G$296:$G$316=K38)),成型機資料庫!$J$296:$J$316),0)</f>
        <v>0</v>
      </c>
      <c r="V38" s="900">
        <f>IFERROR(LOOKUP(1,0/((成型機資料庫!$F$296:$F$316=J38)*(成型機資料庫!$G$296:$G$316=K38)),成型機資料庫!$L$296:$L$316),0)</f>
        <v>0</v>
      </c>
      <c r="W38" s="898">
        <f t="shared" si="4"/>
        <v>0</v>
      </c>
      <c r="X38" s="923">
        <f t="shared" si="7"/>
        <v>0</v>
      </c>
      <c r="Y38" s="898">
        <f t="shared" si="8"/>
        <v>0</v>
      </c>
      <c r="Z38" s="923"/>
      <c r="AA38" s="478">
        <f t="shared" si="5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581"/>
      <c r="C39" s="581">
        <v>28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6"/>
        <v>0</v>
      </c>
      <c r="O39" s="901">
        <f t="shared" si="0"/>
        <v>0</v>
      </c>
      <c r="P39" s="460"/>
      <c r="Q39" s="438">
        <f>IFERROR(LOOKUP(1,0/((成型機資料庫!$F$296:$F$316=J39)*(成型機資料庫!$G$296:$G$316=K39)),成型機資料庫!$K$296:$K$316),0)</f>
        <v>0</v>
      </c>
      <c r="R39" s="899">
        <f t="shared" si="2"/>
        <v>0</v>
      </c>
      <c r="S39" s="898">
        <f t="shared" si="3"/>
        <v>0</v>
      </c>
      <c r="T39" s="482">
        <f>IFERROR(LOOKUP(1,0/((成型機資料庫!$F$296:$F$316=J39)*(成型機資料庫!$G$296:$G$316=K39)),成型機資料庫!$I$296:$I$316),0)</f>
        <v>0</v>
      </c>
      <c r="U39" s="483">
        <f>IFERROR(LOOKUP(1,0/((成型機資料庫!$F$296:$F$316=J39)*(成型機資料庫!$G$296:$G$316=K39)),成型機資料庫!$J$296:$J$316),0)</f>
        <v>0</v>
      </c>
      <c r="V39" s="900">
        <f>IFERROR(LOOKUP(1,0/((成型機資料庫!$F$296:$F$316=J39)*(成型機資料庫!$G$296:$G$316=K39)),成型機資料庫!$L$296:$L$316),0)</f>
        <v>0</v>
      </c>
      <c r="W39" s="898">
        <f t="shared" si="4"/>
        <v>0</v>
      </c>
      <c r="X39" s="923">
        <f t="shared" si="7"/>
        <v>0</v>
      </c>
      <c r="Y39" s="898">
        <f t="shared" si="8"/>
        <v>0</v>
      </c>
      <c r="Z39" s="923"/>
      <c r="AA39" s="478">
        <f t="shared" si="5"/>
        <v>0</v>
      </c>
      <c r="AB39" s="438"/>
      <c r="AC39" s="482"/>
      <c r="AD39" s="464"/>
      <c r="AE39" s="438"/>
      <c r="AF39" s="438"/>
    </row>
    <row r="40" spans="1:32" s="433" customFormat="1" ht="15.75">
      <c r="A40" s="434">
        <v>113</v>
      </c>
      <c r="B40" s="581"/>
      <c r="C40" s="581">
        <v>29</v>
      </c>
      <c r="D40" s="581"/>
      <c r="E40" s="889" t="s">
        <v>0</v>
      </c>
      <c r="F40" s="962" t="s">
        <v>44</v>
      </c>
      <c r="G40" s="926"/>
      <c r="H40" s="464"/>
      <c r="I40" s="429"/>
      <c r="J40" s="429"/>
      <c r="K40" s="429"/>
      <c r="L40" s="464"/>
      <c r="M40" s="464"/>
      <c r="N40" s="900">
        <f t="shared" si="6"/>
        <v>0</v>
      </c>
      <c r="O40" s="901">
        <f t="shared" si="0"/>
        <v>0</v>
      </c>
      <c r="P40" s="460"/>
      <c r="Q40" s="438">
        <f>IFERROR(LOOKUP(1,0/((成型機資料庫!$F$296:$F$316=J40)*(成型機資料庫!$G$296:$G$316=K40)),成型機資料庫!$K$296:$K$316),0)</f>
        <v>0</v>
      </c>
      <c r="R40" s="899">
        <f t="shared" si="2"/>
        <v>0</v>
      </c>
      <c r="S40" s="898">
        <f t="shared" si="3"/>
        <v>0</v>
      </c>
      <c r="T40" s="482">
        <f>IFERROR(LOOKUP(1,0/((成型機資料庫!$F$296:$F$316=J40)*(成型機資料庫!$G$296:$G$316=K40)),成型機資料庫!$I$296:$I$316),0)</f>
        <v>0</v>
      </c>
      <c r="U40" s="483">
        <f>IFERROR(LOOKUP(1,0/((成型機資料庫!$F$296:$F$316=J40)*(成型機資料庫!$G$296:$G$316=K40)),成型機資料庫!$J$296:$J$316),0)</f>
        <v>0</v>
      </c>
      <c r="V40" s="900">
        <f>IFERROR(LOOKUP(1,0/((成型機資料庫!$F$296:$F$316=J40)*(成型機資料庫!$G$296:$G$316=K40)),成型機資料庫!$L$296:$L$316),0)</f>
        <v>0</v>
      </c>
      <c r="W40" s="898">
        <f t="shared" si="4"/>
        <v>0</v>
      </c>
      <c r="X40" s="923">
        <f t="shared" si="7"/>
        <v>0</v>
      </c>
      <c r="Y40" s="898">
        <f t="shared" si="8"/>
        <v>0</v>
      </c>
      <c r="Z40" s="923"/>
      <c r="AA40" s="478">
        <f t="shared" si="5"/>
        <v>0</v>
      </c>
      <c r="AB40" s="438"/>
      <c r="AC40" s="482"/>
      <c r="AD40" s="464"/>
      <c r="AE40" s="464"/>
      <c r="AF40" s="438"/>
    </row>
    <row r="41" spans="1:32" s="433" customFormat="1" ht="15.75">
      <c r="A41" s="434">
        <v>113</v>
      </c>
      <c r="B41" s="581"/>
      <c r="C41" s="581">
        <v>30</v>
      </c>
      <c r="D41" s="581"/>
      <c r="E41" s="889" t="s">
        <v>0</v>
      </c>
      <c r="F41" s="962" t="s">
        <v>44</v>
      </c>
      <c r="G41" s="926"/>
      <c r="H41" s="464"/>
      <c r="I41" s="429"/>
      <c r="J41" s="429"/>
      <c r="K41" s="429"/>
      <c r="L41" s="464"/>
      <c r="M41" s="464"/>
      <c r="N41" s="900">
        <f t="shared" si="6"/>
        <v>0</v>
      </c>
      <c r="O41" s="901">
        <f t="shared" si="0"/>
        <v>0</v>
      </c>
      <c r="P41" s="460"/>
      <c r="Q41" s="438">
        <f>IFERROR(LOOKUP(1,0/((成型機資料庫!$F$296:$F$316=J41)*(成型機資料庫!$G$296:$G$316=K41)),成型機資料庫!$K$296:$K$316),0)</f>
        <v>0</v>
      </c>
      <c r="R41" s="899">
        <f t="shared" si="2"/>
        <v>0</v>
      </c>
      <c r="S41" s="898">
        <f t="shared" si="3"/>
        <v>0</v>
      </c>
      <c r="T41" s="482">
        <f>IFERROR(LOOKUP(1,0/((成型機資料庫!$F$296:$F$316=J41)*(成型機資料庫!$G$296:$G$316=K41)),成型機資料庫!$I$296:$I$316),0)</f>
        <v>0</v>
      </c>
      <c r="U41" s="483">
        <f>IFERROR(LOOKUP(1,0/((成型機資料庫!$F$296:$F$316=J41)*(成型機資料庫!$G$296:$G$316=K41)),成型機資料庫!$J$296:$J$316),0)</f>
        <v>0</v>
      </c>
      <c r="V41" s="900">
        <f>IFERROR(LOOKUP(1,0/((成型機資料庫!$F$296:$F$316=J41)*(成型機資料庫!$G$296:$G$316=K41)),成型機資料庫!$L$296:$L$316),0)</f>
        <v>0</v>
      </c>
      <c r="W41" s="898">
        <f t="shared" si="4"/>
        <v>0</v>
      </c>
      <c r="X41" s="923">
        <f t="shared" si="7"/>
        <v>0</v>
      </c>
      <c r="Y41" s="898">
        <f t="shared" si="8"/>
        <v>0</v>
      </c>
      <c r="Z41" s="923"/>
      <c r="AA41" s="478">
        <f t="shared" si="5"/>
        <v>0</v>
      </c>
      <c r="AB41" s="438"/>
      <c r="AC41" s="482"/>
      <c r="AD41" s="464"/>
      <c r="AE41" s="438"/>
      <c r="AF41" s="438"/>
    </row>
    <row r="42" spans="1:32" s="433" customFormat="1" ht="15.75">
      <c r="A42" s="446"/>
      <c r="B42" s="456"/>
      <c r="C42" s="456"/>
      <c r="D42" s="456"/>
      <c r="E42" s="456"/>
      <c r="F42" s="448"/>
      <c r="G42" s="951"/>
      <c r="H42" s="452"/>
      <c r="I42" s="430"/>
      <c r="J42" s="430"/>
      <c r="K42" s="430"/>
      <c r="L42" s="452"/>
      <c r="M42" s="452"/>
      <c r="N42" s="945"/>
      <c r="O42" s="946"/>
      <c r="P42" s="868"/>
      <c r="Q42" s="467"/>
      <c r="R42" s="948"/>
      <c r="S42" s="936"/>
      <c r="T42" s="936"/>
      <c r="U42" s="936"/>
      <c r="V42" s="945"/>
      <c r="W42" s="936"/>
      <c r="X42" s="947"/>
      <c r="Y42" s="936"/>
      <c r="Z42" s="947"/>
      <c r="AA42" s="488"/>
      <c r="AB42" s="439"/>
      <c r="AC42" s="471"/>
      <c r="AD42" s="452"/>
      <c r="AE42" s="439"/>
      <c r="AF42" s="439"/>
    </row>
    <row r="43" spans="1:32" s="433" customFormat="1" ht="15.75">
      <c r="A43" s="446"/>
      <c r="B43" s="456"/>
      <c r="C43" s="456"/>
      <c r="D43" s="456"/>
      <c r="E43" s="456"/>
      <c r="F43" s="448"/>
      <c r="G43" s="951"/>
      <c r="H43" s="452"/>
      <c r="I43" s="430"/>
      <c r="J43" s="430"/>
      <c r="K43" s="430"/>
      <c r="L43" s="452"/>
      <c r="M43" s="452"/>
      <c r="N43" s="945"/>
      <c r="O43" s="946"/>
      <c r="P43" s="868"/>
      <c r="Q43" s="467"/>
      <c r="R43" s="948"/>
      <c r="S43" s="936"/>
      <c r="T43" s="936"/>
      <c r="U43" s="936"/>
      <c r="V43" s="945"/>
      <c r="W43" s="936"/>
      <c r="X43" s="947"/>
      <c r="Y43" s="936"/>
      <c r="Z43" s="947"/>
      <c r="AA43" s="488"/>
      <c r="AB43" s="439"/>
      <c r="AC43" s="471"/>
      <c r="AD43" s="452"/>
      <c r="AE43" s="439"/>
      <c r="AF43" s="439"/>
    </row>
    <row r="44" spans="1:32" s="433" customFormat="1" thickBot="1">
      <c r="A44" s="446"/>
      <c r="B44" s="446"/>
      <c r="C44" s="446"/>
      <c r="D44" s="446"/>
      <c r="E44" s="446"/>
      <c r="F44" s="448"/>
      <c r="G44" s="448"/>
      <c r="H44" s="430"/>
      <c r="I44" s="430"/>
      <c r="J44" s="430"/>
      <c r="K44" s="430"/>
      <c r="L44" s="439"/>
      <c r="M44" s="452"/>
      <c r="N44" s="452"/>
      <c r="O44" s="457"/>
      <c r="P44" s="466"/>
      <c r="Q44" s="467"/>
      <c r="R44" s="486"/>
      <c r="S44" s="457"/>
      <c r="T44" s="457"/>
      <c r="U44" s="457"/>
      <c r="V44" s="458"/>
      <c r="W44" s="487">
        <f>SUM(W12:W41)</f>
        <v>0</v>
      </c>
      <c r="X44" s="487"/>
      <c r="Y44" s="487"/>
      <c r="Z44" s="487"/>
      <c r="AA44" s="488"/>
      <c r="AB44" s="489"/>
      <c r="AC44" s="489"/>
      <c r="AD44" s="469" t="s">
        <v>46</v>
      </c>
      <c r="AE44" s="439"/>
      <c r="AF44" s="439"/>
    </row>
    <row r="45" spans="1:32" s="469" customFormat="1" ht="31.5">
      <c r="A45" s="479"/>
      <c r="B45" s="479"/>
      <c r="C45" s="479"/>
      <c r="D45" s="479"/>
      <c r="E45" s="479"/>
      <c r="F45" s="452"/>
      <c r="G45" s="524" t="s">
        <v>503</v>
      </c>
      <c r="H45" s="517"/>
      <c r="I45" s="518"/>
      <c r="L45" s="1842" t="s">
        <v>1348</v>
      </c>
      <c r="M45" s="525" t="s">
        <v>1294</v>
      </c>
      <c r="N45" s="525" t="s">
        <v>1295</v>
      </c>
      <c r="O45" s="526" t="s">
        <v>458</v>
      </c>
      <c r="P45" s="520"/>
      <c r="Q45" s="521"/>
      <c r="R45" s="524" t="s">
        <v>504</v>
      </c>
      <c r="S45" s="524" t="s">
        <v>455</v>
      </c>
      <c r="T45" s="521"/>
      <c r="U45" s="521"/>
      <c r="V45" s="524" t="s">
        <v>1293</v>
      </c>
      <c r="W45" s="524" t="s">
        <v>459</v>
      </c>
      <c r="X45" s="521"/>
      <c r="Y45" s="524" t="s">
        <v>1345</v>
      </c>
      <c r="Z45" s="524" t="s">
        <v>1350</v>
      </c>
      <c r="AA45" s="524" t="s">
        <v>1351</v>
      </c>
      <c r="AB45" s="524" t="s">
        <v>1353</v>
      </c>
      <c r="AC45" s="524" t="s">
        <v>1352</v>
      </c>
      <c r="AD45" s="469" t="s">
        <v>253</v>
      </c>
      <c r="AE45" s="452"/>
      <c r="AF45" s="452"/>
    </row>
    <row r="46" spans="1:32" thickBot="1">
      <c r="G46" s="522">
        <f>SUM(G12:G41)</f>
        <v>0</v>
      </c>
      <c r="I46" s="431"/>
      <c r="J46" s="518"/>
      <c r="K46" s="518"/>
      <c r="L46" s="1843"/>
      <c r="M46" s="522">
        <f>SUM(M12:M41)</f>
        <v>0</v>
      </c>
      <c r="N46" s="522">
        <f>SUM(N12:N41)</f>
        <v>0</v>
      </c>
      <c r="O46" s="902">
        <f>SUM(O12:O41)</f>
        <v>0</v>
      </c>
      <c r="P46" s="470"/>
      <c r="R46" s="924">
        <f>SUM(R12:R41)</f>
        <v>0</v>
      </c>
      <c r="S46" s="897" t="e">
        <f>(G46-R46)/G46</f>
        <v>#DIV/0!</v>
      </c>
      <c r="T46" s="446"/>
      <c r="U46" s="446"/>
      <c r="V46" s="686" t="e">
        <f>N46/W46</f>
        <v>#DIV/0!</v>
      </c>
      <c r="W46" s="516" t="e">
        <f>W44/Y46</f>
        <v>#DIV/0!</v>
      </c>
      <c r="X46" s="446"/>
      <c r="Y46" s="516"/>
      <c r="Z46" s="958">
        <f>SUM(Z12:Z41)</f>
        <v>0</v>
      </c>
      <c r="AA46" s="516">
        <f>SUM(AA12:AA41)</f>
        <v>0</v>
      </c>
      <c r="AB46" s="516">
        <f>Z46-AA46</f>
        <v>0</v>
      </c>
      <c r="AC46" s="896" t="e">
        <f>AA46/Z46</f>
        <v>#DIV/0!</v>
      </c>
    </row>
    <row r="47" spans="1:32">
      <c r="G47" s="453"/>
      <c r="M47" s="453"/>
      <c r="N47" s="453"/>
      <c r="O47"/>
      <c r="P47" s="470"/>
      <c r="R47"/>
      <c r="S47"/>
      <c r="T47"/>
      <c r="U47"/>
    </row>
    <row r="48" spans="1:32" ht="17.25" thickBot="1"/>
    <row r="49" spans="1:56" ht="15.75">
      <c r="A49" s="1824" t="s">
        <v>668</v>
      </c>
      <c r="B49" s="1824" t="s">
        <v>330</v>
      </c>
      <c r="C49" s="1826" t="s">
        <v>311</v>
      </c>
      <c r="D49" s="1828" t="s">
        <v>331</v>
      </c>
      <c r="E49" s="1828" t="s">
        <v>332</v>
      </c>
      <c r="F49" s="1830" t="s">
        <v>194</v>
      </c>
      <c r="G49" s="1830" t="s">
        <v>386</v>
      </c>
      <c r="H49" s="1832" t="s">
        <v>360</v>
      </c>
      <c r="I49" s="1832" t="s">
        <v>361</v>
      </c>
      <c r="J49" s="1832" t="s">
        <v>510</v>
      </c>
      <c r="K49" s="1832" t="s">
        <v>1320</v>
      </c>
      <c r="L49" s="1828" t="s">
        <v>362</v>
      </c>
      <c r="M49" s="1828" t="s">
        <v>514</v>
      </c>
      <c r="N49" s="1856" t="s">
        <v>511</v>
      </c>
      <c r="O49" s="1858" t="s">
        <v>457</v>
      </c>
      <c r="P49" s="1836" t="s">
        <v>379</v>
      </c>
      <c r="Q49" s="1828" t="s">
        <v>627</v>
      </c>
      <c r="R49" s="1852" t="s">
        <v>381</v>
      </c>
      <c r="S49" s="1854" t="s">
        <v>435</v>
      </c>
      <c r="T49" s="1834" t="s">
        <v>365</v>
      </c>
      <c r="U49" s="1836" t="s">
        <v>366</v>
      </c>
      <c r="V49" s="1844" t="s">
        <v>1286</v>
      </c>
      <c r="W49" s="1846" t="s">
        <v>201</v>
      </c>
      <c r="X49" s="1846" t="s">
        <v>1318</v>
      </c>
      <c r="Y49" s="1846" t="s">
        <v>1319</v>
      </c>
      <c r="Z49" s="1849" t="s">
        <v>1285</v>
      </c>
      <c r="AA49" s="1849" t="s">
        <v>339</v>
      </c>
      <c r="AB49" s="1860" t="s">
        <v>340</v>
      </c>
      <c r="AC49" s="1861"/>
      <c r="AD49" s="1862" t="s">
        <v>371</v>
      </c>
      <c r="AE49" s="1862" t="s">
        <v>383</v>
      </c>
      <c r="AF49" s="1840" t="s">
        <v>29</v>
      </c>
    </row>
    <row r="50" spans="1:56" s="447" customFormat="1" thickBot="1">
      <c r="A50" s="1825"/>
      <c r="B50" s="1825"/>
      <c r="C50" s="1827"/>
      <c r="D50" s="1829"/>
      <c r="E50" s="1829"/>
      <c r="F50" s="1831"/>
      <c r="G50" s="1831"/>
      <c r="H50" s="1833"/>
      <c r="I50" s="1833"/>
      <c r="J50" s="1833"/>
      <c r="K50" s="1838"/>
      <c r="L50" s="1829"/>
      <c r="M50" s="1839"/>
      <c r="N50" s="1857"/>
      <c r="O50" s="1859"/>
      <c r="P50" s="1837"/>
      <c r="Q50" s="1829"/>
      <c r="R50" s="1853"/>
      <c r="S50" s="1855"/>
      <c r="T50" s="1835"/>
      <c r="U50" s="1837"/>
      <c r="V50" s="1845"/>
      <c r="W50" s="1847"/>
      <c r="X50" s="1848"/>
      <c r="Y50" s="1848"/>
      <c r="Z50" s="1850"/>
      <c r="AA50" s="1851"/>
      <c r="AB50" s="491" t="s">
        <v>350</v>
      </c>
      <c r="AC50" s="491" t="s">
        <v>351</v>
      </c>
      <c r="AD50" s="1863"/>
      <c r="AE50" s="1863"/>
      <c r="AF50" s="1841"/>
      <c r="AG50" s="446"/>
      <c r="AH50" s="446"/>
      <c r="AU50" s="446"/>
      <c r="AV50" s="446"/>
      <c r="AW50" s="446"/>
      <c r="AX50" s="446"/>
      <c r="AY50" s="446"/>
      <c r="AZ50" s="446"/>
      <c r="BA50" s="446"/>
      <c r="BB50" s="446"/>
      <c r="BC50" s="446"/>
      <c r="BD50" s="446"/>
    </row>
    <row r="51" spans="1:56" s="433" customFormat="1" ht="15.75">
      <c r="A51" s="434">
        <v>113</v>
      </c>
      <c r="B51" s="434"/>
      <c r="C51" s="434">
        <v>1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>M51*Q51</f>
        <v>0</v>
      </c>
      <c r="O51" s="901">
        <f t="shared" ref="O51:O80" si="9">L51*M51</f>
        <v>0</v>
      </c>
      <c r="P51" s="460"/>
      <c r="Q51" s="438">
        <f>IFERROR(LOOKUP(1,0/((成型機資料庫!$F$296:$F$316=J51)*(成型機資料庫!$G$296:$G$316=K51)),成型機資料庫!$K$296:$K$316),0)</f>
        <v>0</v>
      </c>
      <c r="R51" s="899">
        <f t="shared" ref="R51:R80" si="10">M51*Q51*P51/1000</f>
        <v>0</v>
      </c>
      <c r="S51" s="898">
        <f t="shared" ref="S51:S80" si="11">IFERROR((G51-R51)/G51,0)</f>
        <v>0</v>
      </c>
      <c r="T51" s="482">
        <f>IFERROR(LOOKUP(1,0/((成型機資料庫!$F$296:$F$316=J51)*(成型機資料庫!$G$296:$G$316=K51)),成型機資料庫!$I$296:$I$316),0)</f>
        <v>0</v>
      </c>
      <c r="U51" s="483">
        <f>IFERROR(LOOKUP(1,0/((成型機資料庫!$F$296:$F$316=J51)*(成型機資料庫!$G$296:$G$316=K51)),成型機資料庫!$J$296:$J$316),0)</f>
        <v>0</v>
      </c>
      <c r="V51" s="900">
        <f>IFERROR(LOOKUP(1,0/((成型機資料庫!$F$296:$F$316=J51)*(成型機資料庫!$G$296:$G$316=K51)),成型機資料庫!$L$296:$L$316),0)</f>
        <v>0</v>
      </c>
      <c r="W51" s="898">
        <f t="shared" ref="W51:W80" si="12">IFERROR(M51/V51,0)</f>
        <v>0</v>
      </c>
      <c r="X51" s="923">
        <f>IFERROR(T51*U51*60*AA51/Q51,0)</f>
        <v>0</v>
      </c>
      <c r="Y51" s="898">
        <f>IFERROR(M51/X51,0)</f>
        <v>0</v>
      </c>
      <c r="Z51" s="923"/>
      <c r="AA51" s="478">
        <f t="shared" ref="AA51:AA80" si="13">AB51+AC51/60</f>
        <v>0</v>
      </c>
      <c r="AB51" s="438"/>
      <c r="AC51" s="482"/>
      <c r="AD51" s="464"/>
      <c r="AE51" s="438"/>
      <c r="AF51" s="438"/>
    </row>
    <row r="52" spans="1:56" s="433" customFormat="1" ht="15.75">
      <c r="A52" s="434">
        <v>113</v>
      </c>
      <c r="B52" s="581"/>
      <c r="C52" s="581">
        <v>2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ref="N52:N80" si="14">M52*Q52</f>
        <v>0</v>
      </c>
      <c r="O52" s="901">
        <f t="shared" si="9"/>
        <v>0</v>
      </c>
      <c r="P52" s="460"/>
      <c r="Q52" s="438">
        <f>IFERROR(LOOKUP(1,0/((成型機資料庫!$F$296:$F$316=J52)*(成型機資料庫!$G$296:$G$316=K52)),成型機資料庫!$K$296:$K$316),0)</f>
        <v>0</v>
      </c>
      <c r="R52" s="899">
        <f t="shared" si="10"/>
        <v>0</v>
      </c>
      <c r="S52" s="898">
        <f t="shared" si="11"/>
        <v>0</v>
      </c>
      <c r="T52" s="482">
        <f>IFERROR(LOOKUP(1,0/((成型機資料庫!$F$296:$F$316=J52)*(成型機資料庫!$G$296:$G$316=K52)),成型機資料庫!$I$296:$I$316),0)</f>
        <v>0</v>
      </c>
      <c r="U52" s="483">
        <f>IFERROR(LOOKUP(1,0/((成型機資料庫!$F$296:$F$316=J52)*(成型機資料庫!$G$296:$G$316=K52)),成型機資料庫!$J$296:$J$316),0)</f>
        <v>0</v>
      </c>
      <c r="V52" s="900">
        <f>IFERROR(LOOKUP(1,0/((成型機資料庫!$F$296:$F$316=J52)*(成型機資料庫!$G$296:$G$316=K52)),成型機資料庫!$L$296:$L$316),0)</f>
        <v>0</v>
      </c>
      <c r="W52" s="898">
        <f t="shared" si="12"/>
        <v>0</v>
      </c>
      <c r="X52" s="923">
        <f t="shared" ref="X52:X80" si="15">IFERROR(T52*U52*60*AA52/Q52,0)</f>
        <v>0</v>
      </c>
      <c r="Y52" s="898">
        <f t="shared" ref="Y52:Y80" si="16">IFERROR(M52/X52,0)</f>
        <v>0</v>
      </c>
      <c r="Z52" s="923"/>
      <c r="AA52" s="478">
        <f t="shared" si="13"/>
        <v>0</v>
      </c>
      <c r="AB52" s="438"/>
      <c r="AC52" s="482"/>
      <c r="AD52" s="464"/>
      <c r="AE52" s="438"/>
      <c r="AF52" s="438"/>
    </row>
    <row r="53" spans="1:56" s="433" customFormat="1" ht="15.75">
      <c r="A53" s="434">
        <v>113</v>
      </c>
      <c r="B53" s="581"/>
      <c r="C53" s="581">
        <v>3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4"/>
        <v>0</v>
      </c>
      <c r="O53" s="901">
        <f t="shared" si="9"/>
        <v>0</v>
      </c>
      <c r="P53" s="460"/>
      <c r="Q53" s="438">
        <f>IFERROR(LOOKUP(1,0/((成型機資料庫!$F$296:$F$316=J53)*(成型機資料庫!$G$296:$G$316=K53)),成型機資料庫!$K$296:$K$316),0)</f>
        <v>0</v>
      </c>
      <c r="R53" s="899">
        <f t="shared" si="10"/>
        <v>0</v>
      </c>
      <c r="S53" s="898">
        <f t="shared" si="11"/>
        <v>0</v>
      </c>
      <c r="T53" s="482">
        <f>IFERROR(LOOKUP(1,0/((成型機資料庫!$F$296:$F$316=J53)*(成型機資料庫!$G$296:$G$316=K53)),成型機資料庫!$I$296:$I$316),0)</f>
        <v>0</v>
      </c>
      <c r="U53" s="483">
        <f>IFERROR(LOOKUP(1,0/((成型機資料庫!$F$296:$F$316=J53)*(成型機資料庫!$G$296:$G$316=K53)),成型機資料庫!$J$296:$J$316),0)</f>
        <v>0</v>
      </c>
      <c r="V53" s="900">
        <f>IFERROR(LOOKUP(1,0/((成型機資料庫!$F$296:$F$316=J53)*(成型機資料庫!$G$296:$G$316=K53)),成型機資料庫!$L$296:$L$316),0)</f>
        <v>0</v>
      </c>
      <c r="W53" s="898">
        <f t="shared" si="12"/>
        <v>0</v>
      </c>
      <c r="X53" s="923">
        <f t="shared" si="15"/>
        <v>0</v>
      </c>
      <c r="Y53" s="898">
        <f t="shared" si="16"/>
        <v>0</v>
      </c>
      <c r="Z53" s="923"/>
      <c r="AA53" s="478">
        <f t="shared" si="13"/>
        <v>0</v>
      </c>
      <c r="AB53" s="438"/>
      <c r="AC53" s="482"/>
      <c r="AD53" s="438"/>
      <c r="AE53" s="438"/>
      <c r="AF53" s="438"/>
    </row>
    <row r="54" spans="1:56" s="433" customFormat="1" ht="15.75">
      <c r="A54" s="434">
        <v>113</v>
      </c>
      <c r="B54" s="581"/>
      <c r="C54" s="581">
        <v>4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4"/>
        <v>0</v>
      </c>
      <c r="O54" s="901">
        <f t="shared" si="9"/>
        <v>0</v>
      </c>
      <c r="P54" s="460"/>
      <c r="Q54" s="438">
        <f>IFERROR(LOOKUP(1,0/((成型機資料庫!$F$296:$F$316=J54)*(成型機資料庫!$G$296:$G$316=K54)),成型機資料庫!$K$296:$K$316),0)</f>
        <v>0</v>
      </c>
      <c r="R54" s="899">
        <f t="shared" si="10"/>
        <v>0</v>
      </c>
      <c r="S54" s="898">
        <f t="shared" si="11"/>
        <v>0</v>
      </c>
      <c r="T54" s="482">
        <f>IFERROR(LOOKUP(1,0/((成型機資料庫!$F$296:$F$316=J54)*(成型機資料庫!$G$296:$G$316=K54)),成型機資料庫!$I$296:$I$316),0)</f>
        <v>0</v>
      </c>
      <c r="U54" s="483">
        <f>IFERROR(LOOKUP(1,0/((成型機資料庫!$F$296:$F$316=J54)*(成型機資料庫!$G$296:$G$316=K54)),成型機資料庫!$J$296:$J$316),0)</f>
        <v>0</v>
      </c>
      <c r="V54" s="900">
        <f>IFERROR(LOOKUP(1,0/((成型機資料庫!$F$296:$F$316=J54)*(成型機資料庫!$G$296:$G$316=K54)),成型機資料庫!$L$296:$L$316),0)</f>
        <v>0</v>
      </c>
      <c r="W54" s="898">
        <f t="shared" si="12"/>
        <v>0</v>
      </c>
      <c r="X54" s="923">
        <f t="shared" si="15"/>
        <v>0</v>
      </c>
      <c r="Y54" s="898">
        <f t="shared" si="16"/>
        <v>0</v>
      </c>
      <c r="Z54" s="923"/>
      <c r="AA54" s="478">
        <f t="shared" si="13"/>
        <v>0</v>
      </c>
      <c r="AB54" s="438"/>
      <c r="AC54" s="482"/>
      <c r="AD54" s="438"/>
      <c r="AE54" s="464"/>
      <c r="AF54" s="438"/>
    </row>
    <row r="55" spans="1:56" s="433" customFormat="1" ht="15.75">
      <c r="A55" s="434">
        <v>113</v>
      </c>
      <c r="B55" s="581"/>
      <c r="C55" s="581">
        <v>5</v>
      </c>
      <c r="D55" s="581"/>
      <c r="E55" s="581" t="s">
        <v>43</v>
      </c>
      <c r="F55" s="436" t="s">
        <v>44</v>
      </c>
      <c r="G55" s="926"/>
      <c r="H55" s="464"/>
      <c r="I55" s="429"/>
      <c r="J55" s="429"/>
      <c r="K55" s="429"/>
      <c r="L55" s="464"/>
      <c r="M55" s="464"/>
      <c r="N55" s="900">
        <f t="shared" si="14"/>
        <v>0</v>
      </c>
      <c r="O55" s="901">
        <f t="shared" si="9"/>
        <v>0</v>
      </c>
      <c r="P55" s="460"/>
      <c r="Q55" s="438">
        <f>IFERROR(LOOKUP(1,0/((成型機資料庫!$F$296:$F$316=J55)*(成型機資料庫!$G$296:$G$316=K55)),成型機資料庫!$K$296:$K$316),0)</f>
        <v>0</v>
      </c>
      <c r="R55" s="899">
        <f t="shared" si="10"/>
        <v>0</v>
      </c>
      <c r="S55" s="898">
        <f t="shared" si="11"/>
        <v>0</v>
      </c>
      <c r="T55" s="482">
        <f>IFERROR(LOOKUP(1,0/((成型機資料庫!$F$296:$F$316=J55)*(成型機資料庫!$G$296:$G$316=K55)),成型機資料庫!$I$296:$I$316),0)</f>
        <v>0</v>
      </c>
      <c r="U55" s="483">
        <f>IFERROR(LOOKUP(1,0/((成型機資料庫!$F$296:$F$316=J55)*(成型機資料庫!$G$296:$G$316=K55)),成型機資料庫!$J$296:$J$316),0)</f>
        <v>0</v>
      </c>
      <c r="V55" s="900">
        <f>IFERROR(LOOKUP(1,0/((成型機資料庫!$F$296:$F$316=J55)*(成型機資料庫!$G$296:$G$316=K55)),成型機資料庫!$L$296:$L$316),0)</f>
        <v>0</v>
      </c>
      <c r="W55" s="898">
        <f t="shared" si="12"/>
        <v>0</v>
      </c>
      <c r="X55" s="923">
        <f t="shared" si="15"/>
        <v>0</v>
      </c>
      <c r="Y55" s="898">
        <f t="shared" si="16"/>
        <v>0</v>
      </c>
      <c r="Z55" s="923"/>
      <c r="AA55" s="478">
        <f t="shared" si="13"/>
        <v>0</v>
      </c>
      <c r="AB55" s="438"/>
      <c r="AC55" s="482"/>
      <c r="AD55" s="438"/>
      <c r="AE55" s="438"/>
      <c r="AF55" s="438"/>
    </row>
    <row r="56" spans="1:56" s="433" customFormat="1" ht="15.75">
      <c r="A56" s="434">
        <v>113</v>
      </c>
      <c r="B56" s="581"/>
      <c r="C56" s="581">
        <v>6</v>
      </c>
      <c r="D56" s="581"/>
      <c r="E56" s="581" t="s">
        <v>43</v>
      </c>
      <c r="F56" s="436" t="s">
        <v>44</v>
      </c>
      <c r="G56" s="926"/>
      <c r="H56" s="464"/>
      <c r="I56" s="429"/>
      <c r="J56" s="429"/>
      <c r="K56" s="429"/>
      <c r="L56" s="464"/>
      <c r="M56" s="464"/>
      <c r="N56" s="900">
        <f t="shared" si="14"/>
        <v>0</v>
      </c>
      <c r="O56" s="901">
        <f t="shared" si="9"/>
        <v>0</v>
      </c>
      <c r="P56" s="460"/>
      <c r="Q56" s="438">
        <f>IFERROR(LOOKUP(1,0/((成型機資料庫!$F$296:$F$316=J56)*(成型機資料庫!$G$296:$G$316=K56)),成型機資料庫!$K$296:$K$316),0)</f>
        <v>0</v>
      </c>
      <c r="R56" s="899">
        <f t="shared" si="10"/>
        <v>0</v>
      </c>
      <c r="S56" s="898">
        <f t="shared" si="11"/>
        <v>0</v>
      </c>
      <c r="T56" s="482">
        <f>IFERROR(LOOKUP(1,0/((成型機資料庫!$F$296:$F$316=J56)*(成型機資料庫!$G$296:$G$316=K56)),成型機資料庫!$I$296:$I$316),0)</f>
        <v>0</v>
      </c>
      <c r="U56" s="483">
        <f>IFERROR(LOOKUP(1,0/((成型機資料庫!$F$296:$F$316=J56)*(成型機資料庫!$G$296:$G$316=K56)),成型機資料庫!$J$296:$J$316),0)</f>
        <v>0</v>
      </c>
      <c r="V56" s="900">
        <f>IFERROR(LOOKUP(1,0/((成型機資料庫!$F$296:$F$316=J56)*(成型機資料庫!$G$296:$G$316=K56)),成型機資料庫!$L$296:$L$316),0)</f>
        <v>0</v>
      </c>
      <c r="W56" s="898">
        <f t="shared" si="12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3"/>
        <v>0</v>
      </c>
      <c r="AB56" s="438"/>
      <c r="AC56" s="482"/>
      <c r="AD56" s="879"/>
      <c r="AE56" s="438"/>
      <c r="AF56" s="438"/>
    </row>
    <row r="57" spans="1:56" s="433" customFormat="1" ht="15.75">
      <c r="A57" s="434">
        <v>113</v>
      </c>
      <c r="B57" s="581"/>
      <c r="C57" s="581">
        <v>7</v>
      </c>
      <c r="D57" s="581"/>
      <c r="E57" s="581" t="s">
        <v>43</v>
      </c>
      <c r="F57" s="436" t="s">
        <v>44</v>
      </c>
      <c r="G57" s="927"/>
      <c r="H57" s="464"/>
      <c r="I57" s="429"/>
      <c r="J57" s="429"/>
      <c r="K57" s="429"/>
      <c r="L57" s="464"/>
      <c r="M57" s="464"/>
      <c r="N57" s="900">
        <f t="shared" si="14"/>
        <v>0</v>
      </c>
      <c r="O57" s="901">
        <f t="shared" si="9"/>
        <v>0</v>
      </c>
      <c r="P57" s="460"/>
      <c r="Q57" s="438">
        <f>IFERROR(LOOKUP(1,0/((成型機資料庫!$F$296:$F$316=J57)*(成型機資料庫!$G$296:$G$316=K57)),成型機資料庫!$K$296:$K$316),0)</f>
        <v>0</v>
      </c>
      <c r="R57" s="899">
        <f t="shared" si="10"/>
        <v>0</v>
      </c>
      <c r="S57" s="898">
        <f t="shared" si="11"/>
        <v>0</v>
      </c>
      <c r="T57" s="482">
        <f>IFERROR(LOOKUP(1,0/((成型機資料庫!$F$296:$F$316=J57)*(成型機資料庫!$G$296:$G$316=K57)),成型機資料庫!$I$296:$I$316),0)</f>
        <v>0</v>
      </c>
      <c r="U57" s="483">
        <f>IFERROR(LOOKUP(1,0/((成型機資料庫!$F$296:$F$316=J57)*(成型機資料庫!$G$296:$G$316=K57)),成型機資料庫!$J$296:$J$316),0)</f>
        <v>0</v>
      </c>
      <c r="V57" s="900">
        <f>IFERROR(LOOKUP(1,0/((成型機資料庫!$F$296:$F$316=J57)*(成型機資料庫!$G$296:$G$316=K57)),成型機資料庫!$L$296:$L$316),0)</f>
        <v>0</v>
      </c>
      <c r="W57" s="898">
        <f t="shared" si="12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3"/>
        <v>0</v>
      </c>
      <c r="AB57" s="438"/>
      <c r="AC57" s="482"/>
      <c r="AD57" s="464"/>
      <c r="AE57" s="438"/>
      <c r="AF57" s="438"/>
    </row>
    <row r="58" spans="1:56" s="433" customFormat="1" ht="15.75">
      <c r="A58" s="434">
        <v>113</v>
      </c>
      <c r="B58" s="581"/>
      <c r="C58" s="581">
        <v>8</v>
      </c>
      <c r="D58" s="581"/>
      <c r="E58" s="581" t="s">
        <v>43</v>
      </c>
      <c r="F58" s="436" t="s">
        <v>44</v>
      </c>
      <c r="G58" s="927"/>
      <c r="H58" s="464"/>
      <c r="I58" s="429"/>
      <c r="J58" s="429"/>
      <c r="K58" s="429"/>
      <c r="L58" s="464"/>
      <c r="M58" s="464"/>
      <c r="N58" s="900">
        <f t="shared" si="14"/>
        <v>0</v>
      </c>
      <c r="O58" s="901">
        <f t="shared" si="9"/>
        <v>0</v>
      </c>
      <c r="P58" s="460"/>
      <c r="Q58" s="438">
        <f>IFERROR(LOOKUP(1,0/((成型機資料庫!$F$296:$F$316=J58)*(成型機資料庫!$G$296:$G$316=K58)),成型機資料庫!$K$296:$K$316),0)</f>
        <v>0</v>
      </c>
      <c r="R58" s="899">
        <f t="shared" si="10"/>
        <v>0</v>
      </c>
      <c r="S58" s="898">
        <f t="shared" si="11"/>
        <v>0</v>
      </c>
      <c r="T58" s="482">
        <f>IFERROR(LOOKUP(1,0/((成型機資料庫!$F$296:$F$316=J58)*(成型機資料庫!$G$296:$G$316=K58)),成型機資料庫!$I$296:$I$316),0)</f>
        <v>0</v>
      </c>
      <c r="U58" s="483">
        <f>IFERROR(LOOKUP(1,0/((成型機資料庫!$F$296:$F$316=J58)*(成型機資料庫!$G$296:$G$316=K58)),成型機資料庫!$J$296:$J$316),0)</f>
        <v>0</v>
      </c>
      <c r="V58" s="900">
        <f>IFERROR(LOOKUP(1,0/((成型機資料庫!$F$296:$F$316=J58)*(成型機資料庫!$G$296:$G$316=K58)),成型機資料庫!$L$296:$L$316),0)</f>
        <v>0</v>
      </c>
      <c r="W58" s="898">
        <f t="shared" si="12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3"/>
        <v>0</v>
      </c>
      <c r="AB58" s="438"/>
      <c r="AC58" s="482"/>
      <c r="AD58" s="464"/>
      <c r="AE58" s="438"/>
      <c r="AF58" s="438"/>
    </row>
    <row r="59" spans="1:56" s="433" customFormat="1" ht="15.75">
      <c r="A59" s="434">
        <v>113</v>
      </c>
      <c r="B59" s="581"/>
      <c r="C59" s="581">
        <v>9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4"/>
        <v>0</v>
      </c>
      <c r="O59" s="901">
        <f t="shared" si="9"/>
        <v>0</v>
      </c>
      <c r="P59" s="460"/>
      <c r="Q59" s="438">
        <f>IFERROR(LOOKUP(1,0/((成型機資料庫!$F$296:$F$316=J59)*(成型機資料庫!$G$296:$G$316=K59)),成型機資料庫!$K$296:$K$316),0)</f>
        <v>0</v>
      </c>
      <c r="R59" s="899">
        <f t="shared" si="10"/>
        <v>0</v>
      </c>
      <c r="S59" s="898">
        <f t="shared" si="11"/>
        <v>0</v>
      </c>
      <c r="T59" s="482">
        <f>IFERROR(LOOKUP(1,0/((成型機資料庫!$F$296:$F$316=J59)*(成型機資料庫!$G$296:$G$316=K59)),成型機資料庫!$I$296:$I$316),0)</f>
        <v>0</v>
      </c>
      <c r="U59" s="483">
        <f>IFERROR(LOOKUP(1,0/((成型機資料庫!$F$296:$F$316=J59)*(成型機資料庫!$G$296:$G$316=K59)),成型機資料庫!$J$296:$J$316),0)</f>
        <v>0</v>
      </c>
      <c r="V59" s="900">
        <f>IFERROR(LOOKUP(1,0/((成型機資料庫!$F$296:$F$316=J59)*(成型機資料庫!$G$296:$G$316=K59)),成型機資料庫!$L$296:$L$316),0)</f>
        <v>0</v>
      </c>
      <c r="W59" s="898">
        <f t="shared" si="12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3"/>
        <v>0</v>
      </c>
      <c r="AB59" s="438"/>
      <c r="AC59" s="482"/>
      <c r="AD59" s="464"/>
      <c r="AE59" s="438"/>
      <c r="AF59" s="438"/>
    </row>
    <row r="60" spans="1:56" s="433" customFormat="1" ht="15.75">
      <c r="A60" s="434">
        <v>113</v>
      </c>
      <c r="B60" s="581"/>
      <c r="C60" s="581">
        <v>10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4"/>
        <v>0</v>
      </c>
      <c r="O60" s="901">
        <f t="shared" si="9"/>
        <v>0</v>
      </c>
      <c r="P60" s="460"/>
      <c r="Q60" s="438">
        <f>IFERROR(LOOKUP(1,0/((成型機資料庫!$F$296:$F$316=J60)*(成型機資料庫!$G$296:$G$316=K60)),成型機資料庫!$K$296:$K$316),0)</f>
        <v>0</v>
      </c>
      <c r="R60" s="899">
        <f t="shared" si="10"/>
        <v>0</v>
      </c>
      <c r="S60" s="898">
        <f t="shared" si="11"/>
        <v>0</v>
      </c>
      <c r="T60" s="482">
        <f>IFERROR(LOOKUP(1,0/((成型機資料庫!$F$296:$F$316=J60)*(成型機資料庫!$G$296:$G$316=K60)),成型機資料庫!$I$296:$I$316),0)</f>
        <v>0</v>
      </c>
      <c r="U60" s="483">
        <f>IFERROR(LOOKUP(1,0/((成型機資料庫!$F$296:$F$316=J60)*(成型機資料庫!$G$296:$G$316=K60)),成型機資料庫!$J$296:$J$316),0)</f>
        <v>0</v>
      </c>
      <c r="V60" s="900">
        <f>IFERROR(LOOKUP(1,0/((成型機資料庫!$F$296:$F$316=J60)*(成型機資料庫!$G$296:$G$316=K60)),成型機資料庫!$L$296:$L$316),0)</f>
        <v>0</v>
      </c>
      <c r="W60" s="898">
        <f t="shared" si="12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3"/>
        <v>0</v>
      </c>
      <c r="AB60" s="438"/>
      <c r="AC60" s="482"/>
      <c r="AD60" s="438"/>
      <c r="AE60" s="438"/>
      <c r="AF60" s="438"/>
    </row>
    <row r="61" spans="1:56" s="433" customFormat="1" ht="15.75">
      <c r="A61" s="434">
        <v>113</v>
      </c>
      <c r="B61" s="581"/>
      <c r="C61" s="581">
        <v>11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4"/>
        <v>0</v>
      </c>
      <c r="O61" s="901">
        <f t="shared" si="9"/>
        <v>0</v>
      </c>
      <c r="P61" s="460"/>
      <c r="Q61" s="438">
        <f>IFERROR(LOOKUP(1,0/((成型機資料庫!$F$296:$F$316=J61)*(成型機資料庫!$G$296:$G$316=K61)),成型機資料庫!$K$296:$K$316),0)</f>
        <v>0</v>
      </c>
      <c r="R61" s="899">
        <f t="shared" si="10"/>
        <v>0</v>
      </c>
      <c r="S61" s="898">
        <f t="shared" si="11"/>
        <v>0</v>
      </c>
      <c r="T61" s="482">
        <f>IFERROR(LOOKUP(1,0/((成型機資料庫!$F$296:$F$316=J61)*(成型機資料庫!$G$296:$G$316=K61)),成型機資料庫!$I$296:$I$316),0)</f>
        <v>0</v>
      </c>
      <c r="U61" s="483">
        <f>IFERROR(LOOKUP(1,0/((成型機資料庫!$F$296:$F$316=J61)*(成型機資料庫!$G$296:$G$316=K61)),成型機資料庫!$J$296:$J$316),0)</f>
        <v>0</v>
      </c>
      <c r="V61" s="900">
        <f>IFERROR(LOOKUP(1,0/((成型機資料庫!$F$296:$F$316=J61)*(成型機資料庫!$G$296:$G$316=K61)),成型機資料庫!$L$296:$L$316),0)</f>
        <v>0</v>
      </c>
      <c r="W61" s="898">
        <f t="shared" si="12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3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12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4"/>
        <v>0</v>
      </c>
      <c r="O62" s="901">
        <f t="shared" si="9"/>
        <v>0</v>
      </c>
      <c r="P62" s="460"/>
      <c r="Q62" s="438">
        <f>IFERROR(LOOKUP(1,0/((成型機資料庫!$F$296:$F$316=J62)*(成型機資料庫!$G$296:$G$316=K62)),成型機資料庫!$K$296:$K$316),0)</f>
        <v>0</v>
      </c>
      <c r="R62" s="899">
        <f t="shared" si="10"/>
        <v>0</v>
      </c>
      <c r="S62" s="898">
        <f t="shared" si="11"/>
        <v>0</v>
      </c>
      <c r="T62" s="482">
        <f>IFERROR(LOOKUP(1,0/((成型機資料庫!$F$296:$F$316=J62)*(成型機資料庫!$G$296:$G$316=K62)),成型機資料庫!$I$296:$I$316),0)</f>
        <v>0</v>
      </c>
      <c r="U62" s="483">
        <f>IFERROR(LOOKUP(1,0/((成型機資料庫!$F$296:$F$316=J62)*(成型機資料庫!$G$296:$G$316=K62)),成型機資料庫!$J$296:$J$316),0)</f>
        <v>0</v>
      </c>
      <c r="V62" s="900">
        <f>IFERROR(LOOKUP(1,0/((成型機資料庫!$F$296:$F$316=J62)*(成型機資料庫!$G$296:$G$316=K62)),成型機資料庫!$L$296:$L$316),0)</f>
        <v>0</v>
      </c>
      <c r="W62" s="898">
        <f t="shared" si="12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3"/>
        <v>0</v>
      </c>
      <c r="AB62" s="438"/>
      <c r="AC62" s="482"/>
      <c r="AD62" s="438"/>
      <c r="AE62" s="438"/>
      <c r="AF62" s="438"/>
    </row>
    <row r="63" spans="1:56" s="433" customFormat="1" ht="15.75">
      <c r="A63" s="434">
        <v>113</v>
      </c>
      <c r="B63" s="581"/>
      <c r="C63" s="581">
        <v>13</v>
      </c>
      <c r="D63" s="581"/>
      <c r="E63" s="581" t="s">
        <v>43</v>
      </c>
      <c r="F63" s="436" t="s">
        <v>44</v>
      </c>
      <c r="G63" s="926"/>
      <c r="H63" s="464"/>
      <c r="I63" s="429"/>
      <c r="J63" s="429"/>
      <c r="K63" s="429"/>
      <c r="L63" s="464"/>
      <c r="M63" s="464"/>
      <c r="N63" s="900">
        <f t="shared" si="14"/>
        <v>0</v>
      </c>
      <c r="O63" s="901">
        <f t="shared" si="9"/>
        <v>0</v>
      </c>
      <c r="P63" s="460"/>
      <c r="Q63" s="438">
        <f>IFERROR(LOOKUP(1,0/((成型機資料庫!$F$296:$F$316=J63)*(成型機資料庫!$G$296:$G$316=K63)),成型機資料庫!$K$296:$K$316),0)</f>
        <v>0</v>
      </c>
      <c r="R63" s="899">
        <f t="shared" si="10"/>
        <v>0</v>
      </c>
      <c r="S63" s="898">
        <f t="shared" si="11"/>
        <v>0</v>
      </c>
      <c r="T63" s="482">
        <f>IFERROR(LOOKUP(1,0/((成型機資料庫!$F$296:$F$316=J63)*(成型機資料庫!$G$296:$G$316=K63)),成型機資料庫!$I$296:$I$316),0)</f>
        <v>0</v>
      </c>
      <c r="U63" s="483">
        <f>IFERROR(LOOKUP(1,0/((成型機資料庫!$F$296:$F$316=J63)*(成型機資料庫!$G$296:$G$316=K63)),成型機資料庫!$J$296:$J$316),0)</f>
        <v>0</v>
      </c>
      <c r="V63" s="900">
        <f>IFERROR(LOOKUP(1,0/((成型機資料庫!$F$296:$F$316=J63)*(成型機資料庫!$G$296:$G$316=K63)),成型機資料庫!$L$296:$L$316),0)</f>
        <v>0</v>
      </c>
      <c r="W63" s="898">
        <f t="shared" si="12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3"/>
        <v>0</v>
      </c>
      <c r="AB63" s="438"/>
      <c r="AC63" s="482"/>
      <c r="AD63" s="464"/>
      <c r="AE63" s="438"/>
      <c r="AF63" s="438"/>
    </row>
    <row r="64" spans="1:56" s="433" customFormat="1" ht="15.75">
      <c r="A64" s="434">
        <v>113</v>
      </c>
      <c r="B64" s="581"/>
      <c r="C64" s="581">
        <v>14</v>
      </c>
      <c r="D64" s="581"/>
      <c r="E64" s="581" t="s">
        <v>43</v>
      </c>
      <c r="F64" s="436" t="s">
        <v>44</v>
      </c>
      <c r="G64" s="926"/>
      <c r="H64" s="464"/>
      <c r="I64" s="429"/>
      <c r="J64" s="429"/>
      <c r="K64" s="429"/>
      <c r="L64" s="464"/>
      <c r="M64" s="464"/>
      <c r="N64" s="900">
        <f t="shared" si="14"/>
        <v>0</v>
      </c>
      <c r="O64" s="901">
        <f t="shared" si="9"/>
        <v>0</v>
      </c>
      <c r="P64" s="460"/>
      <c r="Q64" s="438">
        <f>IFERROR(LOOKUP(1,0/((成型機資料庫!$F$296:$F$316=J64)*(成型機資料庫!$G$296:$G$316=K64)),成型機資料庫!$K$296:$K$316),0)</f>
        <v>0</v>
      </c>
      <c r="R64" s="899">
        <f t="shared" si="10"/>
        <v>0</v>
      </c>
      <c r="S64" s="898">
        <f t="shared" si="11"/>
        <v>0</v>
      </c>
      <c r="T64" s="482">
        <f>IFERROR(LOOKUP(1,0/((成型機資料庫!$F$296:$F$316=J64)*(成型機資料庫!$G$296:$G$316=K64)),成型機資料庫!$I$296:$I$316),0)</f>
        <v>0</v>
      </c>
      <c r="U64" s="483">
        <f>IFERROR(LOOKUP(1,0/((成型機資料庫!$F$296:$F$316=J64)*(成型機資料庫!$G$296:$G$316=K64)),成型機資料庫!$J$296:$J$316),0)</f>
        <v>0</v>
      </c>
      <c r="V64" s="900">
        <f>IFERROR(LOOKUP(1,0/((成型機資料庫!$F$296:$F$316=J64)*(成型機資料庫!$G$296:$G$316=K64)),成型機資料庫!$L$296:$L$316),0)</f>
        <v>0</v>
      </c>
      <c r="W64" s="898">
        <f t="shared" si="12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3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15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4"/>
        <v>0</v>
      </c>
      <c r="O65" s="901">
        <f t="shared" si="9"/>
        <v>0</v>
      </c>
      <c r="P65" s="460"/>
      <c r="Q65" s="438">
        <f>IFERROR(LOOKUP(1,0/((成型機資料庫!$F$296:$F$316=J65)*(成型機資料庫!$G$296:$G$316=K65)),成型機資料庫!$K$296:$K$316),0)</f>
        <v>0</v>
      </c>
      <c r="R65" s="899">
        <f t="shared" si="10"/>
        <v>0</v>
      </c>
      <c r="S65" s="898">
        <f t="shared" si="11"/>
        <v>0</v>
      </c>
      <c r="T65" s="482">
        <f>IFERROR(LOOKUP(1,0/((成型機資料庫!$F$296:$F$316=J65)*(成型機資料庫!$G$296:$G$316=K65)),成型機資料庫!$I$296:$I$316),0)</f>
        <v>0</v>
      </c>
      <c r="U65" s="483">
        <f>IFERROR(LOOKUP(1,0/((成型機資料庫!$F$296:$F$316=J65)*(成型機資料庫!$G$296:$G$316=K65)),成型機資料庫!$J$296:$J$316),0)</f>
        <v>0</v>
      </c>
      <c r="V65" s="900">
        <f>IFERROR(LOOKUP(1,0/((成型機資料庫!$F$296:$F$316=J65)*(成型機資料庫!$G$296:$G$316=K65)),成型機資料庫!$L$296:$L$316),0)</f>
        <v>0</v>
      </c>
      <c r="W65" s="898">
        <f t="shared" si="12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3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16</v>
      </c>
      <c r="D66" s="581"/>
      <c r="E66" s="581" t="s">
        <v>43</v>
      </c>
      <c r="F66" s="436" t="s">
        <v>44</v>
      </c>
      <c r="G66" s="927"/>
      <c r="H66" s="464"/>
      <c r="I66" s="429"/>
      <c r="J66" s="429"/>
      <c r="K66" s="429"/>
      <c r="L66" s="464"/>
      <c r="M66" s="464"/>
      <c r="N66" s="900">
        <f t="shared" si="14"/>
        <v>0</v>
      </c>
      <c r="O66" s="901">
        <f t="shared" si="9"/>
        <v>0</v>
      </c>
      <c r="P66" s="460"/>
      <c r="Q66" s="438">
        <f>IFERROR(LOOKUP(1,0/((成型機資料庫!$F$296:$F$316=J66)*(成型機資料庫!$G$296:$G$316=K66)),成型機資料庫!$K$296:$K$316),0)</f>
        <v>0</v>
      </c>
      <c r="R66" s="899">
        <f t="shared" si="10"/>
        <v>0</v>
      </c>
      <c r="S66" s="898">
        <f t="shared" si="11"/>
        <v>0</v>
      </c>
      <c r="T66" s="482">
        <f>IFERROR(LOOKUP(1,0/((成型機資料庫!$F$296:$F$316=J66)*(成型機資料庫!$G$296:$G$316=K66)),成型機資料庫!$I$296:$I$316),0)</f>
        <v>0</v>
      </c>
      <c r="U66" s="483">
        <f>IFERROR(LOOKUP(1,0/((成型機資料庫!$F$296:$F$316=J66)*(成型機資料庫!$G$296:$G$316=K66)),成型機資料庫!$J$296:$J$316),0)</f>
        <v>0</v>
      </c>
      <c r="V66" s="900">
        <f>IFERROR(LOOKUP(1,0/((成型機資料庫!$F$296:$F$316=J66)*(成型機資料庫!$G$296:$G$316=K66)),成型機資料庫!$L$296:$L$316),0)</f>
        <v>0</v>
      </c>
      <c r="W66" s="898">
        <f t="shared" si="12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3"/>
        <v>0</v>
      </c>
      <c r="AB66" s="438"/>
      <c r="AC66" s="482"/>
      <c r="AD66" s="464"/>
      <c r="AE66" s="464"/>
      <c r="AF66" s="438"/>
    </row>
    <row r="67" spans="1:32" s="433" customFormat="1" ht="15.75">
      <c r="A67" s="434">
        <v>113</v>
      </c>
      <c r="B67" s="581"/>
      <c r="C67" s="581">
        <v>17</v>
      </c>
      <c r="D67" s="581"/>
      <c r="E67" s="581" t="s">
        <v>43</v>
      </c>
      <c r="F67" s="436" t="s">
        <v>44</v>
      </c>
      <c r="G67" s="927"/>
      <c r="H67" s="464"/>
      <c r="I67" s="429"/>
      <c r="J67" s="429"/>
      <c r="K67" s="429"/>
      <c r="L67" s="464"/>
      <c r="M67" s="464"/>
      <c r="N67" s="900">
        <f t="shared" si="14"/>
        <v>0</v>
      </c>
      <c r="O67" s="901">
        <f t="shared" si="9"/>
        <v>0</v>
      </c>
      <c r="P67" s="460"/>
      <c r="Q67" s="438">
        <f>IFERROR(LOOKUP(1,0/((成型機資料庫!$F$296:$F$316=J67)*(成型機資料庫!$G$296:$G$316=K67)),成型機資料庫!$K$296:$K$316),0)</f>
        <v>0</v>
      </c>
      <c r="R67" s="899">
        <f t="shared" si="10"/>
        <v>0</v>
      </c>
      <c r="S67" s="898">
        <f t="shared" si="11"/>
        <v>0</v>
      </c>
      <c r="T67" s="482">
        <f>IFERROR(LOOKUP(1,0/((成型機資料庫!$F$296:$F$316=J67)*(成型機資料庫!$G$296:$G$316=K67)),成型機資料庫!$I$296:$I$316),0)</f>
        <v>0</v>
      </c>
      <c r="U67" s="483">
        <f>IFERROR(LOOKUP(1,0/((成型機資料庫!$F$296:$F$316=J67)*(成型機資料庫!$G$296:$G$316=K67)),成型機資料庫!$J$296:$J$316),0)</f>
        <v>0</v>
      </c>
      <c r="V67" s="900">
        <f>IFERROR(LOOKUP(1,0/((成型機資料庫!$F$296:$F$316=J67)*(成型機資料庫!$G$296:$G$316=K67)),成型機資料庫!$L$296:$L$316),0)</f>
        <v>0</v>
      </c>
      <c r="W67" s="898">
        <f t="shared" si="12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3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18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4"/>
        <v>0</v>
      </c>
      <c r="O68" s="901">
        <f t="shared" si="9"/>
        <v>0</v>
      </c>
      <c r="P68" s="460"/>
      <c r="Q68" s="438">
        <f>IFERROR(LOOKUP(1,0/((成型機資料庫!$F$296:$F$316=J68)*(成型機資料庫!$G$296:$G$316=K68)),成型機資料庫!$K$296:$K$316),0)</f>
        <v>0</v>
      </c>
      <c r="R68" s="899">
        <f t="shared" si="10"/>
        <v>0</v>
      </c>
      <c r="S68" s="898">
        <f t="shared" si="11"/>
        <v>0</v>
      </c>
      <c r="T68" s="482">
        <f>IFERROR(LOOKUP(1,0/((成型機資料庫!$F$296:$F$316=J68)*(成型機資料庫!$G$296:$G$316=K68)),成型機資料庫!$I$296:$I$316),0)</f>
        <v>0</v>
      </c>
      <c r="U68" s="483">
        <f>IFERROR(LOOKUP(1,0/((成型機資料庫!$F$296:$F$316=J68)*(成型機資料庫!$G$296:$G$316=K68)),成型機資料庫!$J$296:$J$316),0)</f>
        <v>0</v>
      </c>
      <c r="V68" s="900">
        <f>IFERROR(LOOKUP(1,0/((成型機資料庫!$F$296:$F$316=J68)*(成型機資料庫!$G$296:$G$316=K68)),成型機資料庫!$L$296:$L$316),0)</f>
        <v>0</v>
      </c>
      <c r="W68" s="898">
        <f t="shared" si="12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3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19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4"/>
        <v>0</v>
      </c>
      <c r="O69" s="901">
        <f t="shared" si="9"/>
        <v>0</v>
      </c>
      <c r="P69" s="460"/>
      <c r="Q69" s="438">
        <f>IFERROR(LOOKUP(1,0/((成型機資料庫!$F$296:$F$316=J69)*(成型機資料庫!$G$296:$G$316=K69)),成型機資料庫!$K$296:$K$316),0)</f>
        <v>0</v>
      </c>
      <c r="R69" s="899">
        <f t="shared" si="10"/>
        <v>0</v>
      </c>
      <c r="S69" s="898">
        <f t="shared" si="11"/>
        <v>0</v>
      </c>
      <c r="T69" s="482">
        <f>IFERROR(LOOKUP(1,0/((成型機資料庫!$F$296:$F$316=J69)*(成型機資料庫!$G$296:$G$316=K69)),成型機資料庫!$I$296:$I$316),0)</f>
        <v>0</v>
      </c>
      <c r="U69" s="483">
        <f>IFERROR(LOOKUP(1,0/((成型機資料庫!$F$296:$F$316=J69)*(成型機資料庫!$G$296:$G$316=K69)),成型機資料庫!$J$296:$J$316),0)</f>
        <v>0</v>
      </c>
      <c r="V69" s="900">
        <f>IFERROR(LOOKUP(1,0/((成型機資料庫!$F$296:$F$316=J69)*(成型機資料庫!$G$296:$G$316=K69)),成型機資料庫!$L$296:$L$316),0)</f>
        <v>0</v>
      </c>
      <c r="W69" s="898">
        <f t="shared" si="12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3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20</v>
      </c>
      <c r="D70" s="581"/>
      <c r="E70" s="581" t="s">
        <v>43</v>
      </c>
      <c r="F70" s="436" t="s">
        <v>44</v>
      </c>
      <c r="G70" s="926"/>
      <c r="H70" s="464"/>
      <c r="I70" s="429"/>
      <c r="J70" s="429"/>
      <c r="K70" s="429"/>
      <c r="L70" s="464"/>
      <c r="M70" s="464"/>
      <c r="N70" s="900">
        <f t="shared" si="14"/>
        <v>0</v>
      </c>
      <c r="O70" s="901">
        <f t="shared" si="9"/>
        <v>0</v>
      </c>
      <c r="P70" s="460"/>
      <c r="Q70" s="438">
        <f>IFERROR(LOOKUP(1,0/((成型機資料庫!$F$296:$F$316=J70)*(成型機資料庫!$G$296:$G$316=K70)),成型機資料庫!$K$296:$K$316),0)</f>
        <v>0</v>
      </c>
      <c r="R70" s="899">
        <f t="shared" si="10"/>
        <v>0</v>
      </c>
      <c r="S70" s="898">
        <f t="shared" si="11"/>
        <v>0</v>
      </c>
      <c r="T70" s="482">
        <f>IFERROR(LOOKUP(1,0/((成型機資料庫!$F$296:$F$316=J70)*(成型機資料庫!$G$296:$G$316=K70)),成型機資料庫!$I$296:$I$316),0)</f>
        <v>0</v>
      </c>
      <c r="U70" s="483">
        <f>IFERROR(LOOKUP(1,0/((成型機資料庫!$F$296:$F$316=J70)*(成型機資料庫!$G$296:$G$316=K70)),成型機資料庫!$J$296:$J$316),0)</f>
        <v>0</v>
      </c>
      <c r="V70" s="900">
        <f>IFERROR(LOOKUP(1,0/((成型機資料庫!$F$296:$F$316=J70)*(成型機資料庫!$G$296:$G$316=K70)),成型機資料庫!$L$296:$L$316),0)</f>
        <v>0</v>
      </c>
      <c r="W70" s="898">
        <f t="shared" si="12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3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21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4"/>
        <v>0</v>
      </c>
      <c r="O71" s="901">
        <f t="shared" si="9"/>
        <v>0</v>
      </c>
      <c r="P71" s="460"/>
      <c r="Q71" s="438">
        <f>IFERROR(LOOKUP(1,0/((成型機資料庫!$F$296:$F$316=J71)*(成型機資料庫!$G$296:$G$316=K71)),成型機資料庫!$K$296:$K$316),0)</f>
        <v>0</v>
      </c>
      <c r="R71" s="899">
        <f t="shared" si="10"/>
        <v>0</v>
      </c>
      <c r="S71" s="898">
        <f t="shared" si="11"/>
        <v>0</v>
      </c>
      <c r="T71" s="482">
        <f>IFERROR(LOOKUP(1,0/((成型機資料庫!$F$296:$F$316=J71)*(成型機資料庫!$G$296:$G$316=K71)),成型機資料庫!$I$296:$I$316),0)</f>
        <v>0</v>
      </c>
      <c r="U71" s="483">
        <f>IFERROR(LOOKUP(1,0/((成型機資料庫!$F$296:$F$316=J71)*(成型機資料庫!$G$296:$G$316=K71)),成型機資料庫!$J$296:$J$316),0)</f>
        <v>0</v>
      </c>
      <c r="V71" s="900">
        <f>IFERROR(LOOKUP(1,0/((成型機資料庫!$F$296:$F$316=J71)*(成型機資料庫!$G$296:$G$316=K71)),成型機資料庫!$L$296:$L$316),0)</f>
        <v>0</v>
      </c>
      <c r="W71" s="898">
        <f t="shared" si="12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3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22</v>
      </c>
      <c r="D72" s="581"/>
      <c r="E72" s="581" t="s">
        <v>43</v>
      </c>
      <c r="F72" s="436" t="s">
        <v>44</v>
      </c>
      <c r="G72" s="927"/>
      <c r="H72" s="464"/>
      <c r="I72" s="429"/>
      <c r="J72" s="429"/>
      <c r="K72" s="429"/>
      <c r="L72" s="464"/>
      <c r="M72" s="464"/>
      <c r="N72" s="900">
        <f t="shared" si="14"/>
        <v>0</v>
      </c>
      <c r="O72" s="901">
        <f t="shared" si="9"/>
        <v>0</v>
      </c>
      <c r="P72" s="460"/>
      <c r="Q72" s="438">
        <f>IFERROR(LOOKUP(1,0/((成型機資料庫!$F$296:$F$316=J72)*(成型機資料庫!$G$296:$G$316=K72)),成型機資料庫!$K$296:$K$316),0)</f>
        <v>0</v>
      </c>
      <c r="R72" s="899">
        <f t="shared" si="10"/>
        <v>0</v>
      </c>
      <c r="S72" s="898">
        <f t="shared" si="11"/>
        <v>0</v>
      </c>
      <c r="T72" s="482">
        <f>IFERROR(LOOKUP(1,0/((成型機資料庫!$F$296:$F$316=J72)*(成型機資料庫!$G$296:$G$316=K72)),成型機資料庫!$I$296:$I$316),0)</f>
        <v>0</v>
      </c>
      <c r="U72" s="483">
        <f>IFERROR(LOOKUP(1,0/((成型機資料庫!$F$296:$F$316=J72)*(成型機資料庫!$G$296:$G$316=K72)),成型機資料庫!$J$296:$J$316),0)</f>
        <v>0</v>
      </c>
      <c r="V72" s="900">
        <f>IFERROR(LOOKUP(1,0/((成型機資料庫!$F$296:$F$316=J72)*(成型機資料庫!$G$296:$G$316=K72)),成型機資料庫!$L$296:$L$316),0)</f>
        <v>0</v>
      </c>
      <c r="W72" s="898">
        <f t="shared" si="12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3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23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4"/>
        <v>0</v>
      </c>
      <c r="O73" s="901">
        <f t="shared" si="9"/>
        <v>0</v>
      </c>
      <c r="P73" s="460"/>
      <c r="Q73" s="438">
        <f>IFERROR(LOOKUP(1,0/((成型機資料庫!$F$296:$F$316=J73)*(成型機資料庫!$G$296:$G$316=K73)),成型機資料庫!$K$296:$K$316),0)</f>
        <v>0</v>
      </c>
      <c r="R73" s="899">
        <f t="shared" si="10"/>
        <v>0</v>
      </c>
      <c r="S73" s="898">
        <f t="shared" si="11"/>
        <v>0</v>
      </c>
      <c r="T73" s="482">
        <f>IFERROR(LOOKUP(1,0/((成型機資料庫!$F$296:$F$316=J73)*(成型機資料庫!$G$296:$G$316=K73)),成型機資料庫!$I$296:$I$316),0)</f>
        <v>0</v>
      </c>
      <c r="U73" s="483">
        <f>IFERROR(LOOKUP(1,0/((成型機資料庫!$F$296:$F$316=J73)*(成型機資料庫!$G$296:$G$316=K73)),成型機資料庫!$J$296:$J$316),0)</f>
        <v>0</v>
      </c>
      <c r="V73" s="900">
        <f>IFERROR(LOOKUP(1,0/((成型機資料庫!$F$296:$F$316=J73)*(成型機資料庫!$G$296:$G$316=K73)),成型機資料庫!$L$296:$L$316),0)</f>
        <v>0</v>
      </c>
      <c r="W73" s="898">
        <f t="shared" si="12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3"/>
        <v>0</v>
      </c>
      <c r="AB73" s="438"/>
      <c r="AC73" s="482"/>
      <c r="AD73" s="464"/>
      <c r="AE73" s="464"/>
      <c r="AF73" s="438"/>
    </row>
    <row r="74" spans="1:32" s="433" customFormat="1" ht="15.75">
      <c r="A74" s="434">
        <v>113</v>
      </c>
      <c r="B74" s="434"/>
      <c r="C74" s="434">
        <v>24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4"/>
        <v>0</v>
      </c>
      <c r="O74" s="901">
        <f t="shared" si="9"/>
        <v>0</v>
      </c>
      <c r="P74" s="460"/>
      <c r="Q74" s="438">
        <f>IFERROR(LOOKUP(1,0/((成型機資料庫!$F$296:$F$316=J74)*(成型機資料庫!$G$296:$G$316=K74)),成型機資料庫!$K$296:$K$316),0)</f>
        <v>0</v>
      </c>
      <c r="R74" s="899">
        <f t="shared" si="10"/>
        <v>0</v>
      </c>
      <c r="S74" s="898">
        <f t="shared" si="11"/>
        <v>0</v>
      </c>
      <c r="T74" s="482">
        <f>IFERROR(LOOKUP(1,0/((成型機資料庫!$F$296:$F$316=J74)*(成型機資料庫!$G$296:$G$316=K74)),成型機資料庫!$I$296:$I$316),0)</f>
        <v>0</v>
      </c>
      <c r="U74" s="483">
        <f>IFERROR(LOOKUP(1,0/((成型機資料庫!$F$296:$F$316=J74)*(成型機資料庫!$G$296:$G$316=K74)),成型機資料庫!$J$296:$J$316),0)</f>
        <v>0</v>
      </c>
      <c r="V74" s="900">
        <f>IFERROR(LOOKUP(1,0/((成型機資料庫!$F$296:$F$316=J74)*(成型機資料庫!$G$296:$G$316=K74)),成型機資料庫!$L$296:$L$316),0)</f>
        <v>0</v>
      </c>
      <c r="W74" s="898">
        <f t="shared" si="12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3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25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4"/>
        <v>0</v>
      </c>
      <c r="O75" s="901">
        <f t="shared" si="9"/>
        <v>0</v>
      </c>
      <c r="P75" s="460"/>
      <c r="Q75" s="438">
        <f>IFERROR(LOOKUP(1,0/((成型機資料庫!$F$296:$F$316=J75)*(成型機資料庫!$G$296:$G$316=K75)),成型機資料庫!$K$296:$K$316),0)</f>
        <v>0</v>
      </c>
      <c r="R75" s="899">
        <f t="shared" si="10"/>
        <v>0</v>
      </c>
      <c r="S75" s="898">
        <f t="shared" si="11"/>
        <v>0</v>
      </c>
      <c r="T75" s="482">
        <f>IFERROR(LOOKUP(1,0/((成型機資料庫!$F$296:$F$316=J75)*(成型機資料庫!$G$296:$G$316=K75)),成型機資料庫!$I$296:$I$316),0)</f>
        <v>0</v>
      </c>
      <c r="U75" s="483">
        <f>IFERROR(LOOKUP(1,0/((成型機資料庫!$F$296:$F$316=J75)*(成型機資料庫!$G$296:$G$316=K75)),成型機資料庫!$J$296:$J$316),0)</f>
        <v>0</v>
      </c>
      <c r="V75" s="900">
        <f>IFERROR(LOOKUP(1,0/((成型機資料庫!$F$296:$F$316=J75)*(成型機資料庫!$G$296:$G$316=K75)),成型機資料庫!$L$296:$L$316),0)</f>
        <v>0</v>
      </c>
      <c r="W75" s="898">
        <f t="shared" si="12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3"/>
        <v>0</v>
      </c>
      <c r="AB75" s="438"/>
      <c r="AC75" s="482"/>
      <c r="AD75" s="464"/>
      <c r="AE75" s="464"/>
      <c r="AF75" s="438"/>
    </row>
    <row r="76" spans="1:32" s="433" customFormat="1" ht="15.75">
      <c r="A76" s="434">
        <v>113</v>
      </c>
      <c r="B76" s="434"/>
      <c r="C76" s="434">
        <v>26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4"/>
        <v>0</v>
      </c>
      <c r="O76" s="901">
        <f t="shared" si="9"/>
        <v>0</v>
      </c>
      <c r="P76" s="460"/>
      <c r="Q76" s="438">
        <f>IFERROR(LOOKUP(1,0/((成型機資料庫!$F$296:$F$316=J76)*(成型機資料庫!$G$296:$G$316=K76)),成型機資料庫!$K$296:$K$316),0)</f>
        <v>0</v>
      </c>
      <c r="R76" s="899">
        <f t="shared" si="10"/>
        <v>0</v>
      </c>
      <c r="S76" s="898">
        <f t="shared" si="11"/>
        <v>0</v>
      </c>
      <c r="T76" s="482">
        <f>IFERROR(LOOKUP(1,0/((成型機資料庫!$F$296:$F$316=J76)*(成型機資料庫!$G$296:$G$316=K76)),成型機資料庫!$I$296:$I$316),0)</f>
        <v>0</v>
      </c>
      <c r="U76" s="483">
        <f>IFERROR(LOOKUP(1,0/((成型機資料庫!$F$296:$F$316=J76)*(成型機資料庫!$G$296:$G$316=K76)),成型機資料庫!$J$296:$J$316),0)</f>
        <v>0</v>
      </c>
      <c r="V76" s="900">
        <f>IFERROR(LOOKUP(1,0/((成型機資料庫!$F$296:$F$316=J76)*(成型機資料庫!$G$296:$G$316=K76)),成型機資料庫!$L$296:$L$316),0)</f>
        <v>0</v>
      </c>
      <c r="W76" s="898">
        <f t="shared" si="12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3"/>
        <v>0</v>
      </c>
      <c r="AB76" s="438"/>
      <c r="AC76" s="482"/>
      <c r="AD76" s="438"/>
      <c r="AE76" s="464"/>
      <c r="AF76" s="438"/>
    </row>
    <row r="77" spans="1:32" s="433" customFormat="1" ht="15.75">
      <c r="A77" s="434">
        <v>113</v>
      </c>
      <c r="B77" s="434"/>
      <c r="C77" s="434">
        <v>27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4"/>
        <v>0</v>
      </c>
      <c r="O77" s="901">
        <f t="shared" si="9"/>
        <v>0</v>
      </c>
      <c r="P77" s="460"/>
      <c r="Q77" s="438">
        <f>IFERROR(LOOKUP(1,0/((成型機資料庫!$F$296:$F$316=J77)*(成型機資料庫!$G$296:$G$316=K77)),成型機資料庫!$K$296:$K$316),0)</f>
        <v>0</v>
      </c>
      <c r="R77" s="899">
        <f t="shared" si="10"/>
        <v>0</v>
      </c>
      <c r="S77" s="898">
        <f t="shared" si="11"/>
        <v>0</v>
      </c>
      <c r="T77" s="482">
        <f>IFERROR(LOOKUP(1,0/((成型機資料庫!$F$296:$F$316=J77)*(成型機資料庫!$G$296:$G$316=K77)),成型機資料庫!$I$296:$I$316),0)</f>
        <v>0</v>
      </c>
      <c r="U77" s="483">
        <f>IFERROR(LOOKUP(1,0/((成型機資料庫!$F$296:$F$316=J77)*(成型機資料庫!$G$296:$G$316=K77)),成型機資料庫!$J$296:$J$316),0)</f>
        <v>0</v>
      </c>
      <c r="V77" s="900">
        <f>IFERROR(LOOKUP(1,0/((成型機資料庫!$F$296:$F$316=J77)*(成型機資料庫!$G$296:$G$316=K77)),成型機資料庫!$L$296:$L$316),0)</f>
        <v>0</v>
      </c>
      <c r="W77" s="898">
        <f t="shared" si="12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3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581"/>
      <c r="C78" s="581">
        <v>28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4"/>
        <v>0</v>
      </c>
      <c r="O78" s="901">
        <f t="shared" si="9"/>
        <v>0</v>
      </c>
      <c r="P78" s="460"/>
      <c r="Q78" s="438">
        <f>IFERROR(LOOKUP(1,0/((成型機資料庫!$F$296:$F$316=J78)*(成型機資料庫!$G$296:$G$316=K78)),成型機資料庫!$K$296:$K$316),0)</f>
        <v>0</v>
      </c>
      <c r="R78" s="899">
        <f t="shared" si="10"/>
        <v>0</v>
      </c>
      <c r="S78" s="898">
        <f t="shared" si="11"/>
        <v>0</v>
      </c>
      <c r="T78" s="482">
        <f>IFERROR(LOOKUP(1,0/((成型機資料庫!$F$296:$F$316=J78)*(成型機資料庫!$G$296:$G$316=K78)),成型機資料庫!$I$296:$I$316),0)</f>
        <v>0</v>
      </c>
      <c r="U78" s="483">
        <f>IFERROR(LOOKUP(1,0/((成型機資料庫!$F$296:$F$316=J78)*(成型機資料庫!$G$296:$G$316=K78)),成型機資料庫!$J$296:$J$316),0)</f>
        <v>0</v>
      </c>
      <c r="V78" s="900">
        <f>IFERROR(LOOKUP(1,0/((成型機資料庫!$F$296:$F$316=J78)*(成型機資料庫!$G$296:$G$316=K78)),成型機資料庫!$L$296:$L$316),0)</f>
        <v>0</v>
      </c>
      <c r="W78" s="898">
        <f t="shared" si="12"/>
        <v>0</v>
      </c>
      <c r="X78" s="923">
        <f t="shared" si="15"/>
        <v>0</v>
      </c>
      <c r="Y78" s="898">
        <f t="shared" si="16"/>
        <v>0</v>
      </c>
      <c r="Z78" s="923"/>
      <c r="AA78" s="478">
        <f t="shared" si="13"/>
        <v>0</v>
      </c>
      <c r="AB78" s="438"/>
      <c r="AC78" s="482"/>
      <c r="AD78" s="464"/>
      <c r="AE78" s="438"/>
      <c r="AF78" s="438"/>
    </row>
    <row r="79" spans="1:32" s="433" customFormat="1" ht="15.75">
      <c r="A79" s="434">
        <v>113</v>
      </c>
      <c r="B79" s="581"/>
      <c r="C79" s="581">
        <v>29</v>
      </c>
      <c r="D79" s="581"/>
      <c r="E79" s="581" t="s">
        <v>43</v>
      </c>
      <c r="F79" s="436" t="s">
        <v>44</v>
      </c>
      <c r="G79" s="926"/>
      <c r="H79" s="464"/>
      <c r="I79" s="429"/>
      <c r="J79" s="429"/>
      <c r="K79" s="429"/>
      <c r="L79" s="464"/>
      <c r="M79" s="464"/>
      <c r="N79" s="900">
        <f t="shared" si="14"/>
        <v>0</v>
      </c>
      <c r="O79" s="901">
        <f t="shared" si="9"/>
        <v>0</v>
      </c>
      <c r="P79" s="460"/>
      <c r="Q79" s="438">
        <f>IFERROR(LOOKUP(1,0/((成型機資料庫!$F$296:$F$316=J79)*(成型機資料庫!$G$296:$G$316=K79)),成型機資料庫!$K$296:$K$316),0)</f>
        <v>0</v>
      </c>
      <c r="R79" s="899">
        <f t="shared" si="10"/>
        <v>0</v>
      </c>
      <c r="S79" s="898">
        <f t="shared" si="11"/>
        <v>0</v>
      </c>
      <c r="T79" s="482">
        <f>IFERROR(LOOKUP(1,0/((成型機資料庫!$F$296:$F$316=J79)*(成型機資料庫!$G$296:$G$316=K79)),成型機資料庫!$I$296:$I$316),0)</f>
        <v>0</v>
      </c>
      <c r="U79" s="483">
        <f>IFERROR(LOOKUP(1,0/((成型機資料庫!$F$296:$F$316=J79)*(成型機資料庫!$G$296:$G$316=K79)),成型機資料庫!$J$296:$J$316),0)</f>
        <v>0</v>
      </c>
      <c r="V79" s="900">
        <f>IFERROR(LOOKUP(1,0/((成型機資料庫!$F$296:$F$316=J79)*(成型機資料庫!$G$296:$G$316=K79)),成型機資料庫!$L$296:$L$316),0)</f>
        <v>0</v>
      </c>
      <c r="W79" s="898">
        <f t="shared" si="12"/>
        <v>0</v>
      </c>
      <c r="X79" s="923">
        <f t="shared" si="15"/>
        <v>0</v>
      </c>
      <c r="Y79" s="898">
        <f t="shared" si="16"/>
        <v>0</v>
      </c>
      <c r="Z79" s="923"/>
      <c r="AA79" s="478">
        <f t="shared" si="13"/>
        <v>0</v>
      </c>
      <c r="AB79" s="438"/>
      <c r="AC79" s="482"/>
      <c r="AD79" s="464"/>
      <c r="AE79" s="464"/>
      <c r="AF79" s="438"/>
    </row>
    <row r="80" spans="1:32" s="433" customFormat="1" ht="15.75">
      <c r="A80" s="434">
        <v>113</v>
      </c>
      <c r="B80" s="581"/>
      <c r="C80" s="581">
        <v>30</v>
      </c>
      <c r="D80" s="581"/>
      <c r="E80" s="581" t="s">
        <v>43</v>
      </c>
      <c r="F80" s="436" t="s">
        <v>44</v>
      </c>
      <c r="G80" s="926"/>
      <c r="H80" s="464"/>
      <c r="I80" s="429"/>
      <c r="J80" s="429"/>
      <c r="K80" s="429"/>
      <c r="L80" s="464"/>
      <c r="M80" s="464"/>
      <c r="N80" s="900">
        <f t="shared" si="14"/>
        <v>0</v>
      </c>
      <c r="O80" s="901">
        <f t="shared" si="9"/>
        <v>0</v>
      </c>
      <c r="P80" s="460"/>
      <c r="Q80" s="438">
        <f>IFERROR(LOOKUP(1,0/((成型機資料庫!$F$296:$F$316=J80)*(成型機資料庫!$G$296:$G$316=K80)),成型機資料庫!$K$296:$K$316),0)</f>
        <v>0</v>
      </c>
      <c r="R80" s="899">
        <f t="shared" si="10"/>
        <v>0</v>
      </c>
      <c r="S80" s="898">
        <f t="shared" si="11"/>
        <v>0</v>
      </c>
      <c r="T80" s="482">
        <f>IFERROR(LOOKUP(1,0/((成型機資料庫!$F$296:$F$316=J80)*(成型機資料庫!$G$296:$G$316=K80)),成型機資料庫!$I$296:$I$316),0)</f>
        <v>0</v>
      </c>
      <c r="U80" s="483">
        <f>IFERROR(LOOKUP(1,0/((成型機資料庫!$F$296:$F$316=J80)*(成型機資料庫!$G$296:$G$316=K80)),成型機資料庫!$J$296:$J$316),0)</f>
        <v>0</v>
      </c>
      <c r="V80" s="900">
        <f>IFERROR(LOOKUP(1,0/((成型機資料庫!$F$296:$F$316=J80)*(成型機資料庫!$G$296:$G$316=K80)),成型機資料庫!$L$296:$L$316),0)</f>
        <v>0</v>
      </c>
      <c r="W80" s="898">
        <f t="shared" si="12"/>
        <v>0</v>
      </c>
      <c r="X80" s="923">
        <f t="shared" si="15"/>
        <v>0</v>
      </c>
      <c r="Y80" s="898">
        <f t="shared" si="16"/>
        <v>0</v>
      </c>
      <c r="Z80" s="923"/>
      <c r="AA80" s="478">
        <f t="shared" si="13"/>
        <v>0</v>
      </c>
      <c r="AB80" s="438"/>
      <c r="AC80" s="482"/>
      <c r="AD80" s="464"/>
      <c r="AE80" s="438"/>
      <c r="AF80" s="438"/>
    </row>
    <row r="81" spans="1:32" s="433" customFormat="1" ht="15.75">
      <c r="A81" s="446"/>
      <c r="B81" s="456"/>
      <c r="C81" s="456"/>
      <c r="D81" s="456"/>
      <c r="E81" s="456"/>
      <c r="F81" s="448"/>
      <c r="G81" s="951"/>
      <c r="H81" s="452"/>
      <c r="I81" s="430"/>
      <c r="J81" s="469"/>
      <c r="K81" s="469"/>
      <c r="L81" s="452"/>
      <c r="M81" s="452"/>
      <c r="N81" s="945"/>
      <c r="O81" s="946"/>
      <c r="P81" s="868"/>
      <c r="Q81" s="467"/>
      <c r="R81" s="948"/>
      <c r="S81" s="936"/>
      <c r="T81" s="936"/>
      <c r="U81" s="936"/>
      <c r="V81" s="945"/>
      <c r="W81" s="936"/>
      <c r="X81" s="947"/>
      <c r="Y81" s="936"/>
      <c r="Z81" s="947"/>
      <c r="AA81" s="488"/>
      <c r="AB81" s="439"/>
      <c r="AC81" s="471"/>
      <c r="AD81" s="452"/>
      <c r="AE81" s="439"/>
      <c r="AF81" s="439"/>
    </row>
    <row r="82" spans="1:32" s="433" customFormat="1" ht="15.75">
      <c r="A82" s="446"/>
      <c r="B82" s="456"/>
      <c r="C82" s="456"/>
      <c r="D82" s="456"/>
      <c r="E82" s="456"/>
      <c r="F82" s="448"/>
      <c r="G82" s="951"/>
      <c r="H82" s="452"/>
      <c r="I82" s="430"/>
      <c r="J82" s="469"/>
      <c r="K82" s="469"/>
      <c r="L82" s="452"/>
      <c r="M82" s="452"/>
      <c r="N82" s="945"/>
      <c r="O82" s="946"/>
      <c r="P82" s="868"/>
      <c r="Q82" s="467"/>
      <c r="R82" s="948"/>
      <c r="S82" s="936"/>
      <c r="T82" s="936"/>
      <c r="U82" s="936"/>
      <c r="V82" s="945"/>
      <c r="W82" s="936"/>
      <c r="X82" s="947"/>
      <c r="Y82" s="936"/>
      <c r="Z82" s="947"/>
      <c r="AA82" s="488"/>
      <c r="AB82" s="439"/>
      <c r="AC82" s="471"/>
      <c r="AD82" s="452"/>
      <c r="AE82" s="439"/>
      <c r="AF82" s="439"/>
    </row>
    <row r="83" spans="1:32" s="433" customFormat="1" thickBot="1">
      <c r="A83" s="446"/>
      <c r="B83" s="446"/>
      <c r="C83" s="446"/>
      <c r="D83" s="446"/>
      <c r="E83" s="446"/>
      <c r="F83" s="448"/>
      <c r="G83" s="448"/>
      <c r="H83" s="430"/>
      <c r="I83" s="430"/>
      <c r="J83" s="430"/>
      <c r="K83" s="430"/>
      <c r="L83" s="439"/>
      <c r="M83" s="452"/>
      <c r="N83" s="452"/>
      <c r="O83" s="457"/>
      <c r="P83" s="466"/>
      <c r="Q83" s="467"/>
      <c r="R83" s="486"/>
      <c r="S83" s="457"/>
      <c r="T83" s="457"/>
      <c r="U83" s="457"/>
      <c r="V83" s="458"/>
      <c r="W83" s="487">
        <f>SUM(W51:W80)</f>
        <v>0</v>
      </c>
      <c r="X83" s="487"/>
      <c r="Y83" s="487"/>
      <c r="Z83" s="487"/>
      <c r="AA83" s="488"/>
      <c r="AB83" s="489"/>
      <c r="AC83" s="489"/>
      <c r="AD83" s="469" t="s">
        <v>46</v>
      </c>
      <c r="AE83" s="439"/>
      <c r="AF83" s="439"/>
    </row>
    <row r="84" spans="1:32" s="469" customFormat="1" ht="31.5">
      <c r="A84" s="479"/>
      <c r="B84" s="479"/>
      <c r="C84" s="479"/>
      <c r="D84" s="479"/>
      <c r="E84" s="479"/>
      <c r="F84" s="452"/>
      <c r="G84" s="524" t="s">
        <v>503</v>
      </c>
      <c r="H84" s="517"/>
      <c r="I84" s="518"/>
      <c r="L84" s="1842" t="s">
        <v>1349</v>
      </c>
      <c r="M84" s="525" t="s">
        <v>1294</v>
      </c>
      <c r="N84" s="525" t="s">
        <v>1295</v>
      </c>
      <c r="O84" s="526" t="s">
        <v>458</v>
      </c>
      <c r="P84" s="520"/>
      <c r="Q84" s="521"/>
      <c r="R84" s="524" t="s">
        <v>504</v>
      </c>
      <c r="S84" s="524" t="s">
        <v>455</v>
      </c>
      <c r="T84" s="521"/>
      <c r="U84" s="521"/>
      <c r="V84" s="524" t="s">
        <v>1293</v>
      </c>
      <c r="W84" s="524" t="s">
        <v>459</v>
      </c>
      <c r="X84" s="521"/>
      <c r="Y84" s="524" t="s">
        <v>1345</v>
      </c>
      <c r="Z84" s="524" t="s">
        <v>1350</v>
      </c>
      <c r="AA84" s="524" t="s">
        <v>1351</v>
      </c>
      <c r="AB84" s="524" t="s">
        <v>1353</v>
      </c>
      <c r="AC84" s="524" t="s">
        <v>1352</v>
      </c>
      <c r="AD84" s="469" t="s">
        <v>253</v>
      </c>
      <c r="AE84" s="452"/>
      <c r="AF84" s="452"/>
    </row>
    <row r="85" spans="1:32" thickBot="1">
      <c r="G85" s="522">
        <f>SUM(G51:G80)</f>
        <v>0</v>
      </c>
      <c r="I85" s="431"/>
      <c r="J85" s="518"/>
      <c r="K85" s="518"/>
      <c r="L85" s="1843"/>
      <c r="M85" s="522">
        <f>SUM(M51:M80)</f>
        <v>0</v>
      </c>
      <c r="N85" s="522">
        <f>SUM(N51:N80)</f>
        <v>0</v>
      </c>
      <c r="O85" s="902">
        <f>SUM(O51:O80)</f>
        <v>0</v>
      </c>
      <c r="P85" s="470"/>
      <c r="R85" s="924">
        <f>SUM(R51:R80)</f>
        <v>0</v>
      </c>
      <c r="S85" s="897" t="e">
        <f>(G85-R85)/G85</f>
        <v>#DIV/0!</v>
      </c>
      <c r="T85" s="446"/>
      <c r="U85" s="446"/>
      <c r="V85" s="686" t="e">
        <f>N85/W85</f>
        <v>#DIV/0!</v>
      </c>
      <c r="W85" s="516" t="e">
        <f>W83/Y85</f>
        <v>#DIV/0!</v>
      </c>
      <c r="X85" s="446"/>
      <c r="Y85" s="516"/>
      <c r="Z85" s="958">
        <f>SUM(Z51:Z80)</f>
        <v>0</v>
      </c>
      <c r="AA85" s="516">
        <f>SUM(AA51:AA80)</f>
        <v>0</v>
      </c>
      <c r="AB85" s="516">
        <f>Z85-AA85</f>
        <v>0</v>
      </c>
      <c r="AC85" s="896" t="e">
        <f>AA85/Z85</f>
        <v>#DIV/0!</v>
      </c>
    </row>
    <row r="86" spans="1:32">
      <c r="O86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  <mergeCell ref="K49:K50"/>
    <mergeCell ref="F49:F50"/>
    <mergeCell ref="G49:G50"/>
    <mergeCell ref="H49:H50"/>
    <mergeCell ref="I49:I50"/>
    <mergeCell ref="J49:J50"/>
    <mergeCell ref="A49:A50"/>
    <mergeCell ref="B49:B50"/>
    <mergeCell ref="C49:C50"/>
    <mergeCell ref="D49:D50"/>
    <mergeCell ref="E49:E50"/>
    <mergeCell ref="AF2:AF3"/>
    <mergeCell ref="L45:L46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B2:AC2"/>
    <mergeCell ref="AD2:AD3"/>
    <mergeCell ref="AE2:AE3"/>
    <mergeCell ref="M49:M50"/>
    <mergeCell ref="N49:N50"/>
    <mergeCell ref="O49:O50"/>
    <mergeCell ref="Q49:Q50"/>
    <mergeCell ref="AE49:AE50"/>
    <mergeCell ref="AF49:AF50"/>
    <mergeCell ref="L84:L85"/>
    <mergeCell ref="X49:X50"/>
    <mergeCell ref="Y49:Y50"/>
    <mergeCell ref="Z49:Z50"/>
    <mergeCell ref="AA49:AA50"/>
    <mergeCell ref="AB49:AC49"/>
    <mergeCell ref="AD49:AD50"/>
    <mergeCell ref="R49:R50"/>
    <mergeCell ref="S49:S50"/>
    <mergeCell ref="T49:T50"/>
    <mergeCell ref="U49:U50"/>
    <mergeCell ref="V49:V50"/>
    <mergeCell ref="W49:W50"/>
    <mergeCell ref="L49:L50"/>
    <mergeCell ref="P49:P50"/>
  </mergeCells>
  <phoneticPr fontId="26" type="noConversion"/>
  <conditionalFormatting sqref="G1:G65538">
    <cfRule type="cellIs" dxfId="346" priority="3" stopIfTrue="1" operator="equal">
      <formula>"未開機"</formula>
    </cfRule>
  </conditionalFormatting>
  <conditionalFormatting sqref="R51:U82">
    <cfRule type="expression" dxfId="345" priority="1" stopIfTrue="1">
      <formula>R51=0</formula>
    </cfRule>
  </conditionalFormatting>
  <conditionalFormatting sqref="W12:W43">
    <cfRule type="cellIs" dxfId="344" priority="34" stopIfTrue="1" operator="between">
      <formula>0.851</formula>
      <formula>1</formula>
    </cfRule>
    <cfRule type="cellIs" dxfId="343" priority="33" stopIfTrue="1" operator="lessThan">
      <formula>0.7</formula>
    </cfRule>
    <cfRule type="expression" dxfId="342" priority="32" stopIfTrue="1">
      <formula>W12=0</formula>
    </cfRule>
    <cfRule type="expression" dxfId="341" priority="36" stopIfTrue="1">
      <formula>W12=0</formula>
    </cfRule>
    <cfRule type="cellIs" dxfId="340" priority="35" stopIfTrue="1" operator="between">
      <formula>0.7</formula>
      <formula>0.85</formula>
    </cfRule>
  </conditionalFormatting>
  <conditionalFormatting sqref="W51:W82">
    <cfRule type="expression" dxfId="339" priority="15" stopIfTrue="1">
      <formula>W51=0</formula>
    </cfRule>
    <cfRule type="cellIs" dxfId="338" priority="16" stopIfTrue="1" operator="lessThan">
      <formula>0.7</formula>
    </cfRule>
    <cfRule type="cellIs" dxfId="337" priority="17" stopIfTrue="1" operator="between">
      <formula>0.851</formula>
      <formula>1</formula>
    </cfRule>
    <cfRule type="cellIs" dxfId="336" priority="18" stopIfTrue="1" operator="between">
      <formula>0.7</formula>
      <formula>0.85</formula>
    </cfRule>
    <cfRule type="expression" dxfId="335" priority="19" stopIfTrue="1">
      <formula>W51=0</formula>
    </cfRule>
  </conditionalFormatting>
  <conditionalFormatting sqref="W4:Y10 S4:U4 S5:S10 T5:U41 R12:S41 Z12:Z43 R42:U43">
    <cfRule type="expression" dxfId="334" priority="41" stopIfTrue="1">
      <formula>R4=0</formula>
    </cfRule>
  </conditionalFormatting>
  <conditionalFormatting sqref="W4:Y10">
    <cfRule type="expression" dxfId="333" priority="37" stopIfTrue="1">
      <formula>W4=0</formula>
    </cfRule>
    <cfRule type="cellIs" dxfId="332" priority="38" stopIfTrue="1" operator="lessThan">
      <formula>0.7</formula>
    </cfRule>
    <cfRule type="cellIs" dxfId="331" priority="39" stopIfTrue="1" operator="between">
      <formula>0.851</formula>
      <formula>1</formula>
    </cfRule>
    <cfRule type="cellIs" dxfId="330" priority="40" stopIfTrue="1" operator="between">
      <formula>0.7</formula>
      <formula>0.85</formula>
    </cfRule>
  </conditionalFormatting>
  <conditionalFormatting sqref="X13:X43">
    <cfRule type="cellIs" dxfId="329" priority="22" stopIfTrue="1" operator="lessThan">
      <formula>0.7</formula>
    </cfRule>
    <cfRule type="cellIs" dxfId="328" priority="23" stopIfTrue="1" operator="between">
      <formula>0.851</formula>
      <formula>1</formula>
    </cfRule>
    <cfRule type="cellIs" dxfId="327" priority="24" stopIfTrue="1" operator="between">
      <formula>0.7</formula>
      <formula>0.85</formula>
    </cfRule>
    <cfRule type="expression" dxfId="326" priority="25" stopIfTrue="1">
      <formula>X13=0</formula>
    </cfRule>
    <cfRule type="expression" dxfId="325" priority="21" stopIfTrue="1">
      <formula>X13=0</formula>
    </cfRule>
  </conditionalFormatting>
  <conditionalFormatting sqref="X52:X82">
    <cfRule type="expression" dxfId="324" priority="4" stopIfTrue="1">
      <formula>X52=0</formula>
    </cfRule>
    <cfRule type="cellIs" dxfId="323" priority="5" stopIfTrue="1" operator="lessThan">
      <formula>0.7</formula>
    </cfRule>
    <cfRule type="cellIs" dxfId="322" priority="6" stopIfTrue="1" operator="between">
      <formula>0.851</formula>
      <formula>1</formula>
    </cfRule>
    <cfRule type="cellIs" dxfId="321" priority="7" stopIfTrue="1" operator="between">
      <formula>0.7</formula>
      <formula>0.85</formula>
    </cfRule>
    <cfRule type="expression" dxfId="320" priority="8" stopIfTrue="1">
      <formula>X52=0</formula>
    </cfRule>
  </conditionalFormatting>
  <conditionalFormatting sqref="X12:Y12 Y13:Y43">
    <cfRule type="expression" dxfId="319" priority="27" stopIfTrue="1">
      <formula>X12=0</formula>
    </cfRule>
    <cfRule type="cellIs" dxfId="318" priority="28" stopIfTrue="1" operator="lessThan">
      <formula>0.7</formula>
    </cfRule>
    <cfRule type="cellIs" dxfId="317" priority="29" stopIfTrue="1" operator="between">
      <formula>0.851</formula>
      <formula>1</formula>
    </cfRule>
    <cfRule type="cellIs" dxfId="316" priority="30" stopIfTrue="1" operator="between">
      <formula>0.7</formula>
      <formula>0.85</formula>
    </cfRule>
    <cfRule type="expression" dxfId="315" priority="31" stopIfTrue="1">
      <formula>X12=0</formula>
    </cfRule>
  </conditionalFormatting>
  <conditionalFormatting sqref="X51:Y51 Y52:Y82">
    <cfRule type="expression" dxfId="314" priority="10" stopIfTrue="1">
      <formula>X51=0</formula>
    </cfRule>
    <cfRule type="expression" dxfId="313" priority="14" stopIfTrue="1">
      <formula>X51=0</formula>
    </cfRule>
    <cfRule type="cellIs" dxfId="312" priority="13" stopIfTrue="1" operator="between">
      <formula>0.7</formula>
      <formula>0.85</formula>
    </cfRule>
    <cfRule type="cellIs" dxfId="311" priority="12" stopIfTrue="1" operator="between">
      <formula>0.851</formula>
      <formula>1</formula>
    </cfRule>
    <cfRule type="cellIs" dxfId="310" priority="11" stopIfTrue="1" operator="lessThan">
      <formula>0.7</formula>
    </cfRule>
  </conditionalFormatting>
  <conditionalFormatting sqref="Y12:Y43">
    <cfRule type="cellIs" dxfId="309" priority="26" stopIfTrue="1" operator="greaterThan">
      <formula>1</formula>
    </cfRule>
  </conditionalFormatting>
  <conditionalFormatting sqref="Y51:Y82">
    <cfRule type="cellIs" dxfId="308" priority="9" stopIfTrue="1" operator="greaterThan">
      <formula>1</formula>
    </cfRule>
  </conditionalFormatting>
  <conditionalFormatting sqref="Z51:Z82">
    <cfRule type="expression" dxfId="307" priority="20" stopIfTrue="1">
      <formula>Z51=0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10B542F-E7DB-4971-B857-AAD98A86D254}">
          <x14:formula1>
            <xm:f>成型機資料庫!$A$9:$A$11</xm:f>
          </x14:formula1>
          <xm:sqref>K4:K41 K51:K80</xm:sqref>
        </x14:dataValidation>
        <x14:dataValidation type="list" allowBlank="1" showInputMessage="1" showErrorMessage="1" xr:uid="{AE92DF32-B3EE-43C6-AA83-9AEF68967364}">
          <x14:formula1>
            <xm:f>規格清單!$E$42:$E$48</xm:f>
          </x14:formula1>
          <xm:sqref>J51:J80 J4:J41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D84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 activeCell="Q4" sqref="Q4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1347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6" t="s">
        <v>44</v>
      </c>
      <c r="G4" s="464"/>
      <c r="H4" s="464" t="s">
        <v>996</v>
      </c>
      <c r="I4" s="535" t="s">
        <v>387</v>
      </c>
      <c r="J4" s="429" t="s">
        <v>1398</v>
      </c>
      <c r="K4" s="429" t="s">
        <v>1301</v>
      </c>
      <c r="L4" s="464">
        <v>310</v>
      </c>
      <c r="M4" s="464"/>
      <c r="N4" s="464"/>
      <c r="O4" s="443">
        <f>L4*M4</f>
        <v>0</v>
      </c>
      <c r="P4" s="461">
        <v>1.9</v>
      </c>
      <c r="Q4" s="438">
        <f>IFERROR(LOOKUP(1,0/((成型機資料庫!$F$317:$F$331=J4)*(成型機資料庫!$G$317:$G$331=K4)),成型機資料庫!$K$317:$K$331),0)</f>
        <v>2500</v>
      </c>
      <c r="R4" s="477">
        <f>M4*Q4*P4/1000</f>
        <v>0</v>
      </c>
      <c r="S4" s="898">
        <f>IFERROR((G4-R4)/G4,0)</f>
        <v>0</v>
      </c>
      <c r="T4" s="923">
        <f>IFERROR(LOOKUP(1,0/((成型機資料庫!$F$317:$F$331=J4)*(成型機資料庫!$G$317:$G$331=K4)),成型機資料庫!$I$317:$I$331),0)</f>
        <v>27</v>
      </c>
      <c r="U4" s="944">
        <f>IFERROR(LOOKUP(1,0/((成型機資料庫!$F$317:$F$331=J4)*(成型機資料庫!$G$317:$G$331=K4)),成型機資料庫!$J$317:$J$331),0)</f>
        <v>20</v>
      </c>
      <c r="V4" s="900">
        <f>IFERROR(LOOKUP(1,0/((成型機資料庫!$F$317:$F$331=J4)*(成型機資料庫!$G$317:$G$331=K4)),成型機資料庫!$L$317:$L$331),0)</f>
        <v>142.56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6" t="s">
        <v>44</v>
      </c>
      <c r="G5" s="464"/>
      <c r="H5" s="464" t="s">
        <v>438</v>
      </c>
      <c r="I5" s="429" t="s">
        <v>495</v>
      </c>
      <c r="J5" s="429" t="s">
        <v>1399</v>
      </c>
      <c r="K5" s="429" t="s">
        <v>1301</v>
      </c>
      <c r="L5" s="464">
        <v>310</v>
      </c>
      <c r="M5" s="464"/>
      <c r="N5" s="464"/>
      <c r="O5" s="443">
        <f t="shared" ref="O5:O9" si="0">L5*M5</f>
        <v>0</v>
      </c>
      <c r="P5" s="461">
        <v>1.9</v>
      </c>
      <c r="Q5" s="438">
        <f>IFERROR(LOOKUP(1,0/((成型機資料庫!$F$317:$F$331=J5)*(成型機資料庫!$G$317:$G$331=K5)),成型機資料庫!$K$317:$K$331),0)</f>
        <v>2500</v>
      </c>
      <c r="R5" s="477"/>
      <c r="S5" s="898"/>
      <c r="T5" s="923">
        <f>IFERROR(LOOKUP(1,0/((成型機資料庫!$F$317:$F$331=J5)*(成型機資料庫!$G$317:$G$331=K5)),成型機資料庫!$I$317:$I$331),0)</f>
        <v>27</v>
      </c>
      <c r="U5" s="944">
        <f>IFERROR(LOOKUP(1,0/((成型機資料庫!$F$317:$F$331=J5)*(成型機資料庫!$G$317:$G$331=K5)),成型機資料庫!$J$317:$J$331),0)</f>
        <v>20</v>
      </c>
      <c r="V5" s="900">
        <f>IFERROR(LOOKUP(1,0/((成型機資料庫!$F$317:$F$331=J5)*(成型機資料庫!$G$317:$G$331=K5)),成型機資料庫!$L$317:$L$331),0)</f>
        <v>142.56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6" t="s">
        <v>44</v>
      </c>
      <c r="G6" s="464"/>
      <c r="H6" s="464" t="s">
        <v>438</v>
      </c>
      <c r="I6" s="535" t="s">
        <v>505</v>
      </c>
      <c r="J6" s="429" t="s">
        <v>1400</v>
      </c>
      <c r="K6" s="429" t="s">
        <v>1301</v>
      </c>
      <c r="L6" s="464">
        <v>125</v>
      </c>
      <c r="M6" s="464"/>
      <c r="N6" s="464"/>
      <c r="O6" s="443">
        <f t="shared" si="0"/>
        <v>0</v>
      </c>
      <c r="P6" s="461">
        <v>2.8</v>
      </c>
      <c r="Q6" s="438">
        <f>IFERROR(LOOKUP(1,0/((成型機資料庫!$F$317:$F$331=J6)*(成型機資料庫!$G$317:$G$331=K6)),成型機資料庫!$K$317:$K$331),0)</f>
        <v>2500</v>
      </c>
      <c r="R6" s="477"/>
      <c r="S6" s="898"/>
      <c r="T6" s="923">
        <f>IFERROR(LOOKUP(1,0/((成型機資料庫!$F$317:$F$331=J6)*(成型機資料庫!$G$317:$G$331=K6)),成型機資料庫!$I$317:$I$331),0)</f>
        <v>24</v>
      </c>
      <c r="U6" s="944">
        <f>IFERROR(LOOKUP(1,0/((成型機資料庫!$F$317:$F$331=J6)*(成型機資料庫!$G$317:$G$331=K6)),成型機資料庫!$J$317:$J$331),0)</f>
        <v>19</v>
      </c>
      <c r="V6" s="900">
        <f>IFERROR(LOOKUP(1,0/((成型機資料庫!$F$317:$F$331=J6)*(成型機資料庫!$G$317:$G$331=K6)),成型機資料庫!$L$317:$L$331),0)</f>
        <v>120.384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6" t="s">
        <v>1420</v>
      </c>
      <c r="G7" s="464"/>
      <c r="H7" s="464" t="s">
        <v>438</v>
      </c>
      <c r="I7" s="535" t="s">
        <v>481</v>
      </c>
      <c r="J7" s="429" t="s">
        <v>1343</v>
      </c>
      <c r="K7" s="429" t="s">
        <v>1301</v>
      </c>
      <c r="L7" s="464">
        <v>125</v>
      </c>
      <c r="M7" s="464"/>
      <c r="N7" s="464"/>
      <c r="O7" s="443">
        <f t="shared" si="0"/>
        <v>0</v>
      </c>
      <c r="P7" s="461">
        <v>4</v>
      </c>
      <c r="Q7" s="438">
        <f>IFERROR(LOOKUP(1,0/((成型機資料庫!$F$317:$F$331=J7)*(成型機資料庫!$G$317:$G$331=K7)),成型機資料庫!$K$317:$K$331),0)</f>
        <v>2500</v>
      </c>
      <c r="R7" s="477"/>
      <c r="S7" s="898"/>
      <c r="T7" s="923">
        <f>IFERROR(LOOKUP(1,0/((成型機資料庫!$F$317:$F$331=J7)*(成型機資料庫!$G$317:$G$331=K7)),成型機資料庫!$I$317:$I$331),0)</f>
        <v>24</v>
      </c>
      <c r="U7" s="944">
        <f>IFERROR(LOOKUP(1,0/((成型機資料庫!$F$317:$F$331=J7)*(成型機資料庫!$G$317:$G$331=K7)),成型機資料庫!$J$317:$J$331),0)</f>
        <v>19</v>
      </c>
      <c r="V7" s="900">
        <f>IFERROR(LOOKUP(1,0/((成型機資料庫!$F$317:$F$331=J7)*(成型機資料庫!$G$317:$G$331=K7)),成型機資料庫!$L$317:$L$331),0)</f>
        <v>120.384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6" t="s">
        <v>44</v>
      </c>
      <c r="G8" s="464"/>
      <c r="H8" s="437"/>
      <c r="I8" s="535" t="s">
        <v>650</v>
      </c>
      <c r="J8" s="429" t="s">
        <v>1344</v>
      </c>
      <c r="K8" s="429" t="s">
        <v>1301</v>
      </c>
      <c r="L8" s="437">
        <v>125</v>
      </c>
      <c r="M8" s="464"/>
      <c r="N8" s="464"/>
      <c r="O8" s="443">
        <f t="shared" si="0"/>
        <v>0</v>
      </c>
      <c r="P8" s="540">
        <v>4</v>
      </c>
      <c r="Q8" s="438">
        <f>IFERROR(LOOKUP(1,0/((成型機資料庫!$F$317:$F$331=J8)*(成型機資料庫!$G$317:$G$331=K8)),成型機資料庫!$K$317:$K$331),0)</f>
        <v>2500</v>
      </c>
      <c r="R8" s="477"/>
      <c r="S8" s="898"/>
      <c r="T8" s="923">
        <f>IFERROR(LOOKUP(1,0/((成型機資料庫!$F$317:$F$331=J8)*(成型機資料庫!$G$317:$G$331=K8)),成型機資料庫!$I$317:$I$331),0)</f>
        <v>24</v>
      </c>
      <c r="U8" s="944">
        <f>IFERROR(LOOKUP(1,0/((成型機資料庫!$F$317:$F$331=J8)*(成型機資料庫!$G$317:$G$331=K8)),成型機資料庫!$J$317:$J$331),0)</f>
        <v>19</v>
      </c>
      <c r="V8" s="900">
        <f>IFERROR(LOOKUP(1,0/((成型機資料庫!$F$317:$F$331=J8)*(成型機資料庫!$G$317:$G$331=K8)),成型機資料庫!$L$317:$L$331),0)</f>
        <v>120.384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thickBot="1">
      <c r="A9" s="496"/>
      <c r="B9" s="496"/>
      <c r="C9" s="496"/>
      <c r="D9" s="496"/>
      <c r="E9" s="496"/>
      <c r="F9" s="497"/>
      <c r="G9" s="500"/>
      <c r="H9" s="500"/>
      <c r="I9" s="498"/>
      <c r="J9" s="498"/>
      <c r="K9" s="498"/>
      <c r="L9" s="500"/>
      <c r="M9" s="500"/>
      <c r="N9" s="500"/>
      <c r="O9" s="501">
        <f t="shared" si="0"/>
        <v>0</v>
      </c>
      <c r="P9" s="528"/>
      <c r="Q9" s="499">
        <f>IFERROR(LOOKUP(1,0/((成型機資料庫!$F$317:$F$331=J9)*(成型機資料庫!$G$317:$G$331=K9)),成型機資料庫!$K$317:$K$331),0)</f>
        <v>0</v>
      </c>
      <c r="R9" s="502"/>
      <c r="S9" s="503"/>
      <c r="T9" s="989">
        <f>IFERROR(LOOKUP(1,0/((成型機資料庫!$F$317:$F$331=J9)*(成型機資料庫!$G$317:$G$331=K9)),成型機資料庫!$I$317:$I$331),0)</f>
        <v>0</v>
      </c>
      <c r="U9" s="990">
        <f>IFERROR(LOOKUP(1,0/((成型機資料庫!$F$317:$F$331=J9)*(成型機資料庫!$G$317:$G$331=K9)),成型機資料庫!$J$317:$J$331),0)</f>
        <v>0</v>
      </c>
      <c r="V9" s="991">
        <f>IFERROR(LOOKUP(1,0/((成型機資料庫!$F$317:$F$331=J9)*(成型機資料庫!$G$317:$G$331=K9)),成型機資料庫!$L$317:$L$331),0)</f>
        <v>0</v>
      </c>
      <c r="W9" s="507"/>
      <c r="X9" s="507"/>
      <c r="Y9" s="507"/>
      <c r="Z9" s="507"/>
      <c r="AA9" s="508"/>
      <c r="AB9" s="499"/>
      <c r="AC9" s="509"/>
      <c r="AD9" s="529"/>
      <c r="AE9" s="499"/>
      <c r="AF9" s="499"/>
    </row>
    <row r="10" spans="1:56" s="433" customFormat="1" ht="15.75">
      <c r="A10" s="935">
        <v>113</v>
      </c>
      <c r="B10" s="935"/>
      <c r="C10" s="935">
        <v>1</v>
      </c>
      <c r="D10" s="889"/>
      <c r="E10" s="889" t="s">
        <v>0</v>
      </c>
      <c r="F10" s="962" t="s">
        <v>44</v>
      </c>
      <c r="G10" s="999"/>
      <c r="H10" s="532"/>
      <c r="I10" s="964"/>
      <c r="J10" s="964"/>
      <c r="K10" s="964"/>
      <c r="L10" s="532"/>
      <c r="M10" s="532"/>
      <c r="N10" s="927">
        <f>M10*Q10</f>
        <v>0</v>
      </c>
      <c r="O10" s="995">
        <f t="shared" ref="O10:O39" si="1">L10*M10</f>
        <v>0</v>
      </c>
      <c r="P10" s="1000"/>
      <c r="Q10" s="480">
        <f>IFERROR(LOOKUP(1,0/((成型機資料庫!$F$317:$F$331=J10)*(成型機資料庫!$G$317:$G$331=K10)),成型機資料庫!$K$317:$K$331),0)</f>
        <v>0</v>
      </c>
      <c r="R10" s="997">
        <f t="shared" ref="R10:R39" si="2">M10*Q10*P10/1000</f>
        <v>0</v>
      </c>
      <c r="S10" s="996">
        <f t="shared" ref="S10:S39" si="3">IFERROR((G10-R10)/G10,0)</f>
        <v>0</v>
      </c>
      <c r="T10" s="987">
        <f>IFERROR(LOOKUP(1,0/((成型機資料庫!$F$317:$F$331=J10)*(成型機資料庫!$G$317:$G$331=K10)),成型機資料庫!$I$317:$I$331),0)</f>
        <v>0</v>
      </c>
      <c r="U10" s="988">
        <f>IFERROR(LOOKUP(1,0/((成型機資料庫!$F$317:$F$331=J10)*(成型機資料庫!$G$317:$G$331=K10)),成型機資料庫!$J$317:$J$331),0)</f>
        <v>0</v>
      </c>
      <c r="V10" s="927">
        <f>IFERROR(LOOKUP(1,0/((成型機資料庫!$F$317:$F$331=J10)*(成型機資料庫!$G$317:$G$331=K10)),成型機資料庫!$L$317:$L$331),0)</f>
        <v>0</v>
      </c>
      <c r="W10" s="996">
        <f t="shared" ref="W10:W39" si="4">IFERROR(M10/V10,0)</f>
        <v>0</v>
      </c>
      <c r="X10" s="987">
        <f>IFERROR(T10*U10*60*AA10/Q10,0)</f>
        <v>0</v>
      </c>
      <c r="Y10" s="996">
        <f>IFERROR(M10/X10,0)</f>
        <v>0</v>
      </c>
      <c r="Z10" s="987"/>
      <c r="AA10" s="495">
        <f t="shared" ref="AA10:AA39" si="5">AB10+AC10/60</f>
        <v>0</v>
      </c>
      <c r="AB10" s="480"/>
      <c r="AC10" s="968"/>
      <c r="AD10" s="532"/>
      <c r="AE10" s="480"/>
      <c r="AF10" s="480"/>
    </row>
    <row r="11" spans="1:56" s="433" customFormat="1" ht="15.75">
      <c r="A11" s="434">
        <v>113</v>
      </c>
      <c r="B11" s="581"/>
      <c r="C11" s="581">
        <v>2</v>
      </c>
      <c r="D11" s="581"/>
      <c r="E11" s="581" t="s">
        <v>0</v>
      </c>
      <c r="F11" s="962" t="s">
        <v>44</v>
      </c>
      <c r="G11" s="926"/>
      <c r="H11" s="464"/>
      <c r="I11" s="429"/>
      <c r="J11" s="429"/>
      <c r="K11" s="429"/>
      <c r="L11" s="464"/>
      <c r="M11" s="464"/>
      <c r="N11" s="900">
        <f t="shared" ref="N11:N39" si="6">M11*Q11</f>
        <v>0</v>
      </c>
      <c r="O11" s="901">
        <f t="shared" si="1"/>
        <v>0</v>
      </c>
      <c r="P11" s="460"/>
      <c r="Q11" s="438">
        <f>IFERROR(LOOKUP(1,0/((成型機資料庫!$F$317:$F$331=J11)*(成型機資料庫!$G$317:$G$331=K11)),成型機資料庫!$K$317:$K$331),0)</f>
        <v>0</v>
      </c>
      <c r="R11" s="899">
        <f t="shared" si="2"/>
        <v>0</v>
      </c>
      <c r="S11" s="898">
        <f t="shared" si="3"/>
        <v>0</v>
      </c>
      <c r="T11" s="923">
        <f>IFERROR(LOOKUP(1,0/((成型機資料庫!$F$317:$F$331=J11)*(成型機資料庫!$G$317:$G$331=K11)),成型機資料庫!$I$317:$I$331),0)</f>
        <v>0</v>
      </c>
      <c r="U11" s="944">
        <f>IFERROR(LOOKUP(1,0/((成型機資料庫!$F$317:$F$331=J11)*(成型機資料庫!$G$317:$G$331=K11)),成型機資料庫!$J$317:$J$331),0)</f>
        <v>0</v>
      </c>
      <c r="V11" s="900">
        <f>IFERROR(LOOKUP(1,0/((成型機資料庫!$F$317:$F$331=J11)*(成型機資料庫!$G$317:$G$331=K11)),成型機資料庫!$L$317:$L$331),0)</f>
        <v>0</v>
      </c>
      <c r="W11" s="898">
        <f t="shared" si="4"/>
        <v>0</v>
      </c>
      <c r="X11" s="923">
        <f t="shared" ref="X11:X39" si="7">IFERROR(T11*U11*60*AA11/Q11,0)</f>
        <v>0</v>
      </c>
      <c r="Y11" s="898">
        <f t="shared" ref="Y11:Y39" si="8">IFERROR(M11/X11,0)</f>
        <v>0</v>
      </c>
      <c r="Z11" s="923"/>
      <c r="AA11" s="478">
        <f t="shared" si="5"/>
        <v>0</v>
      </c>
      <c r="AB11" s="438"/>
      <c r="AC11" s="482"/>
      <c r="AD11" s="464"/>
      <c r="AE11" s="438"/>
      <c r="AF11" s="438"/>
    </row>
    <row r="12" spans="1:56" s="433" customFormat="1" ht="15.75">
      <c r="A12" s="434">
        <v>113</v>
      </c>
      <c r="B12" s="581"/>
      <c r="C12" s="581">
        <v>3</v>
      </c>
      <c r="D12" s="581"/>
      <c r="E12" s="581" t="s">
        <v>0</v>
      </c>
      <c r="F12" s="962" t="s">
        <v>44</v>
      </c>
      <c r="G12" s="926"/>
      <c r="H12" s="464"/>
      <c r="I12" s="429"/>
      <c r="J12" s="429"/>
      <c r="K12" s="429"/>
      <c r="L12" s="464"/>
      <c r="M12" s="464"/>
      <c r="N12" s="900">
        <f t="shared" si="6"/>
        <v>0</v>
      </c>
      <c r="O12" s="901">
        <f t="shared" si="1"/>
        <v>0</v>
      </c>
      <c r="P12" s="460"/>
      <c r="Q12" s="438">
        <f>IFERROR(LOOKUP(1,0/((成型機資料庫!$F$317:$F$331=J12)*(成型機資料庫!$G$317:$G$331=K12)),成型機資料庫!$K$317:$K$331),0)</f>
        <v>0</v>
      </c>
      <c r="R12" s="899">
        <f t="shared" si="2"/>
        <v>0</v>
      </c>
      <c r="S12" s="898">
        <f t="shared" si="3"/>
        <v>0</v>
      </c>
      <c r="T12" s="923">
        <f>IFERROR(LOOKUP(1,0/((成型機資料庫!$F$317:$F$331=J12)*(成型機資料庫!$G$317:$G$331=K12)),成型機資料庫!$I$317:$I$331),0)</f>
        <v>0</v>
      </c>
      <c r="U12" s="944">
        <f>IFERROR(LOOKUP(1,0/((成型機資料庫!$F$317:$F$331=J12)*(成型機資料庫!$G$317:$G$331=K12)),成型機資料庫!$J$317:$J$331),0)</f>
        <v>0</v>
      </c>
      <c r="V12" s="900">
        <f>IFERROR(LOOKUP(1,0/((成型機資料庫!$F$317:$F$331=J12)*(成型機資料庫!$G$317:$G$331=K12)),成型機資料庫!$L$317:$L$331),0)</f>
        <v>0</v>
      </c>
      <c r="W12" s="898">
        <f t="shared" si="4"/>
        <v>0</v>
      </c>
      <c r="X12" s="923">
        <f t="shared" si="7"/>
        <v>0</v>
      </c>
      <c r="Y12" s="898">
        <f t="shared" si="8"/>
        <v>0</v>
      </c>
      <c r="Z12" s="923"/>
      <c r="AA12" s="478">
        <f t="shared" si="5"/>
        <v>0</v>
      </c>
      <c r="AB12" s="438"/>
      <c r="AC12" s="482"/>
      <c r="AD12" s="438"/>
      <c r="AE12" s="438"/>
      <c r="AF12" s="438"/>
    </row>
    <row r="13" spans="1:56" s="433" customFormat="1" ht="15.75">
      <c r="A13" s="434">
        <v>113</v>
      </c>
      <c r="B13" s="581"/>
      <c r="C13" s="581">
        <v>4</v>
      </c>
      <c r="D13" s="581"/>
      <c r="E13" s="581" t="s">
        <v>0</v>
      </c>
      <c r="F13" s="962" t="s">
        <v>44</v>
      </c>
      <c r="G13" s="926"/>
      <c r="H13" s="464"/>
      <c r="I13" s="429"/>
      <c r="J13" s="429"/>
      <c r="K13" s="429"/>
      <c r="L13" s="464"/>
      <c r="M13" s="464"/>
      <c r="N13" s="900">
        <f t="shared" si="6"/>
        <v>0</v>
      </c>
      <c r="O13" s="901">
        <f t="shared" si="1"/>
        <v>0</v>
      </c>
      <c r="P13" s="460"/>
      <c r="Q13" s="438">
        <f>IFERROR(LOOKUP(1,0/((成型機資料庫!$F$317:$F$331=J13)*(成型機資料庫!$G$317:$G$331=K13)),成型機資料庫!$K$317:$K$331),0)</f>
        <v>0</v>
      </c>
      <c r="R13" s="899">
        <f t="shared" si="2"/>
        <v>0</v>
      </c>
      <c r="S13" s="898">
        <f t="shared" si="3"/>
        <v>0</v>
      </c>
      <c r="T13" s="923">
        <f>IFERROR(LOOKUP(1,0/((成型機資料庫!$F$317:$F$331=J13)*(成型機資料庫!$G$317:$G$331=K13)),成型機資料庫!$I$317:$I$331),0)</f>
        <v>0</v>
      </c>
      <c r="U13" s="944">
        <f>IFERROR(LOOKUP(1,0/((成型機資料庫!$F$317:$F$331=J13)*(成型機資料庫!$G$317:$G$331=K13)),成型機資料庫!$J$317:$J$331),0)</f>
        <v>0</v>
      </c>
      <c r="V13" s="900">
        <f>IFERROR(LOOKUP(1,0/((成型機資料庫!$F$317:$F$331=J13)*(成型機資料庫!$G$317:$G$331=K13)),成型機資料庫!$L$317:$L$331),0)</f>
        <v>0</v>
      </c>
      <c r="W13" s="898">
        <f t="shared" si="4"/>
        <v>0</v>
      </c>
      <c r="X13" s="923">
        <f t="shared" si="7"/>
        <v>0</v>
      </c>
      <c r="Y13" s="898">
        <f t="shared" si="8"/>
        <v>0</v>
      </c>
      <c r="Z13" s="923"/>
      <c r="AA13" s="478">
        <f t="shared" si="5"/>
        <v>0</v>
      </c>
      <c r="AB13" s="438"/>
      <c r="AC13" s="482"/>
      <c r="AD13" s="438"/>
      <c r="AE13" s="464"/>
      <c r="AF13" s="438"/>
    </row>
    <row r="14" spans="1:56" s="433" customFormat="1" ht="15.75">
      <c r="A14" s="434">
        <v>113</v>
      </c>
      <c r="B14" s="581"/>
      <c r="C14" s="581">
        <v>5</v>
      </c>
      <c r="D14" s="581"/>
      <c r="E14" s="889" t="s">
        <v>0</v>
      </c>
      <c r="F14" s="962" t="s">
        <v>44</v>
      </c>
      <c r="G14" s="926"/>
      <c r="H14" s="464"/>
      <c r="I14" s="429"/>
      <c r="J14" s="429"/>
      <c r="K14" s="429"/>
      <c r="L14" s="464"/>
      <c r="M14" s="464"/>
      <c r="N14" s="900">
        <f t="shared" si="6"/>
        <v>0</v>
      </c>
      <c r="O14" s="901">
        <f t="shared" si="1"/>
        <v>0</v>
      </c>
      <c r="P14" s="460"/>
      <c r="Q14" s="438">
        <f>IFERROR(LOOKUP(1,0/((成型機資料庫!$F$317:$F$331=J14)*(成型機資料庫!$G$317:$G$331=K14)),成型機資料庫!$K$317:$K$331),0)</f>
        <v>0</v>
      </c>
      <c r="R14" s="899">
        <f t="shared" si="2"/>
        <v>0</v>
      </c>
      <c r="S14" s="898">
        <f t="shared" si="3"/>
        <v>0</v>
      </c>
      <c r="T14" s="923">
        <f>IFERROR(LOOKUP(1,0/((成型機資料庫!$F$317:$F$331=J14)*(成型機資料庫!$G$317:$G$331=K14)),成型機資料庫!$I$317:$I$331),0)</f>
        <v>0</v>
      </c>
      <c r="U14" s="944">
        <f>IFERROR(LOOKUP(1,0/((成型機資料庫!$F$317:$F$331=J14)*(成型機資料庫!$G$317:$G$331=K14)),成型機資料庫!$J$317:$J$331),0)</f>
        <v>0</v>
      </c>
      <c r="V14" s="900">
        <f>IFERROR(LOOKUP(1,0/((成型機資料庫!$F$317:$F$331=J14)*(成型機資料庫!$G$317:$G$331=K14)),成型機資料庫!$L$317:$L$331),0)</f>
        <v>0</v>
      </c>
      <c r="W14" s="898">
        <f t="shared" si="4"/>
        <v>0</v>
      </c>
      <c r="X14" s="923">
        <f t="shared" si="7"/>
        <v>0</v>
      </c>
      <c r="Y14" s="898">
        <f t="shared" si="8"/>
        <v>0</v>
      </c>
      <c r="Z14" s="923"/>
      <c r="AA14" s="478">
        <f t="shared" si="5"/>
        <v>0</v>
      </c>
      <c r="AB14" s="438"/>
      <c r="AC14" s="482"/>
      <c r="AD14" s="438"/>
      <c r="AE14" s="438"/>
      <c r="AF14" s="438"/>
    </row>
    <row r="15" spans="1:56" s="433" customFormat="1" ht="15.75">
      <c r="A15" s="434">
        <v>113</v>
      </c>
      <c r="B15" s="581"/>
      <c r="C15" s="581">
        <v>6</v>
      </c>
      <c r="D15" s="581"/>
      <c r="E15" s="889" t="s">
        <v>0</v>
      </c>
      <c r="F15" s="962" t="s">
        <v>44</v>
      </c>
      <c r="G15" s="926"/>
      <c r="H15" s="464"/>
      <c r="I15" s="429"/>
      <c r="J15" s="429"/>
      <c r="K15" s="429"/>
      <c r="L15" s="464"/>
      <c r="M15" s="464"/>
      <c r="N15" s="900">
        <f t="shared" si="6"/>
        <v>0</v>
      </c>
      <c r="O15" s="901">
        <f t="shared" si="1"/>
        <v>0</v>
      </c>
      <c r="P15" s="460"/>
      <c r="Q15" s="438">
        <f>IFERROR(LOOKUP(1,0/((成型機資料庫!$F$317:$F$331=J15)*(成型機資料庫!$G$317:$G$331=K15)),成型機資料庫!$K$317:$K$331),0)</f>
        <v>0</v>
      </c>
      <c r="R15" s="899">
        <f t="shared" si="2"/>
        <v>0</v>
      </c>
      <c r="S15" s="898">
        <f t="shared" si="3"/>
        <v>0</v>
      </c>
      <c r="T15" s="923">
        <f>IFERROR(LOOKUP(1,0/((成型機資料庫!$F$317:$F$331=J15)*(成型機資料庫!$G$317:$G$331=K15)),成型機資料庫!$I$317:$I$331),0)</f>
        <v>0</v>
      </c>
      <c r="U15" s="944">
        <f>IFERROR(LOOKUP(1,0/((成型機資料庫!$F$317:$F$331=J15)*(成型機資料庫!$G$317:$G$331=K15)),成型機資料庫!$J$317:$J$331),0)</f>
        <v>0</v>
      </c>
      <c r="V15" s="900">
        <f>IFERROR(LOOKUP(1,0/((成型機資料庫!$F$317:$F$331=J15)*(成型機資料庫!$G$317:$G$331=K15)),成型機資料庫!$L$317:$L$331),0)</f>
        <v>0</v>
      </c>
      <c r="W15" s="898">
        <f t="shared" si="4"/>
        <v>0</v>
      </c>
      <c r="X15" s="923">
        <f t="shared" si="7"/>
        <v>0</v>
      </c>
      <c r="Y15" s="898">
        <f t="shared" si="8"/>
        <v>0</v>
      </c>
      <c r="Z15" s="923"/>
      <c r="AA15" s="478">
        <f t="shared" si="5"/>
        <v>0</v>
      </c>
      <c r="AB15" s="438"/>
      <c r="AC15" s="482"/>
      <c r="AD15" s="879"/>
      <c r="AE15" s="438"/>
      <c r="AF15" s="438"/>
    </row>
    <row r="16" spans="1:56" s="433" customFormat="1" ht="15.75">
      <c r="A16" s="434">
        <v>113</v>
      </c>
      <c r="B16" s="581"/>
      <c r="C16" s="581">
        <v>7</v>
      </c>
      <c r="D16" s="581"/>
      <c r="E16" s="889" t="s">
        <v>0</v>
      </c>
      <c r="F16" s="962" t="s">
        <v>44</v>
      </c>
      <c r="G16" s="927"/>
      <c r="H16" s="464"/>
      <c r="I16" s="429"/>
      <c r="J16" s="429"/>
      <c r="K16" s="429"/>
      <c r="L16" s="464"/>
      <c r="M16" s="464"/>
      <c r="N16" s="900">
        <f t="shared" si="6"/>
        <v>0</v>
      </c>
      <c r="O16" s="901">
        <f t="shared" si="1"/>
        <v>0</v>
      </c>
      <c r="P16" s="460"/>
      <c r="Q16" s="438">
        <f>IFERROR(LOOKUP(1,0/((成型機資料庫!$F$317:$F$331=J16)*(成型機資料庫!$G$317:$G$331=K16)),成型機資料庫!$K$317:$K$331),0)</f>
        <v>0</v>
      </c>
      <c r="R16" s="899">
        <f t="shared" si="2"/>
        <v>0</v>
      </c>
      <c r="S16" s="898">
        <f t="shared" si="3"/>
        <v>0</v>
      </c>
      <c r="T16" s="923">
        <f>IFERROR(LOOKUP(1,0/((成型機資料庫!$F$317:$F$331=J16)*(成型機資料庫!$G$317:$G$331=K16)),成型機資料庫!$I$317:$I$331),0)</f>
        <v>0</v>
      </c>
      <c r="U16" s="944">
        <f>IFERROR(LOOKUP(1,0/((成型機資料庫!$F$317:$F$331=J16)*(成型機資料庫!$G$317:$G$331=K16)),成型機資料庫!$J$317:$J$331),0)</f>
        <v>0</v>
      </c>
      <c r="V16" s="900">
        <f>IFERROR(LOOKUP(1,0/((成型機資料庫!$F$317:$F$331=J16)*(成型機資料庫!$G$317:$G$331=K16)),成型機資料庫!$L$317:$L$331),0)</f>
        <v>0</v>
      </c>
      <c r="W16" s="898">
        <f t="shared" si="4"/>
        <v>0</v>
      </c>
      <c r="X16" s="923">
        <f t="shared" si="7"/>
        <v>0</v>
      </c>
      <c r="Y16" s="898">
        <f t="shared" si="8"/>
        <v>0</v>
      </c>
      <c r="Z16" s="923"/>
      <c r="AA16" s="478">
        <f t="shared" si="5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8</v>
      </c>
      <c r="D17" s="581"/>
      <c r="E17" s="889" t="s">
        <v>0</v>
      </c>
      <c r="F17" s="962" t="s">
        <v>44</v>
      </c>
      <c r="G17" s="927"/>
      <c r="H17" s="464"/>
      <c r="I17" s="429"/>
      <c r="J17" s="429"/>
      <c r="K17" s="429"/>
      <c r="L17" s="464"/>
      <c r="M17" s="464"/>
      <c r="N17" s="900">
        <f t="shared" si="6"/>
        <v>0</v>
      </c>
      <c r="O17" s="901">
        <f t="shared" si="1"/>
        <v>0</v>
      </c>
      <c r="P17" s="460"/>
      <c r="Q17" s="438">
        <f>IFERROR(LOOKUP(1,0/((成型機資料庫!$F$317:$F$331=J17)*(成型機資料庫!$G$317:$G$331=K17)),成型機資料庫!$K$317:$K$331),0)</f>
        <v>0</v>
      </c>
      <c r="R17" s="899">
        <f t="shared" si="2"/>
        <v>0</v>
      </c>
      <c r="S17" s="898">
        <f t="shared" si="3"/>
        <v>0</v>
      </c>
      <c r="T17" s="923">
        <f>IFERROR(LOOKUP(1,0/((成型機資料庫!$F$317:$F$331=J17)*(成型機資料庫!$G$317:$G$331=K17)),成型機資料庫!$I$317:$I$331),0)</f>
        <v>0</v>
      </c>
      <c r="U17" s="944">
        <f>IFERROR(LOOKUP(1,0/((成型機資料庫!$F$317:$F$331=J17)*(成型機資料庫!$G$317:$G$331=K17)),成型機資料庫!$J$317:$J$331),0)</f>
        <v>0</v>
      </c>
      <c r="V17" s="900">
        <f>IFERROR(LOOKUP(1,0/((成型機資料庫!$F$317:$F$331=J17)*(成型機資料庫!$G$317:$G$331=K17)),成型機資料庫!$L$317:$L$331),0)</f>
        <v>0</v>
      </c>
      <c r="W17" s="898">
        <f t="shared" si="4"/>
        <v>0</v>
      </c>
      <c r="X17" s="923">
        <f t="shared" si="7"/>
        <v>0</v>
      </c>
      <c r="Y17" s="898">
        <f t="shared" si="8"/>
        <v>0</v>
      </c>
      <c r="Z17" s="923"/>
      <c r="AA17" s="478">
        <f t="shared" si="5"/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9</v>
      </c>
      <c r="D18" s="581"/>
      <c r="E18" s="889" t="s">
        <v>0</v>
      </c>
      <c r="F18" s="962" t="s">
        <v>44</v>
      </c>
      <c r="G18" s="926"/>
      <c r="H18" s="464"/>
      <c r="I18" s="429"/>
      <c r="J18" s="429"/>
      <c r="K18" s="429"/>
      <c r="L18" s="464"/>
      <c r="M18" s="464"/>
      <c r="N18" s="900">
        <f t="shared" si="6"/>
        <v>0</v>
      </c>
      <c r="O18" s="901">
        <f t="shared" si="1"/>
        <v>0</v>
      </c>
      <c r="P18" s="460"/>
      <c r="Q18" s="438">
        <f>IFERROR(LOOKUP(1,0/((成型機資料庫!$F$317:$F$331=J18)*(成型機資料庫!$G$317:$G$331=K18)),成型機資料庫!$K$317:$K$331),0)</f>
        <v>0</v>
      </c>
      <c r="R18" s="899">
        <f t="shared" si="2"/>
        <v>0</v>
      </c>
      <c r="S18" s="898">
        <f t="shared" si="3"/>
        <v>0</v>
      </c>
      <c r="T18" s="923">
        <f>IFERROR(LOOKUP(1,0/((成型機資料庫!$F$317:$F$331=J18)*(成型機資料庫!$G$317:$G$331=K18)),成型機資料庫!$I$317:$I$331),0)</f>
        <v>0</v>
      </c>
      <c r="U18" s="944">
        <f>IFERROR(LOOKUP(1,0/((成型機資料庫!$F$317:$F$331=J18)*(成型機資料庫!$G$317:$G$331=K18)),成型機資料庫!$J$317:$J$331),0)</f>
        <v>0</v>
      </c>
      <c r="V18" s="900">
        <f>IFERROR(LOOKUP(1,0/((成型機資料庫!$F$317:$F$331=J18)*(成型機資料庫!$G$317:$G$331=K18)),成型機資料庫!$L$317:$L$331),0)</f>
        <v>0</v>
      </c>
      <c r="W18" s="898">
        <f t="shared" si="4"/>
        <v>0</v>
      </c>
      <c r="X18" s="923">
        <f t="shared" si="7"/>
        <v>0</v>
      </c>
      <c r="Y18" s="898">
        <f t="shared" si="8"/>
        <v>0</v>
      </c>
      <c r="Z18" s="923"/>
      <c r="AA18" s="478">
        <f t="shared" si="5"/>
        <v>0</v>
      </c>
      <c r="AB18" s="438"/>
      <c r="AC18" s="482"/>
      <c r="AD18" s="464"/>
      <c r="AE18" s="438"/>
      <c r="AF18" s="438"/>
    </row>
    <row r="19" spans="1:32" s="433" customFormat="1" ht="15.75">
      <c r="A19" s="434">
        <v>113</v>
      </c>
      <c r="B19" s="581"/>
      <c r="C19" s="581">
        <v>10</v>
      </c>
      <c r="D19" s="581"/>
      <c r="E19" s="889" t="s">
        <v>0</v>
      </c>
      <c r="F19" s="962" t="s">
        <v>44</v>
      </c>
      <c r="G19" s="926"/>
      <c r="H19" s="464"/>
      <c r="I19" s="429"/>
      <c r="J19" s="429"/>
      <c r="K19" s="429"/>
      <c r="L19" s="464"/>
      <c r="M19" s="464"/>
      <c r="N19" s="900">
        <f t="shared" si="6"/>
        <v>0</v>
      </c>
      <c r="O19" s="901">
        <f t="shared" si="1"/>
        <v>0</v>
      </c>
      <c r="P19" s="460"/>
      <c r="Q19" s="438">
        <f>IFERROR(LOOKUP(1,0/((成型機資料庫!$F$317:$F$331=J19)*(成型機資料庫!$G$317:$G$331=K19)),成型機資料庫!$K$317:$K$331),0)</f>
        <v>0</v>
      </c>
      <c r="R19" s="899">
        <f t="shared" si="2"/>
        <v>0</v>
      </c>
      <c r="S19" s="898">
        <f t="shared" si="3"/>
        <v>0</v>
      </c>
      <c r="T19" s="923">
        <f>IFERROR(LOOKUP(1,0/((成型機資料庫!$F$317:$F$331=J19)*(成型機資料庫!$G$317:$G$331=K19)),成型機資料庫!$I$317:$I$331),0)</f>
        <v>0</v>
      </c>
      <c r="U19" s="944">
        <f>IFERROR(LOOKUP(1,0/((成型機資料庫!$F$317:$F$331=J19)*(成型機資料庫!$G$317:$G$331=K19)),成型機資料庫!$J$317:$J$331),0)</f>
        <v>0</v>
      </c>
      <c r="V19" s="900">
        <f>IFERROR(LOOKUP(1,0/((成型機資料庫!$F$317:$F$331=J19)*(成型機資料庫!$G$317:$G$331=K19)),成型機資料庫!$L$317:$L$331),0)</f>
        <v>0</v>
      </c>
      <c r="W19" s="898">
        <f t="shared" si="4"/>
        <v>0</v>
      </c>
      <c r="X19" s="923">
        <f t="shared" si="7"/>
        <v>0</v>
      </c>
      <c r="Y19" s="898">
        <f t="shared" si="8"/>
        <v>0</v>
      </c>
      <c r="Z19" s="923"/>
      <c r="AA19" s="478">
        <f t="shared" si="5"/>
        <v>0</v>
      </c>
      <c r="AB19" s="438"/>
      <c r="AC19" s="482"/>
      <c r="AD19" s="438"/>
      <c r="AE19" s="438"/>
      <c r="AF19" s="438"/>
    </row>
    <row r="20" spans="1:32" s="433" customFormat="1" ht="15.75">
      <c r="A20" s="434">
        <v>113</v>
      </c>
      <c r="B20" s="581"/>
      <c r="C20" s="581">
        <v>11</v>
      </c>
      <c r="D20" s="581"/>
      <c r="E20" s="581" t="s">
        <v>0</v>
      </c>
      <c r="F20" s="962" t="s">
        <v>44</v>
      </c>
      <c r="G20" s="926"/>
      <c r="H20" s="464"/>
      <c r="I20" s="429"/>
      <c r="J20" s="429"/>
      <c r="K20" s="429"/>
      <c r="L20" s="464"/>
      <c r="M20" s="464"/>
      <c r="N20" s="900">
        <f t="shared" si="6"/>
        <v>0</v>
      </c>
      <c r="O20" s="901">
        <f t="shared" si="1"/>
        <v>0</v>
      </c>
      <c r="P20" s="460"/>
      <c r="Q20" s="438">
        <f>IFERROR(LOOKUP(1,0/((成型機資料庫!$F$317:$F$331=J20)*(成型機資料庫!$G$317:$G$331=K20)),成型機資料庫!$K$317:$K$331),0)</f>
        <v>0</v>
      </c>
      <c r="R20" s="899">
        <f t="shared" si="2"/>
        <v>0</v>
      </c>
      <c r="S20" s="898">
        <f t="shared" si="3"/>
        <v>0</v>
      </c>
      <c r="T20" s="923">
        <f>IFERROR(LOOKUP(1,0/((成型機資料庫!$F$317:$F$331=J20)*(成型機資料庫!$G$317:$G$331=K20)),成型機資料庫!$I$317:$I$331),0)</f>
        <v>0</v>
      </c>
      <c r="U20" s="944">
        <f>IFERROR(LOOKUP(1,0/((成型機資料庫!$F$317:$F$331=J20)*(成型機資料庫!$G$317:$G$331=K20)),成型機資料庫!$J$317:$J$331),0)</f>
        <v>0</v>
      </c>
      <c r="V20" s="900">
        <f>IFERROR(LOOKUP(1,0/((成型機資料庫!$F$317:$F$331=J20)*(成型機資料庫!$G$317:$G$331=K20)),成型機資料庫!$L$317:$L$331),0)</f>
        <v>0</v>
      </c>
      <c r="W20" s="898">
        <f t="shared" si="4"/>
        <v>0</v>
      </c>
      <c r="X20" s="923">
        <f t="shared" si="7"/>
        <v>0</v>
      </c>
      <c r="Y20" s="898">
        <f t="shared" si="8"/>
        <v>0</v>
      </c>
      <c r="Z20" s="923"/>
      <c r="AA20" s="478">
        <f t="shared" si="5"/>
        <v>0</v>
      </c>
      <c r="AB20" s="438"/>
      <c r="AC20" s="482"/>
      <c r="AD20" s="464"/>
      <c r="AE20" s="438"/>
      <c r="AF20" s="438"/>
    </row>
    <row r="21" spans="1:32" s="433" customFormat="1" ht="15.75">
      <c r="A21" s="434">
        <v>113</v>
      </c>
      <c r="B21" s="581"/>
      <c r="C21" s="581">
        <v>12</v>
      </c>
      <c r="D21" s="581"/>
      <c r="E21" s="889" t="s">
        <v>0</v>
      </c>
      <c r="F21" s="962" t="s">
        <v>44</v>
      </c>
      <c r="G21" s="926"/>
      <c r="H21" s="464"/>
      <c r="I21" s="429"/>
      <c r="J21" s="429"/>
      <c r="K21" s="429"/>
      <c r="L21" s="464"/>
      <c r="M21" s="464"/>
      <c r="N21" s="900">
        <f t="shared" si="6"/>
        <v>0</v>
      </c>
      <c r="O21" s="901">
        <f t="shared" si="1"/>
        <v>0</v>
      </c>
      <c r="P21" s="460"/>
      <c r="Q21" s="438">
        <f>IFERROR(LOOKUP(1,0/((成型機資料庫!$F$317:$F$331=J21)*(成型機資料庫!$G$317:$G$331=K21)),成型機資料庫!$K$317:$K$331),0)</f>
        <v>0</v>
      </c>
      <c r="R21" s="899">
        <f t="shared" si="2"/>
        <v>0</v>
      </c>
      <c r="S21" s="898">
        <f t="shared" si="3"/>
        <v>0</v>
      </c>
      <c r="T21" s="923">
        <f>IFERROR(LOOKUP(1,0/((成型機資料庫!$F$317:$F$331=J21)*(成型機資料庫!$G$317:$G$331=K21)),成型機資料庫!$I$317:$I$331),0)</f>
        <v>0</v>
      </c>
      <c r="U21" s="944">
        <f>IFERROR(LOOKUP(1,0/((成型機資料庫!$F$317:$F$331=J21)*(成型機資料庫!$G$317:$G$331=K21)),成型機資料庫!$J$317:$J$331),0)</f>
        <v>0</v>
      </c>
      <c r="V21" s="900">
        <f>IFERROR(LOOKUP(1,0/((成型機資料庫!$F$317:$F$331=J21)*(成型機資料庫!$G$317:$G$331=K21)),成型機資料庫!$L$317:$L$331),0)</f>
        <v>0</v>
      </c>
      <c r="W21" s="898">
        <f t="shared" si="4"/>
        <v>0</v>
      </c>
      <c r="X21" s="923">
        <f t="shared" si="7"/>
        <v>0</v>
      </c>
      <c r="Y21" s="898">
        <f t="shared" si="8"/>
        <v>0</v>
      </c>
      <c r="Z21" s="923"/>
      <c r="AA21" s="478">
        <f t="shared" si="5"/>
        <v>0</v>
      </c>
      <c r="AB21" s="438"/>
      <c r="AC21" s="482"/>
      <c r="AD21" s="438"/>
      <c r="AE21" s="438"/>
      <c r="AF21" s="438"/>
    </row>
    <row r="22" spans="1:32" s="433" customFormat="1" ht="15.75">
      <c r="A22" s="434">
        <v>113</v>
      </c>
      <c r="B22" s="581"/>
      <c r="C22" s="581">
        <v>13</v>
      </c>
      <c r="D22" s="581"/>
      <c r="E22" s="889" t="s">
        <v>0</v>
      </c>
      <c r="F22" s="962" t="s">
        <v>44</v>
      </c>
      <c r="G22" s="926"/>
      <c r="H22" s="464"/>
      <c r="I22" s="429"/>
      <c r="J22" s="429"/>
      <c r="K22" s="429"/>
      <c r="L22" s="464"/>
      <c r="M22" s="464"/>
      <c r="N22" s="900">
        <f t="shared" si="6"/>
        <v>0</v>
      </c>
      <c r="O22" s="901">
        <f t="shared" si="1"/>
        <v>0</v>
      </c>
      <c r="P22" s="460"/>
      <c r="Q22" s="438">
        <f>IFERROR(LOOKUP(1,0/((成型機資料庫!$F$317:$F$331=J22)*(成型機資料庫!$G$317:$G$331=K22)),成型機資料庫!$K$317:$K$331),0)</f>
        <v>0</v>
      </c>
      <c r="R22" s="899">
        <f t="shared" si="2"/>
        <v>0</v>
      </c>
      <c r="S22" s="898">
        <f t="shared" si="3"/>
        <v>0</v>
      </c>
      <c r="T22" s="923">
        <f>IFERROR(LOOKUP(1,0/((成型機資料庫!$F$317:$F$331=J22)*(成型機資料庫!$G$317:$G$331=K22)),成型機資料庫!$I$317:$I$331),0)</f>
        <v>0</v>
      </c>
      <c r="U22" s="944">
        <f>IFERROR(LOOKUP(1,0/((成型機資料庫!$F$317:$F$331=J22)*(成型機資料庫!$G$317:$G$331=K22)),成型機資料庫!$J$317:$J$331),0)</f>
        <v>0</v>
      </c>
      <c r="V22" s="900">
        <f>IFERROR(LOOKUP(1,0/((成型機資料庫!$F$317:$F$331=J22)*(成型機資料庫!$G$317:$G$331=K22)),成型機資料庫!$L$317:$L$331),0)</f>
        <v>0</v>
      </c>
      <c r="W22" s="898">
        <f t="shared" si="4"/>
        <v>0</v>
      </c>
      <c r="X22" s="923">
        <f t="shared" si="7"/>
        <v>0</v>
      </c>
      <c r="Y22" s="898">
        <f t="shared" si="8"/>
        <v>0</v>
      </c>
      <c r="Z22" s="923"/>
      <c r="AA22" s="478">
        <f t="shared" si="5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14</v>
      </c>
      <c r="D23" s="581"/>
      <c r="E23" s="889" t="s">
        <v>0</v>
      </c>
      <c r="F23" s="962" t="s">
        <v>44</v>
      </c>
      <c r="G23" s="926"/>
      <c r="H23" s="464"/>
      <c r="I23" s="429"/>
      <c r="J23" s="429"/>
      <c r="K23" s="429"/>
      <c r="L23" s="464"/>
      <c r="M23" s="464"/>
      <c r="N23" s="900">
        <f t="shared" si="6"/>
        <v>0</v>
      </c>
      <c r="O23" s="901">
        <f t="shared" si="1"/>
        <v>0</v>
      </c>
      <c r="P23" s="460"/>
      <c r="Q23" s="438">
        <f>IFERROR(LOOKUP(1,0/((成型機資料庫!$F$317:$F$331=J23)*(成型機資料庫!$G$317:$G$331=K23)),成型機資料庫!$K$317:$K$331),0)</f>
        <v>0</v>
      </c>
      <c r="R23" s="899">
        <f t="shared" si="2"/>
        <v>0</v>
      </c>
      <c r="S23" s="898">
        <f t="shared" si="3"/>
        <v>0</v>
      </c>
      <c r="T23" s="923">
        <f>IFERROR(LOOKUP(1,0/((成型機資料庫!$F$317:$F$331=J23)*(成型機資料庫!$G$317:$G$331=K23)),成型機資料庫!$I$317:$I$331),0)</f>
        <v>0</v>
      </c>
      <c r="U23" s="944">
        <f>IFERROR(LOOKUP(1,0/((成型機資料庫!$F$317:$F$331=J23)*(成型機資料庫!$G$317:$G$331=K23)),成型機資料庫!$J$317:$J$331),0)</f>
        <v>0</v>
      </c>
      <c r="V23" s="900">
        <f>IFERROR(LOOKUP(1,0/((成型機資料庫!$F$317:$F$331=J23)*(成型機資料庫!$G$317:$G$331=K23)),成型機資料庫!$L$317:$L$331),0)</f>
        <v>0</v>
      </c>
      <c r="W23" s="898">
        <f t="shared" si="4"/>
        <v>0</v>
      </c>
      <c r="X23" s="923">
        <f t="shared" si="7"/>
        <v>0</v>
      </c>
      <c r="Y23" s="898">
        <f t="shared" si="8"/>
        <v>0</v>
      </c>
      <c r="Z23" s="923"/>
      <c r="AA23" s="478">
        <f t="shared" si="5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15</v>
      </c>
      <c r="D24" s="581"/>
      <c r="E24" s="889" t="s">
        <v>0</v>
      </c>
      <c r="F24" s="962" t="s">
        <v>44</v>
      </c>
      <c r="G24" s="927"/>
      <c r="H24" s="464"/>
      <c r="I24" s="429"/>
      <c r="J24" s="429"/>
      <c r="K24" s="429"/>
      <c r="L24" s="464"/>
      <c r="M24" s="464"/>
      <c r="N24" s="900">
        <f t="shared" si="6"/>
        <v>0</v>
      </c>
      <c r="O24" s="901">
        <f t="shared" si="1"/>
        <v>0</v>
      </c>
      <c r="P24" s="460"/>
      <c r="Q24" s="438">
        <f>IFERROR(LOOKUP(1,0/((成型機資料庫!$F$317:$F$331=J24)*(成型機資料庫!$G$317:$G$331=K24)),成型機資料庫!$K$317:$K$331),0)</f>
        <v>0</v>
      </c>
      <c r="R24" s="899">
        <f t="shared" si="2"/>
        <v>0</v>
      </c>
      <c r="S24" s="898">
        <f t="shared" si="3"/>
        <v>0</v>
      </c>
      <c r="T24" s="923">
        <f>IFERROR(LOOKUP(1,0/((成型機資料庫!$F$317:$F$331=J24)*(成型機資料庫!$G$317:$G$331=K24)),成型機資料庫!$I$317:$I$331),0)</f>
        <v>0</v>
      </c>
      <c r="U24" s="944">
        <f>IFERROR(LOOKUP(1,0/((成型機資料庫!$F$317:$F$331=J24)*(成型機資料庫!$G$317:$G$331=K24)),成型機資料庫!$J$317:$J$331),0)</f>
        <v>0</v>
      </c>
      <c r="V24" s="900">
        <f>IFERROR(LOOKUP(1,0/((成型機資料庫!$F$317:$F$331=J24)*(成型機資料庫!$G$317:$G$331=K24)),成型機資料庫!$L$317:$L$331),0)</f>
        <v>0</v>
      </c>
      <c r="W24" s="898">
        <f t="shared" si="4"/>
        <v>0</v>
      </c>
      <c r="X24" s="923">
        <f t="shared" si="7"/>
        <v>0</v>
      </c>
      <c r="Y24" s="898">
        <f t="shared" si="8"/>
        <v>0</v>
      </c>
      <c r="Z24" s="923"/>
      <c r="AA24" s="478">
        <f t="shared" si="5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16</v>
      </c>
      <c r="D25" s="581"/>
      <c r="E25" s="889" t="s">
        <v>0</v>
      </c>
      <c r="F25" s="962" t="s">
        <v>44</v>
      </c>
      <c r="G25" s="927"/>
      <c r="H25" s="464"/>
      <c r="I25" s="429"/>
      <c r="J25" s="429"/>
      <c r="K25" s="429"/>
      <c r="L25" s="464"/>
      <c r="M25" s="464"/>
      <c r="N25" s="900">
        <f t="shared" si="6"/>
        <v>0</v>
      </c>
      <c r="O25" s="901">
        <f t="shared" si="1"/>
        <v>0</v>
      </c>
      <c r="P25" s="460"/>
      <c r="Q25" s="438">
        <f>IFERROR(LOOKUP(1,0/((成型機資料庫!$F$317:$F$331=J25)*(成型機資料庫!$G$317:$G$331=K25)),成型機資料庫!$K$317:$K$331),0)</f>
        <v>0</v>
      </c>
      <c r="R25" s="899">
        <f t="shared" si="2"/>
        <v>0</v>
      </c>
      <c r="S25" s="898">
        <f t="shared" si="3"/>
        <v>0</v>
      </c>
      <c r="T25" s="923">
        <f>IFERROR(LOOKUP(1,0/((成型機資料庫!$F$317:$F$331=J25)*(成型機資料庫!$G$317:$G$331=K25)),成型機資料庫!$I$317:$I$331),0)</f>
        <v>0</v>
      </c>
      <c r="U25" s="944">
        <f>IFERROR(LOOKUP(1,0/((成型機資料庫!$F$317:$F$331=J25)*(成型機資料庫!$G$317:$G$331=K25)),成型機資料庫!$J$317:$J$331),0)</f>
        <v>0</v>
      </c>
      <c r="V25" s="900">
        <f>IFERROR(LOOKUP(1,0/((成型機資料庫!$F$317:$F$331=J25)*(成型機資料庫!$G$317:$G$331=K25)),成型機資料庫!$L$317:$L$331),0)</f>
        <v>0</v>
      </c>
      <c r="W25" s="898">
        <f t="shared" si="4"/>
        <v>0</v>
      </c>
      <c r="X25" s="923">
        <f t="shared" si="7"/>
        <v>0</v>
      </c>
      <c r="Y25" s="898">
        <f t="shared" si="8"/>
        <v>0</v>
      </c>
      <c r="Z25" s="923"/>
      <c r="AA25" s="478">
        <f t="shared" si="5"/>
        <v>0</v>
      </c>
      <c r="AB25" s="438"/>
      <c r="AC25" s="482"/>
      <c r="AD25" s="464"/>
      <c r="AE25" s="464"/>
      <c r="AF25" s="438"/>
    </row>
    <row r="26" spans="1:32" s="433" customFormat="1" ht="15.75">
      <c r="A26" s="434">
        <v>113</v>
      </c>
      <c r="B26" s="581"/>
      <c r="C26" s="581">
        <v>17</v>
      </c>
      <c r="D26" s="581"/>
      <c r="E26" s="889" t="s">
        <v>0</v>
      </c>
      <c r="F26" s="962" t="s">
        <v>44</v>
      </c>
      <c r="G26" s="927"/>
      <c r="H26" s="464"/>
      <c r="I26" s="429"/>
      <c r="J26" s="429"/>
      <c r="K26" s="429"/>
      <c r="L26" s="464"/>
      <c r="M26" s="464"/>
      <c r="N26" s="900">
        <f t="shared" si="6"/>
        <v>0</v>
      </c>
      <c r="O26" s="901">
        <f t="shared" si="1"/>
        <v>0</v>
      </c>
      <c r="P26" s="460"/>
      <c r="Q26" s="438">
        <f>IFERROR(LOOKUP(1,0/((成型機資料庫!$F$317:$F$331=J26)*(成型機資料庫!$G$317:$G$331=K26)),成型機資料庫!$K$317:$K$331),0)</f>
        <v>0</v>
      </c>
      <c r="R26" s="899">
        <f t="shared" si="2"/>
        <v>0</v>
      </c>
      <c r="S26" s="898">
        <f t="shared" si="3"/>
        <v>0</v>
      </c>
      <c r="T26" s="923">
        <f>IFERROR(LOOKUP(1,0/((成型機資料庫!$F$317:$F$331=J26)*(成型機資料庫!$G$317:$G$331=K26)),成型機資料庫!$I$317:$I$331),0)</f>
        <v>0</v>
      </c>
      <c r="U26" s="944">
        <f>IFERROR(LOOKUP(1,0/((成型機資料庫!$F$317:$F$331=J26)*(成型機資料庫!$G$317:$G$331=K26)),成型機資料庫!$J$317:$J$331),0)</f>
        <v>0</v>
      </c>
      <c r="V26" s="900">
        <f>IFERROR(LOOKUP(1,0/((成型機資料庫!$F$317:$F$331=J26)*(成型機資料庫!$G$317:$G$331=K26)),成型機資料庫!$L$317:$L$331),0)</f>
        <v>0</v>
      </c>
      <c r="W26" s="898">
        <f t="shared" si="4"/>
        <v>0</v>
      </c>
      <c r="X26" s="923">
        <f t="shared" si="7"/>
        <v>0</v>
      </c>
      <c r="Y26" s="898">
        <f t="shared" si="8"/>
        <v>0</v>
      </c>
      <c r="Z26" s="923"/>
      <c r="AA26" s="478">
        <f t="shared" si="5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18</v>
      </c>
      <c r="D27" s="581"/>
      <c r="E27" s="889" t="s">
        <v>0</v>
      </c>
      <c r="F27" s="962" t="s">
        <v>44</v>
      </c>
      <c r="G27" s="926"/>
      <c r="H27" s="464"/>
      <c r="I27" s="429"/>
      <c r="J27" s="429"/>
      <c r="K27" s="429"/>
      <c r="L27" s="464"/>
      <c r="M27" s="464"/>
      <c r="N27" s="900">
        <f t="shared" si="6"/>
        <v>0</v>
      </c>
      <c r="O27" s="901">
        <f t="shared" si="1"/>
        <v>0</v>
      </c>
      <c r="P27" s="460"/>
      <c r="Q27" s="438">
        <f>IFERROR(LOOKUP(1,0/((成型機資料庫!$F$317:$F$331=J27)*(成型機資料庫!$G$317:$G$331=K27)),成型機資料庫!$K$317:$K$331),0)</f>
        <v>0</v>
      </c>
      <c r="R27" s="899">
        <f t="shared" si="2"/>
        <v>0</v>
      </c>
      <c r="S27" s="898">
        <f t="shared" si="3"/>
        <v>0</v>
      </c>
      <c r="T27" s="923">
        <f>IFERROR(LOOKUP(1,0/((成型機資料庫!$F$317:$F$331=J27)*(成型機資料庫!$G$317:$G$331=K27)),成型機資料庫!$I$317:$I$331),0)</f>
        <v>0</v>
      </c>
      <c r="U27" s="944">
        <f>IFERROR(LOOKUP(1,0/((成型機資料庫!$F$317:$F$331=J27)*(成型機資料庫!$G$317:$G$331=K27)),成型機資料庫!$J$317:$J$331),0)</f>
        <v>0</v>
      </c>
      <c r="V27" s="900">
        <f>IFERROR(LOOKUP(1,0/((成型機資料庫!$F$317:$F$331=J27)*(成型機資料庫!$G$317:$G$331=K27)),成型機資料庫!$L$317:$L$331),0)</f>
        <v>0</v>
      </c>
      <c r="W27" s="898">
        <f t="shared" si="4"/>
        <v>0</v>
      </c>
      <c r="X27" s="923">
        <f t="shared" si="7"/>
        <v>0</v>
      </c>
      <c r="Y27" s="898">
        <f t="shared" si="8"/>
        <v>0</v>
      </c>
      <c r="Z27" s="923"/>
      <c r="AA27" s="478">
        <f t="shared" si="5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19</v>
      </c>
      <c r="D28" s="581"/>
      <c r="E28" s="889" t="s">
        <v>0</v>
      </c>
      <c r="F28" s="962" t="s">
        <v>44</v>
      </c>
      <c r="G28" s="926"/>
      <c r="H28" s="464"/>
      <c r="I28" s="429"/>
      <c r="J28" s="429"/>
      <c r="K28" s="429"/>
      <c r="L28" s="464"/>
      <c r="M28" s="464"/>
      <c r="N28" s="900">
        <f t="shared" si="6"/>
        <v>0</v>
      </c>
      <c r="O28" s="901">
        <f t="shared" si="1"/>
        <v>0</v>
      </c>
      <c r="P28" s="460"/>
      <c r="Q28" s="438">
        <f>IFERROR(LOOKUP(1,0/((成型機資料庫!$F$317:$F$331=J28)*(成型機資料庫!$G$317:$G$331=K28)),成型機資料庫!$K$317:$K$331),0)</f>
        <v>0</v>
      </c>
      <c r="R28" s="899">
        <f t="shared" si="2"/>
        <v>0</v>
      </c>
      <c r="S28" s="898">
        <f t="shared" si="3"/>
        <v>0</v>
      </c>
      <c r="T28" s="923">
        <f>IFERROR(LOOKUP(1,0/((成型機資料庫!$F$317:$F$331=J28)*(成型機資料庫!$G$317:$G$331=K28)),成型機資料庫!$I$317:$I$331),0)</f>
        <v>0</v>
      </c>
      <c r="U28" s="944">
        <f>IFERROR(LOOKUP(1,0/((成型機資料庫!$F$317:$F$331=J28)*(成型機資料庫!$G$317:$G$331=K28)),成型機資料庫!$J$317:$J$331),0)</f>
        <v>0</v>
      </c>
      <c r="V28" s="900">
        <f>IFERROR(LOOKUP(1,0/((成型機資料庫!$F$317:$F$331=J28)*(成型機資料庫!$G$317:$G$331=K28)),成型機資料庫!$L$317:$L$331),0)</f>
        <v>0</v>
      </c>
      <c r="W28" s="898">
        <f t="shared" si="4"/>
        <v>0</v>
      </c>
      <c r="X28" s="923">
        <f t="shared" si="7"/>
        <v>0</v>
      </c>
      <c r="Y28" s="898">
        <f t="shared" si="8"/>
        <v>0</v>
      </c>
      <c r="Z28" s="923"/>
      <c r="AA28" s="478">
        <f t="shared" si="5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20</v>
      </c>
      <c r="D29" s="581"/>
      <c r="E29" s="889" t="s">
        <v>0</v>
      </c>
      <c r="F29" s="962" t="s">
        <v>44</v>
      </c>
      <c r="G29" s="926"/>
      <c r="H29" s="464"/>
      <c r="I29" s="429"/>
      <c r="J29" s="429"/>
      <c r="K29" s="429"/>
      <c r="L29" s="464"/>
      <c r="M29" s="464"/>
      <c r="N29" s="900">
        <f t="shared" si="6"/>
        <v>0</v>
      </c>
      <c r="O29" s="901">
        <f t="shared" si="1"/>
        <v>0</v>
      </c>
      <c r="P29" s="460"/>
      <c r="Q29" s="438">
        <f>IFERROR(LOOKUP(1,0/((成型機資料庫!$F$317:$F$331=J29)*(成型機資料庫!$G$317:$G$331=K29)),成型機資料庫!$K$317:$K$331),0)</f>
        <v>0</v>
      </c>
      <c r="R29" s="899">
        <f t="shared" si="2"/>
        <v>0</v>
      </c>
      <c r="S29" s="898">
        <f t="shared" si="3"/>
        <v>0</v>
      </c>
      <c r="T29" s="923">
        <f>IFERROR(LOOKUP(1,0/((成型機資料庫!$F$317:$F$331=J29)*(成型機資料庫!$G$317:$G$331=K29)),成型機資料庫!$I$317:$I$331),0)</f>
        <v>0</v>
      </c>
      <c r="U29" s="944">
        <f>IFERROR(LOOKUP(1,0/((成型機資料庫!$F$317:$F$331=J29)*(成型機資料庫!$G$317:$G$331=K29)),成型機資料庫!$J$317:$J$331),0)</f>
        <v>0</v>
      </c>
      <c r="V29" s="900">
        <f>IFERROR(LOOKUP(1,0/((成型機資料庫!$F$317:$F$331=J29)*(成型機資料庫!$G$317:$G$331=K29)),成型機資料庫!$L$317:$L$331),0)</f>
        <v>0</v>
      </c>
      <c r="W29" s="898">
        <f t="shared" si="4"/>
        <v>0</v>
      </c>
      <c r="X29" s="923">
        <f t="shared" si="7"/>
        <v>0</v>
      </c>
      <c r="Y29" s="898">
        <f t="shared" si="8"/>
        <v>0</v>
      </c>
      <c r="Z29" s="923"/>
      <c r="AA29" s="478">
        <f t="shared" si="5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21</v>
      </c>
      <c r="D30" s="581"/>
      <c r="E30" s="889" t="s">
        <v>0</v>
      </c>
      <c r="F30" s="962" t="s">
        <v>44</v>
      </c>
      <c r="G30" s="926"/>
      <c r="H30" s="464"/>
      <c r="I30" s="429"/>
      <c r="J30" s="429"/>
      <c r="K30" s="429"/>
      <c r="L30" s="464"/>
      <c r="M30" s="464"/>
      <c r="N30" s="900">
        <f t="shared" si="6"/>
        <v>0</v>
      </c>
      <c r="O30" s="901">
        <f t="shared" si="1"/>
        <v>0</v>
      </c>
      <c r="P30" s="460"/>
      <c r="Q30" s="438">
        <f>IFERROR(LOOKUP(1,0/((成型機資料庫!$F$317:$F$331=J30)*(成型機資料庫!$G$317:$G$331=K30)),成型機資料庫!$K$317:$K$331),0)</f>
        <v>0</v>
      </c>
      <c r="R30" s="899">
        <f t="shared" si="2"/>
        <v>0</v>
      </c>
      <c r="S30" s="898">
        <f t="shared" si="3"/>
        <v>0</v>
      </c>
      <c r="T30" s="923">
        <f>IFERROR(LOOKUP(1,0/((成型機資料庫!$F$317:$F$331=J30)*(成型機資料庫!$G$317:$G$331=K30)),成型機資料庫!$I$317:$I$331),0)</f>
        <v>0</v>
      </c>
      <c r="U30" s="944">
        <f>IFERROR(LOOKUP(1,0/((成型機資料庫!$F$317:$F$331=J30)*(成型機資料庫!$G$317:$G$331=K30)),成型機資料庫!$J$317:$J$331),0)</f>
        <v>0</v>
      </c>
      <c r="V30" s="900">
        <f>IFERROR(LOOKUP(1,0/((成型機資料庫!$F$317:$F$331=J30)*(成型機資料庫!$G$317:$G$331=K30)),成型機資料庫!$L$317:$L$331),0)</f>
        <v>0</v>
      </c>
      <c r="W30" s="898">
        <f t="shared" si="4"/>
        <v>0</v>
      </c>
      <c r="X30" s="923">
        <f t="shared" si="7"/>
        <v>0</v>
      </c>
      <c r="Y30" s="898">
        <f t="shared" si="8"/>
        <v>0</v>
      </c>
      <c r="Z30" s="923"/>
      <c r="AA30" s="478">
        <f t="shared" si="5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22</v>
      </c>
      <c r="D31" s="581"/>
      <c r="E31" s="889" t="s">
        <v>0</v>
      </c>
      <c r="F31" s="962" t="s">
        <v>44</v>
      </c>
      <c r="G31" s="927"/>
      <c r="H31" s="464"/>
      <c r="I31" s="429"/>
      <c r="J31" s="429"/>
      <c r="K31" s="429"/>
      <c r="L31" s="464"/>
      <c r="M31" s="464"/>
      <c r="N31" s="900">
        <f t="shared" si="6"/>
        <v>0</v>
      </c>
      <c r="O31" s="901">
        <f t="shared" si="1"/>
        <v>0</v>
      </c>
      <c r="P31" s="460"/>
      <c r="Q31" s="438">
        <f>IFERROR(LOOKUP(1,0/((成型機資料庫!$F$317:$F$331=J31)*(成型機資料庫!$G$317:$G$331=K31)),成型機資料庫!$K$317:$K$331),0)</f>
        <v>0</v>
      </c>
      <c r="R31" s="899">
        <f t="shared" si="2"/>
        <v>0</v>
      </c>
      <c r="S31" s="898">
        <f t="shared" si="3"/>
        <v>0</v>
      </c>
      <c r="T31" s="923">
        <f>IFERROR(LOOKUP(1,0/((成型機資料庫!$F$317:$F$331=J31)*(成型機資料庫!$G$317:$G$331=K31)),成型機資料庫!$I$317:$I$331),0)</f>
        <v>0</v>
      </c>
      <c r="U31" s="944">
        <f>IFERROR(LOOKUP(1,0/((成型機資料庫!$F$317:$F$331=J31)*(成型機資料庫!$G$317:$G$331=K31)),成型機資料庫!$J$317:$J$331),0)</f>
        <v>0</v>
      </c>
      <c r="V31" s="900">
        <f>IFERROR(LOOKUP(1,0/((成型機資料庫!$F$317:$F$331=J31)*(成型機資料庫!$G$317:$G$331=K31)),成型機資料庫!$L$317:$L$331),0)</f>
        <v>0</v>
      </c>
      <c r="W31" s="898">
        <f t="shared" si="4"/>
        <v>0</v>
      </c>
      <c r="X31" s="923">
        <f t="shared" si="7"/>
        <v>0</v>
      </c>
      <c r="Y31" s="898">
        <f t="shared" si="8"/>
        <v>0</v>
      </c>
      <c r="Z31" s="923"/>
      <c r="AA31" s="478">
        <f t="shared" si="5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23</v>
      </c>
      <c r="D32" s="581"/>
      <c r="E32" s="889" t="s">
        <v>0</v>
      </c>
      <c r="F32" s="962" t="s">
        <v>44</v>
      </c>
      <c r="G32" s="926"/>
      <c r="H32" s="464"/>
      <c r="I32" s="429"/>
      <c r="J32" s="429"/>
      <c r="K32" s="429"/>
      <c r="L32" s="464"/>
      <c r="M32" s="464"/>
      <c r="N32" s="900">
        <f t="shared" si="6"/>
        <v>0</v>
      </c>
      <c r="O32" s="901">
        <f t="shared" si="1"/>
        <v>0</v>
      </c>
      <c r="P32" s="460"/>
      <c r="Q32" s="438">
        <f>IFERROR(LOOKUP(1,0/((成型機資料庫!$F$317:$F$331=J32)*(成型機資料庫!$G$317:$G$331=K32)),成型機資料庫!$K$317:$K$331),0)</f>
        <v>0</v>
      </c>
      <c r="R32" s="899">
        <f t="shared" si="2"/>
        <v>0</v>
      </c>
      <c r="S32" s="898">
        <f t="shared" si="3"/>
        <v>0</v>
      </c>
      <c r="T32" s="923">
        <f>IFERROR(LOOKUP(1,0/((成型機資料庫!$F$317:$F$331=J32)*(成型機資料庫!$G$317:$G$331=K32)),成型機資料庫!$I$317:$I$331),0)</f>
        <v>0</v>
      </c>
      <c r="U32" s="944">
        <f>IFERROR(LOOKUP(1,0/((成型機資料庫!$F$317:$F$331=J32)*(成型機資料庫!$G$317:$G$331=K32)),成型機資料庫!$J$317:$J$331),0)</f>
        <v>0</v>
      </c>
      <c r="V32" s="900">
        <f>IFERROR(LOOKUP(1,0/((成型機資料庫!$F$317:$F$331=J32)*(成型機資料庫!$G$317:$G$331=K32)),成型機資料庫!$L$317:$L$331),0)</f>
        <v>0</v>
      </c>
      <c r="W32" s="898">
        <f t="shared" si="4"/>
        <v>0</v>
      </c>
      <c r="X32" s="923">
        <f t="shared" si="7"/>
        <v>0</v>
      </c>
      <c r="Y32" s="898">
        <f t="shared" si="8"/>
        <v>0</v>
      </c>
      <c r="Z32" s="923"/>
      <c r="AA32" s="478">
        <f t="shared" si="5"/>
        <v>0</v>
      </c>
      <c r="AB32" s="438"/>
      <c r="AC32" s="482"/>
      <c r="AD32" s="464"/>
      <c r="AE32" s="464"/>
      <c r="AF32" s="438"/>
    </row>
    <row r="33" spans="1:56" s="433" customFormat="1" ht="15.75">
      <c r="A33" s="434">
        <v>113</v>
      </c>
      <c r="B33" s="434"/>
      <c r="C33" s="434">
        <v>24</v>
      </c>
      <c r="D33" s="581"/>
      <c r="E33" s="889" t="s">
        <v>0</v>
      </c>
      <c r="F33" s="962" t="s">
        <v>44</v>
      </c>
      <c r="G33" s="926"/>
      <c r="H33" s="464"/>
      <c r="I33" s="429"/>
      <c r="J33" s="429"/>
      <c r="K33" s="429"/>
      <c r="L33" s="464"/>
      <c r="M33" s="464"/>
      <c r="N33" s="900">
        <f t="shared" si="6"/>
        <v>0</v>
      </c>
      <c r="O33" s="901">
        <f t="shared" si="1"/>
        <v>0</v>
      </c>
      <c r="P33" s="460"/>
      <c r="Q33" s="438">
        <f>IFERROR(LOOKUP(1,0/((成型機資料庫!$F$317:$F$331=J33)*(成型機資料庫!$G$317:$G$331=K33)),成型機資料庫!$K$317:$K$331),0)</f>
        <v>0</v>
      </c>
      <c r="R33" s="899">
        <f t="shared" si="2"/>
        <v>0</v>
      </c>
      <c r="S33" s="898">
        <f t="shared" si="3"/>
        <v>0</v>
      </c>
      <c r="T33" s="923">
        <f>IFERROR(LOOKUP(1,0/((成型機資料庫!$F$317:$F$331=J33)*(成型機資料庫!$G$317:$G$331=K33)),成型機資料庫!$I$317:$I$331),0)</f>
        <v>0</v>
      </c>
      <c r="U33" s="944">
        <f>IFERROR(LOOKUP(1,0/((成型機資料庫!$F$317:$F$331=J33)*(成型機資料庫!$G$317:$G$331=K33)),成型機資料庫!$J$317:$J$331),0)</f>
        <v>0</v>
      </c>
      <c r="V33" s="900">
        <f>IFERROR(LOOKUP(1,0/((成型機資料庫!$F$317:$F$331=J33)*(成型機資料庫!$G$317:$G$331=K33)),成型機資料庫!$L$317:$L$331),0)</f>
        <v>0</v>
      </c>
      <c r="W33" s="898">
        <f t="shared" si="4"/>
        <v>0</v>
      </c>
      <c r="X33" s="923">
        <f t="shared" si="7"/>
        <v>0</v>
      </c>
      <c r="Y33" s="898">
        <f t="shared" si="8"/>
        <v>0</v>
      </c>
      <c r="Z33" s="923"/>
      <c r="AA33" s="478">
        <f t="shared" si="5"/>
        <v>0</v>
      </c>
      <c r="AB33" s="438"/>
      <c r="AC33" s="482"/>
      <c r="AD33" s="464"/>
      <c r="AE33" s="438"/>
      <c r="AF33" s="438"/>
    </row>
    <row r="34" spans="1:56" s="433" customFormat="1" ht="15.75">
      <c r="A34" s="434">
        <v>113</v>
      </c>
      <c r="B34" s="434"/>
      <c r="C34" s="434">
        <v>25</v>
      </c>
      <c r="D34" s="581"/>
      <c r="E34" s="889" t="s">
        <v>0</v>
      </c>
      <c r="F34" s="962" t="s">
        <v>44</v>
      </c>
      <c r="G34" s="926"/>
      <c r="H34" s="464"/>
      <c r="I34" s="429"/>
      <c r="J34" s="429"/>
      <c r="K34" s="429"/>
      <c r="L34" s="464"/>
      <c r="M34" s="464"/>
      <c r="N34" s="900">
        <f t="shared" si="6"/>
        <v>0</v>
      </c>
      <c r="O34" s="901">
        <f t="shared" si="1"/>
        <v>0</v>
      </c>
      <c r="P34" s="460"/>
      <c r="Q34" s="438">
        <f>IFERROR(LOOKUP(1,0/((成型機資料庫!$F$317:$F$331=J34)*(成型機資料庫!$G$317:$G$331=K34)),成型機資料庫!$K$317:$K$331),0)</f>
        <v>0</v>
      </c>
      <c r="R34" s="899">
        <f t="shared" si="2"/>
        <v>0</v>
      </c>
      <c r="S34" s="898">
        <f t="shared" si="3"/>
        <v>0</v>
      </c>
      <c r="T34" s="923">
        <f>IFERROR(LOOKUP(1,0/((成型機資料庫!$F$317:$F$331=J34)*(成型機資料庫!$G$317:$G$331=K34)),成型機資料庫!$I$317:$I$331),0)</f>
        <v>0</v>
      </c>
      <c r="U34" s="944">
        <f>IFERROR(LOOKUP(1,0/((成型機資料庫!$F$317:$F$331=J34)*(成型機資料庫!$G$317:$G$331=K34)),成型機資料庫!$J$317:$J$331),0)</f>
        <v>0</v>
      </c>
      <c r="V34" s="900">
        <f>IFERROR(LOOKUP(1,0/((成型機資料庫!$F$317:$F$331=J34)*(成型機資料庫!$G$317:$G$331=K34)),成型機資料庫!$L$317:$L$331),0)</f>
        <v>0</v>
      </c>
      <c r="W34" s="898">
        <f t="shared" si="4"/>
        <v>0</v>
      </c>
      <c r="X34" s="923">
        <f t="shared" si="7"/>
        <v>0</v>
      </c>
      <c r="Y34" s="898">
        <f t="shared" si="8"/>
        <v>0</v>
      </c>
      <c r="Z34" s="923"/>
      <c r="AA34" s="478">
        <f t="shared" si="5"/>
        <v>0</v>
      </c>
      <c r="AB34" s="438"/>
      <c r="AC34" s="482"/>
      <c r="AD34" s="464"/>
      <c r="AE34" s="464"/>
      <c r="AF34" s="438"/>
    </row>
    <row r="35" spans="1:56" s="433" customFormat="1" ht="15.75">
      <c r="A35" s="434">
        <v>113</v>
      </c>
      <c r="B35" s="434"/>
      <c r="C35" s="434">
        <v>26</v>
      </c>
      <c r="D35" s="581"/>
      <c r="E35" s="889" t="s">
        <v>0</v>
      </c>
      <c r="F35" s="962" t="s">
        <v>44</v>
      </c>
      <c r="G35" s="926"/>
      <c r="H35" s="464"/>
      <c r="I35" s="429"/>
      <c r="J35" s="429"/>
      <c r="K35" s="429"/>
      <c r="L35" s="464"/>
      <c r="M35" s="464"/>
      <c r="N35" s="900">
        <f t="shared" si="6"/>
        <v>0</v>
      </c>
      <c r="O35" s="901">
        <f t="shared" si="1"/>
        <v>0</v>
      </c>
      <c r="P35" s="460"/>
      <c r="Q35" s="438">
        <f>IFERROR(LOOKUP(1,0/((成型機資料庫!$F$317:$F$331=J35)*(成型機資料庫!$G$317:$G$331=K35)),成型機資料庫!$K$317:$K$331),0)</f>
        <v>0</v>
      </c>
      <c r="R35" s="899">
        <f t="shared" si="2"/>
        <v>0</v>
      </c>
      <c r="S35" s="898">
        <f t="shared" si="3"/>
        <v>0</v>
      </c>
      <c r="T35" s="923">
        <f>IFERROR(LOOKUP(1,0/((成型機資料庫!$F$317:$F$331=J35)*(成型機資料庫!$G$317:$G$331=K35)),成型機資料庫!$I$317:$I$331),0)</f>
        <v>0</v>
      </c>
      <c r="U35" s="944">
        <f>IFERROR(LOOKUP(1,0/((成型機資料庫!$F$317:$F$331=J35)*(成型機資料庫!$G$317:$G$331=K35)),成型機資料庫!$J$317:$J$331),0)</f>
        <v>0</v>
      </c>
      <c r="V35" s="900">
        <f>IFERROR(LOOKUP(1,0/((成型機資料庫!$F$317:$F$331=J35)*(成型機資料庫!$G$317:$G$331=K35)),成型機資料庫!$L$317:$L$331),0)</f>
        <v>0</v>
      </c>
      <c r="W35" s="898">
        <f t="shared" si="4"/>
        <v>0</v>
      </c>
      <c r="X35" s="923">
        <f t="shared" si="7"/>
        <v>0</v>
      </c>
      <c r="Y35" s="898">
        <f t="shared" si="8"/>
        <v>0</v>
      </c>
      <c r="Z35" s="923"/>
      <c r="AA35" s="478">
        <f t="shared" si="5"/>
        <v>0</v>
      </c>
      <c r="AB35" s="438"/>
      <c r="AC35" s="482"/>
      <c r="AD35" s="438"/>
      <c r="AE35" s="464"/>
      <c r="AF35" s="438"/>
    </row>
    <row r="36" spans="1:56" s="433" customFormat="1" ht="15.75">
      <c r="A36" s="434">
        <v>113</v>
      </c>
      <c r="B36" s="434"/>
      <c r="C36" s="434">
        <v>27</v>
      </c>
      <c r="D36" s="581"/>
      <c r="E36" s="889" t="s">
        <v>0</v>
      </c>
      <c r="F36" s="962" t="s">
        <v>44</v>
      </c>
      <c r="G36" s="926"/>
      <c r="H36" s="464"/>
      <c r="I36" s="429"/>
      <c r="J36" s="429"/>
      <c r="K36" s="429"/>
      <c r="L36" s="464"/>
      <c r="M36" s="464"/>
      <c r="N36" s="900">
        <f t="shared" si="6"/>
        <v>0</v>
      </c>
      <c r="O36" s="901">
        <f t="shared" si="1"/>
        <v>0</v>
      </c>
      <c r="P36" s="460"/>
      <c r="Q36" s="438">
        <f>IFERROR(LOOKUP(1,0/((成型機資料庫!$F$317:$F$331=J36)*(成型機資料庫!$G$317:$G$331=K36)),成型機資料庫!$K$317:$K$331),0)</f>
        <v>0</v>
      </c>
      <c r="R36" s="899">
        <f t="shared" si="2"/>
        <v>0</v>
      </c>
      <c r="S36" s="898">
        <f t="shared" si="3"/>
        <v>0</v>
      </c>
      <c r="T36" s="923">
        <f>IFERROR(LOOKUP(1,0/((成型機資料庫!$F$317:$F$331=J36)*(成型機資料庫!$G$317:$G$331=K36)),成型機資料庫!$I$317:$I$331),0)</f>
        <v>0</v>
      </c>
      <c r="U36" s="944">
        <f>IFERROR(LOOKUP(1,0/((成型機資料庫!$F$317:$F$331=J36)*(成型機資料庫!$G$317:$G$331=K36)),成型機資料庫!$J$317:$J$331),0)</f>
        <v>0</v>
      </c>
      <c r="V36" s="900">
        <f>IFERROR(LOOKUP(1,0/((成型機資料庫!$F$317:$F$331=J36)*(成型機資料庫!$G$317:$G$331=K36)),成型機資料庫!$L$317:$L$331),0)</f>
        <v>0</v>
      </c>
      <c r="W36" s="898">
        <f t="shared" si="4"/>
        <v>0</v>
      </c>
      <c r="X36" s="923">
        <f t="shared" si="7"/>
        <v>0</v>
      </c>
      <c r="Y36" s="898">
        <f t="shared" si="8"/>
        <v>0</v>
      </c>
      <c r="Z36" s="923"/>
      <c r="AA36" s="478">
        <f t="shared" si="5"/>
        <v>0</v>
      </c>
      <c r="AB36" s="438"/>
      <c r="AC36" s="482"/>
      <c r="AD36" s="464"/>
      <c r="AE36" s="438"/>
      <c r="AF36" s="438"/>
    </row>
    <row r="37" spans="1:56" s="433" customFormat="1" ht="15.75">
      <c r="A37" s="434">
        <v>113</v>
      </c>
      <c r="B37" s="581"/>
      <c r="C37" s="581">
        <v>28</v>
      </c>
      <c r="D37" s="581"/>
      <c r="E37" s="889" t="s">
        <v>0</v>
      </c>
      <c r="F37" s="962" t="s">
        <v>44</v>
      </c>
      <c r="G37" s="926"/>
      <c r="H37" s="464"/>
      <c r="I37" s="429"/>
      <c r="J37" s="429"/>
      <c r="K37" s="429"/>
      <c r="L37" s="464"/>
      <c r="M37" s="464"/>
      <c r="N37" s="900">
        <f t="shared" si="6"/>
        <v>0</v>
      </c>
      <c r="O37" s="901">
        <f t="shared" si="1"/>
        <v>0</v>
      </c>
      <c r="P37" s="460"/>
      <c r="Q37" s="438">
        <f>IFERROR(LOOKUP(1,0/((成型機資料庫!$F$317:$F$331=J37)*(成型機資料庫!$G$317:$G$331=K37)),成型機資料庫!$K$317:$K$331),0)</f>
        <v>0</v>
      </c>
      <c r="R37" s="899">
        <f t="shared" si="2"/>
        <v>0</v>
      </c>
      <c r="S37" s="898">
        <f t="shared" si="3"/>
        <v>0</v>
      </c>
      <c r="T37" s="923">
        <f>IFERROR(LOOKUP(1,0/((成型機資料庫!$F$317:$F$331=J37)*(成型機資料庫!$G$317:$G$331=K37)),成型機資料庫!$I$317:$I$331),0)</f>
        <v>0</v>
      </c>
      <c r="U37" s="944">
        <f>IFERROR(LOOKUP(1,0/((成型機資料庫!$F$317:$F$331=J37)*(成型機資料庫!$G$317:$G$331=K37)),成型機資料庫!$J$317:$J$331),0)</f>
        <v>0</v>
      </c>
      <c r="V37" s="900">
        <f>IFERROR(LOOKUP(1,0/((成型機資料庫!$F$317:$F$331=J37)*(成型機資料庫!$G$317:$G$331=K37)),成型機資料庫!$L$317:$L$331),0)</f>
        <v>0</v>
      </c>
      <c r="W37" s="898">
        <f t="shared" si="4"/>
        <v>0</v>
      </c>
      <c r="X37" s="923">
        <f t="shared" si="7"/>
        <v>0</v>
      </c>
      <c r="Y37" s="898">
        <f t="shared" si="8"/>
        <v>0</v>
      </c>
      <c r="Z37" s="923"/>
      <c r="AA37" s="478">
        <f t="shared" si="5"/>
        <v>0</v>
      </c>
      <c r="AB37" s="438"/>
      <c r="AC37" s="482"/>
      <c r="AD37" s="464"/>
      <c r="AE37" s="438"/>
      <c r="AF37" s="438"/>
    </row>
    <row r="38" spans="1:56" s="433" customFormat="1" ht="15.75">
      <c r="A38" s="434">
        <v>113</v>
      </c>
      <c r="B38" s="581"/>
      <c r="C38" s="581">
        <v>29</v>
      </c>
      <c r="D38" s="581"/>
      <c r="E38" s="889" t="s">
        <v>0</v>
      </c>
      <c r="F38" s="962" t="s">
        <v>44</v>
      </c>
      <c r="G38" s="926"/>
      <c r="H38" s="464"/>
      <c r="I38" s="429"/>
      <c r="J38" s="429"/>
      <c r="K38" s="429"/>
      <c r="L38" s="464"/>
      <c r="M38" s="464"/>
      <c r="N38" s="900">
        <f t="shared" si="6"/>
        <v>0</v>
      </c>
      <c r="O38" s="901">
        <f t="shared" si="1"/>
        <v>0</v>
      </c>
      <c r="P38" s="460"/>
      <c r="Q38" s="438">
        <f>IFERROR(LOOKUP(1,0/((成型機資料庫!$F$317:$F$331=J38)*(成型機資料庫!$G$317:$G$331=K38)),成型機資料庫!$K$317:$K$331),0)</f>
        <v>0</v>
      </c>
      <c r="R38" s="899">
        <f t="shared" si="2"/>
        <v>0</v>
      </c>
      <c r="S38" s="898">
        <f t="shared" si="3"/>
        <v>0</v>
      </c>
      <c r="T38" s="923">
        <f>IFERROR(LOOKUP(1,0/((成型機資料庫!$F$317:$F$331=J38)*(成型機資料庫!$G$317:$G$331=K38)),成型機資料庫!$I$317:$I$331),0)</f>
        <v>0</v>
      </c>
      <c r="U38" s="944">
        <f>IFERROR(LOOKUP(1,0/((成型機資料庫!$F$317:$F$331=J38)*(成型機資料庫!$G$317:$G$331=K38)),成型機資料庫!$J$317:$J$331),0)</f>
        <v>0</v>
      </c>
      <c r="V38" s="900">
        <f>IFERROR(LOOKUP(1,0/((成型機資料庫!$F$317:$F$331=J38)*(成型機資料庫!$G$317:$G$331=K38)),成型機資料庫!$L$317:$L$331),0)</f>
        <v>0</v>
      </c>
      <c r="W38" s="898">
        <f t="shared" si="4"/>
        <v>0</v>
      </c>
      <c r="X38" s="923">
        <f t="shared" si="7"/>
        <v>0</v>
      </c>
      <c r="Y38" s="898">
        <f t="shared" si="8"/>
        <v>0</v>
      </c>
      <c r="Z38" s="923"/>
      <c r="AA38" s="478">
        <f t="shared" si="5"/>
        <v>0</v>
      </c>
      <c r="AB38" s="438"/>
      <c r="AC38" s="482"/>
      <c r="AD38" s="464"/>
      <c r="AE38" s="464"/>
      <c r="AF38" s="438"/>
    </row>
    <row r="39" spans="1:56" s="433" customFormat="1" ht="15.75">
      <c r="A39" s="434">
        <v>113</v>
      </c>
      <c r="B39" s="581"/>
      <c r="C39" s="581">
        <v>30</v>
      </c>
      <c r="D39" s="581"/>
      <c r="E39" s="889" t="s">
        <v>0</v>
      </c>
      <c r="F39" s="962" t="s">
        <v>44</v>
      </c>
      <c r="G39" s="926"/>
      <c r="H39" s="464"/>
      <c r="I39" s="429"/>
      <c r="J39" s="429"/>
      <c r="K39" s="429"/>
      <c r="L39" s="464"/>
      <c r="M39" s="464"/>
      <c r="N39" s="900">
        <f t="shared" si="6"/>
        <v>0</v>
      </c>
      <c r="O39" s="901">
        <f t="shared" si="1"/>
        <v>0</v>
      </c>
      <c r="P39" s="460"/>
      <c r="Q39" s="438">
        <f>IFERROR(LOOKUP(1,0/((成型機資料庫!$F$317:$F$331=J39)*(成型機資料庫!$G$317:$G$331=K39)),成型機資料庫!$K$317:$K$331),0)</f>
        <v>0</v>
      </c>
      <c r="R39" s="899">
        <f t="shared" si="2"/>
        <v>0</v>
      </c>
      <c r="S39" s="898">
        <f t="shared" si="3"/>
        <v>0</v>
      </c>
      <c r="T39" s="923">
        <f>IFERROR(LOOKUP(1,0/((成型機資料庫!$F$317:$F$331=J39)*(成型機資料庫!$G$317:$G$331=K39)),成型機資料庫!$I$317:$I$331),0)</f>
        <v>0</v>
      </c>
      <c r="U39" s="944">
        <f>IFERROR(LOOKUP(1,0/((成型機資料庫!$F$317:$F$331=J39)*(成型機資料庫!$G$317:$G$331=K39)),成型機資料庫!$J$317:$J$331),0)</f>
        <v>0</v>
      </c>
      <c r="V39" s="900">
        <f>IFERROR(LOOKUP(1,0/((成型機資料庫!$F$317:$F$331=J39)*(成型機資料庫!$G$317:$G$331=K39)),成型機資料庫!$L$317:$L$331),0)</f>
        <v>0</v>
      </c>
      <c r="W39" s="898">
        <f t="shared" si="4"/>
        <v>0</v>
      </c>
      <c r="X39" s="923">
        <f t="shared" si="7"/>
        <v>0</v>
      </c>
      <c r="Y39" s="898">
        <f t="shared" si="8"/>
        <v>0</v>
      </c>
      <c r="Z39" s="923"/>
      <c r="AA39" s="478">
        <f t="shared" si="5"/>
        <v>0</v>
      </c>
      <c r="AB39" s="438"/>
      <c r="AC39" s="482"/>
      <c r="AD39" s="464"/>
      <c r="AE39" s="438"/>
      <c r="AF39" s="438"/>
    </row>
    <row r="40" spans="1:56" s="433" customFormat="1" ht="15.75">
      <c r="A40" s="446"/>
      <c r="B40" s="456"/>
      <c r="C40" s="456"/>
      <c r="D40" s="456"/>
      <c r="E40" s="456"/>
      <c r="F40" s="448"/>
      <c r="G40" s="951"/>
      <c r="H40" s="452"/>
      <c r="I40" s="430"/>
      <c r="J40" s="430"/>
      <c r="K40" s="430"/>
      <c r="L40" s="452"/>
      <c r="M40" s="452"/>
      <c r="N40" s="945"/>
      <c r="O40" s="946"/>
      <c r="P40" s="868"/>
      <c r="Q40" s="467"/>
      <c r="R40" s="948"/>
      <c r="S40" s="936"/>
      <c r="T40" s="936"/>
      <c r="U40" s="936"/>
      <c r="V40" s="945"/>
      <c r="W40" s="936"/>
      <c r="X40" s="947"/>
      <c r="Y40" s="936"/>
      <c r="Z40" s="947"/>
      <c r="AA40" s="488"/>
      <c r="AB40" s="439"/>
      <c r="AC40" s="471"/>
      <c r="AD40" s="452"/>
      <c r="AE40" s="439"/>
      <c r="AF40" s="439"/>
    </row>
    <row r="41" spans="1:56" s="433" customFormat="1" ht="15.75">
      <c r="A41" s="446"/>
      <c r="B41" s="456"/>
      <c r="C41" s="456"/>
      <c r="D41" s="456"/>
      <c r="E41" s="456"/>
      <c r="F41" s="448"/>
      <c r="G41" s="951"/>
      <c r="H41" s="452"/>
      <c r="I41" s="430"/>
      <c r="J41" s="430"/>
      <c r="K41" s="430"/>
      <c r="L41" s="452"/>
      <c r="M41" s="452"/>
      <c r="N41" s="945"/>
      <c r="O41" s="946"/>
      <c r="P41" s="868"/>
      <c r="Q41" s="467"/>
      <c r="R41" s="948"/>
      <c r="S41" s="936"/>
      <c r="T41" s="936"/>
      <c r="U41" s="936"/>
      <c r="V41" s="945"/>
      <c r="W41" s="936"/>
      <c r="X41" s="947"/>
      <c r="Y41" s="936"/>
      <c r="Z41" s="947"/>
      <c r="AA41" s="488"/>
      <c r="AB41" s="439"/>
      <c r="AC41" s="471"/>
      <c r="AD41" s="452"/>
      <c r="AE41" s="439"/>
      <c r="AF41" s="439"/>
    </row>
    <row r="42" spans="1:56" s="433" customFormat="1" thickBot="1">
      <c r="A42" s="446"/>
      <c r="B42" s="446"/>
      <c r="C42" s="446"/>
      <c r="D42" s="446"/>
      <c r="E42" s="446"/>
      <c r="F42" s="448"/>
      <c r="G42" s="448"/>
      <c r="H42" s="430"/>
      <c r="I42" s="430"/>
      <c r="J42" s="430"/>
      <c r="K42" s="430"/>
      <c r="L42" s="439"/>
      <c r="M42" s="452"/>
      <c r="N42" s="452"/>
      <c r="O42" s="457"/>
      <c r="P42" s="466"/>
      <c r="Q42" s="467"/>
      <c r="R42" s="486"/>
      <c r="S42" s="457"/>
      <c r="T42" s="457"/>
      <c r="U42" s="457"/>
      <c r="V42" s="458"/>
      <c r="W42" s="487">
        <f>SUM(W10:W39)</f>
        <v>0</v>
      </c>
      <c r="X42" s="487"/>
      <c r="Y42" s="487"/>
      <c r="Z42" s="487"/>
      <c r="AA42" s="488"/>
      <c r="AB42" s="489"/>
      <c r="AC42" s="489"/>
      <c r="AD42" s="469" t="s">
        <v>46</v>
      </c>
      <c r="AE42" s="439"/>
      <c r="AF42" s="439"/>
    </row>
    <row r="43" spans="1:56" s="469" customFormat="1" ht="31.5">
      <c r="A43" s="479"/>
      <c r="B43" s="479"/>
      <c r="C43" s="479"/>
      <c r="D43" s="479"/>
      <c r="E43" s="479"/>
      <c r="F43" s="452"/>
      <c r="G43" s="524" t="s">
        <v>503</v>
      </c>
      <c r="H43" s="517"/>
      <c r="I43" s="518"/>
      <c r="L43" s="1842" t="s">
        <v>1348</v>
      </c>
      <c r="M43" s="525" t="s">
        <v>1294</v>
      </c>
      <c r="N43" s="525" t="s">
        <v>1295</v>
      </c>
      <c r="O43" s="526" t="s">
        <v>458</v>
      </c>
      <c r="P43" s="520"/>
      <c r="Q43" s="521"/>
      <c r="R43" s="524" t="s">
        <v>504</v>
      </c>
      <c r="S43" s="524" t="s">
        <v>455</v>
      </c>
      <c r="T43" s="521"/>
      <c r="U43" s="521"/>
      <c r="V43" s="524" t="s">
        <v>1293</v>
      </c>
      <c r="W43" s="524" t="s">
        <v>459</v>
      </c>
      <c r="X43" s="521"/>
      <c r="Y43" s="524" t="s">
        <v>1345</v>
      </c>
      <c r="Z43" s="524" t="s">
        <v>1350</v>
      </c>
      <c r="AA43" s="524" t="s">
        <v>1351</v>
      </c>
      <c r="AB43" s="524" t="s">
        <v>1353</v>
      </c>
      <c r="AC43" s="524" t="s">
        <v>1352</v>
      </c>
      <c r="AD43" s="469" t="s">
        <v>253</v>
      </c>
      <c r="AE43" s="452"/>
      <c r="AF43" s="452"/>
    </row>
    <row r="44" spans="1:56" thickBot="1">
      <c r="G44" s="522">
        <f>SUM(G10:G39)</f>
        <v>0</v>
      </c>
      <c r="I44" s="431"/>
      <c r="J44" s="518"/>
      <c r="K44" s="518"/>
      <c r="L44" s="1843"/>
      <c r="M44" s="522">
        <f>SUM(M10:M39)</f>
        <v>0</v>
      </c>
      <c r="N44" s="522">
        <f>SUM(N10:N39)</f>
        <v>0</v>
      </c>
      <c r="O44" s="902">
        <f>SUM(O10:O39)</f>
        <v>0</v>
      </c>
      <c r="P44" s="470"/>
      <c r="R44" s="924">
        <f>SUM(R10:R39)</f>
        <v>0</v>
      </c>
      <c r="S44" s="897" t="e">
        <f>(G44-R44)/G44</f>
        <v>#DIV/0!</v>
      </c>
      <c r="T44" s="446"/>
      <c r="U44" s="446"/>
      <c r="V44" s="686" t="e">
        <f>N44/W44</f>
        <v>#DIV/0!</v>
      </c>
      <c r="W44" s="516" t="e">
        <f>W42/Y44</f>
        <v>#DIV/0!</v>
      </c>
      <c r="X44" s="446"/>
      <c r="Y44" s="516"/>
      <c r="Z44" s="958">
        <f>SUM(Z10:Z39)</f>
        <v>0</v>
      </c>
      <c r="AA44" s="516">
        <f>SUM(AA10:AA39)</f>
        <v>0</v>
      </c>
      <c r="AB44" s="516">
        <f>Z44-AA44</f>
        <v>0</v>
      </c>
      <c r="AC44" s="896" t="e">
        <f>AA44/Z44</f>
        <v>#DIV/0!</v>
      </c>
    </row>
    <row r="45" spans="1:56">
      <c r="G45" s="453"/>
      <c r="M45" s="453"/>
      <c r="N45" s="453"/>
      <c r="O45"/>
      <c r="P45" s="470"/>
      <c r="R45"/>
      <c r="S45"/>
      <c r="T45"/>
      <c r="U45"/>
    </row>
    <row r="46" spans="1:56" ht="17.25" thickBot="1"/>
    <row r="47" spans="1:56" ht="15.75">
      <c r="A47" s="1824" t="s">
        <v>668</v>
      </c>
      <c r="B47" s="1824" t="s">
        <v>330</v>
      </c>
      <c r="C47" s="1826" t="s">
        <v>311</v>
      </c>
      <c r="D47" s="1828" t="s">
        <v>331</v>
      </c>
      <c r="E47" s="1828" t="s">
        <v>332</v>
      </c>
      <c r="F47" s="1830" t="s">
        <v>194</v>
      </c>
      <c r="G47" s="1830" t="s">
        <v>386</v>
      </c>
      <c r="H47" s="1832" t="s">
        <v>360</v>
      </c>
      <c r="I47" s="1832" t="s">
        <v>361</v>
      </c>
      <c r="J47" s="1832" t="s">
        <v>510</v>
      </c>
      <c r="K47" s="1832" t="s">
        <v>1320</v>
      </c>
      <c r="L47" s="1828" t="s">
        <v>362</v>
      </c>
      <c r="M47" s="1828" t="s">
        <v>514</v>
      </c>
      <c r="N47" s="1856" t="s">
        <v>511</v>
      </c>
      <c r="O47" s="1858" t="s">
        <v>457</v>
      </c>
      <c r="P47" s="1836" t="s">
        <v>379</v>
      </c>
      <c r="Q47" s="1828" t="s">
        <v>627</v>
      </c>
      <c r="R47" s="1852" t="s">
        <v>381</v>
      </c>
      <c r="S47" s="1854" t="s">
        <v>435</v>
      </c>
      <c r="T47" s="1834" t="s">
        <v>365</v>
      </c>
      <c r="U47" s="1836" t="s">
        <v>366</v>
      </c>
      <c r="V47" s="1844" t="s">
        <v>1286</v>
      </c>
      <c r="W47" s="1846" t="s">
        <v>201</v>
      </c>
      <c r="X47" s="1846" t="s">
        <v>1318</v>
      </c>
      <c r="Y47" s="1846" t="s">
        <v>1319</v>
      </c>
      <c r="Z47" s="1849" t="s">
        <v>1285</v>
      </c>
      <c r="AA47" s="1849" t="s">
        <v>339</v>
      </c>
      <c r="AB47" s="1860" t="s">
        <v>340</v>
      </c>
      <c r="AC47" s="1861"/>
      <c r="AD47" s="1862" t="s">
        <v>371</v>
      </c>
      <c r="AE47" s="1862" t="s">
        <v>383</v>
      </c>
      <c r="AF47" s="1840" t="s">
        <v>29</v>
      </c>
    </row>
    <row r="48" spans="1:56" s="447" customFormat="1" thickBot="1">
      <c r="A48" s="1825"/>
      <c r="B48" s="1825"/>
      <c r="C48" s="1827"/>
      <c r="D48" s="1829"/>
      <c r="E48" s="1829"/>
      <c r="F48" s="1831"/>
      <c r="G48" s="1831"/>
      <c r="H48" s="1833"/>
      <c r="I48" s="1833"/>
      <c r="J48" s="1833"/>
      <c r="K48" s="1838"/>
      <c r="L48" s="1829"/>
      <c r="M48" s="1839"/>
      <c r="N48" s="1857"/>
      <c r="O48" s="1859"/>
      <c r="P48" s="1837"/>
      <c r="Q48" s="1829"/>
      <c r="R48" s="1853"/>
      <c r="S48" s="1855"/>
      <c r="T48" s="1835"/>
      <c r="U48" s="1837"/>
      <c r="V48" s="1845"/>
      <c r="W48" s="1847"/>
      <c r="X48" s="1848"/>
      <c r="Y48" s="1848"/>
      <c r="Z48" s="1850"/>
      <c r="AA48" s="1851"/>
      <c r="AB48" s="491" t="s">
        <v>350</v>
      </c>
      <c r="AC48" s="491" t="s">
        <v>351</v>
      </c>
      <c r="AD48" s="1863"/>
      <c r="AE48" s="1863"/>
      <c r="AF48" s="1841"/>
      <c r="AG48" s="446"/>
      <c r="AH48" s="446"/>
      <c r="AU48" s="446"/>
      <c r="AV48" s="446"/>
      <c r="AW48" s="446"/>
      <c r="AX48" s="446"/>
      <c r="AY48" s="446"/>
      <c r="AZ48" s="446"/>
      <c r="BA48" s="446"/>
      <c r="BB48" s="446"/>
      <c r="BC48" s="446"/>
      <c r="BD48" s="446"/>
    </row>
    <row r="49" spans="1:32" s="433" customFormat="1" ht="15.75">
      <c r="A49" s="434">
        <v>113</v>
      </c>
      <c r="B49" s="434"/>
      <c r="C49" s="434">
        <v>1</v>
      </c>
      <c r="D49" s="581"/>
      <c r="E49" s="581" t="s">
        <v>43</v>
      </c>
      <c r="F49" s="436" t="s">
        <v>44</v>
      </c>
      <c r="G49" s="926"/>
      <c r="H49" s="464"/>
      <c r="I49" s="429"/>
      <c r="J49" s="429"/>
      <c r="K49" s="429"/>
      <c r="L49" s="464"/>
      <c r="M49" s="464"/>
      <c r="N49" s="900">
        <f>M49*Q49</f>
        <v>0</v>
      </c>
      <c r="O49" s="901">
        <f t="shared" ref="O49:O78" si="9">L49*M49</f>
        <v>0</v>
      </c>
      <c r="P49" s="460"/>
      <c r="Q49" s="438">
        <f>IFERROR(LOOKUP(1,0/((成型機資料庫!$F$317:$F$331=J49)*(成型機資料庫!$G$317:$G$331=K49)),成型機資料庫!$K$317:$K$331),0)</f>
        <v>0</v>
      </c>
      <c r="R49" s="899">
        <f t="shared" ref="R49:R78" si="10">M49*Q49*P49/1000</f>
        <v>0</v>
      </c>
      <c r="S49" s="898">
        <f t="shared" ref="S49:S78" si="11">IFERROR((G49-R49)/G49,0)</f>
        <v>0</v>
      </c>
      <c r="T49" s="923">
        <f>IFERROR(LOOKUP(1,0/((成型機資料庫!$F$317:$F$331=J49)*(成型機資料庫!$G$317:$G$331=K49)),成型機資料庫!$I$317:$I$331),0)</f>
        <v>0</v>
      </c>
      <c r="U49" s="944">
        <f>IFERROR(LOOKUP(1,0/((成型機資料庫!$F$317:$F$331=J49)*(成型機資料庫!$G$317:$G$331=K49)),成型機資料庫!$J$317:$J$331),0)</f>
        <v>0</v>
      </c>
      <c r="V49" s="900">
        <f>IFERROR(LOOKUP(1,0/((成型機資料庫!$F$317:$F$331=J49)*(成型機資料庫!$G$317:$G$331=K49)),成型機資料庫!$L$317:$L$331),0)</f>
        <v>0</v>
      </c>
      <c r="W49" s="898">
        <f t="shared" ref="W49:W78" si="12">IFERROR(M49/V49,0)</f>
        <v>0</v>
      </c>
      <c r="X49" s="923">
        <f>IFERROR(T49*U49*60*AA49/Q49,0)</f>
        <v>0</v>
      </c>
      <c r="Y49" s="898">
        <f>IFERROR(M49/X49,0)</f>
        <v>0</v>
      </c>
      <c r="Z49" s="923"/>
      <c r="AA49" s="478">
        <f t="shared" ref="AA49:AA78" si="13">AB49+AC49/60</f>
        <v>0</v>
      </c>
      <c r="AB49" s="438"/>
      <c r="AC49" s="482"/>
      <c r="AD49" s="464"/>
      <c r="AE49" s="438"/>
      <c r="AF49" s="438"/>
    </row>
    <row r="50" spans="1:32" s="433" customFormat="1" ht="15.75">
      <c r="A50" s="434">
        <v>113</v>
      </c>
      <c r="B50" s="581"/>
      <c r="C50" s="581">
        <v>2</v>
      </c>
      <c r="D50" s="581"/>
      <c r="E50" s="581" t="s">
        <v>43</v>
      </c>
      <c r="F50" s="436" t="s">
        <v>44</v>
      </c>
      <c r="G50" s="926"/>
      <c r="H50" s="464"/>
      <c r="I50" s="429"/>
      <c r="J50" s="429"/>
      <c r="K50" s="429"/>
      <c r="L50" s="464"/>
      <c r="M50" s="464"/>
      <c r="N50" s="900">
        <f t="shared" ref="N50:N78" si="14">M50*Q50</f>
        <v>0</v>
      </c>
      <c r="O50" s="901">
        <f t="shared" si="9"/>
        <v>0</v>
      </c>
      <c r="P50" s="460"/>
      <c r="Q50" s="438">
        <f>IFERROR(LOOKUP(1,0/((成型機資料庫!$F$317:$F$331=J50)*(成型機資料庫!$G$317:$G$331=K50)),成型機資料庫!$K$317:$K$331),0)</f>
        <v>0</v>
      </c>
      <c r="R50" s="899">
        <f t="shared" si="10"/>
        <v>0</v>
      </c>
      <c r="S50" s="898">
        <f t="shared" si="11"/>
        <v>0</v>
      </c>
      <c r="T50" s="923">
        <f>IFERROR(LOOKUP(1,0/((成型機資料庫!$F$317:$F$331=J50)*(成型機資料庫!$G$317:$G$331=K50)),成型機資料庫!$I$317:$I$331),0)</f>
        <v>0</v>
      </c>
      <c r="U50" s="944">
        <f>IFERROR(LOOKUP(1,0/((成型機資料庫!$F$317:$F$331=J50)*(成型機資料庫!$G$317:$G$331=K50)),成型機資料庫!$J$317:$J$331),0)</f>
        <v>0</v>
      </c>
      <c r="V50" s="900">
        <f>IFERROR(LOOKUP(1,0/((成型機資料庫!$F$317:$F$331=J50)*(成型機資料庫!$G$317:$G$331=K50)),成型機資料庫!$L$317:$L$331),0)</f>
        <v>0</v>
      </c>
      <c r="W50" s="898">
        <f t="shared" si="12"/>
        <v>0</v>
      </c>
      <c r="X50" s="923">
        <f t="shared" ref="X50:X78" si="15">IFERROR(T50*U50*60*AA50/Q50,0)</f>
        <v>0</v>
      </c>
      <c r="Y50" s="898">
        <f t="shared" ref="Y50:Y78" si="16">IFERROR(M50/X50,0)</f>
        <v>0</v>
      </c>
      <c r="Z50" s="923"/>
      <c r="AA50" s="478">
        <f t="shared" si="13"/>
        <v>0</v>
      </c>
      <c r="AB50" s="438"/>
      <c r="AC50" s="482"/>
      <c r="AD50" s="464"/>
      <c r="AE50" s="438"/>
      <c r="AF50" s="438"/>
    </row>
    <row r="51" spans="1:32" s="433" customFormat="1" ht="15.75">
      <c r="A51" s="434">
        <v>113</v>
      </c>
      <c r="B51" s="581"/>
      <c r="C51" s="581">
        <v>3</v>
      </c>
      <c r="D51" s="581"/>
      <c r="E51" s="581" t="s">
        <v>43</v>
      </c>
      <c r="F51" s="436" t="s">
        <v>44</v>
      </c>
      <c r="G51" s="926"/>
      <c r="H51" s="464"/>
      <c r="I51" s="429"/>
      <c r="J51" s="429"/>
      <c r="K51" s="429"/>
      <c r="L51" s="464"/>
      <c r="M51" s="464"/>
      <c r="N51" s="900">
        <f t="shared" si="14"/>
        <v>0</v>
      </c>
      <c r="O51" s="901">
        <f t="shared" si="9"/>
        <v>0</v>
      </c>
      <c r="P51" s="460"/>
      <c r="Q51" s="438">
        <f>IFERROR(LOOKUP(1,0/((成型機資料庫!$F$317:$F$331=J51)*(成型機資料庫!$G$317:$G$331=K51)),成型機資料庫!$K$317:$K$331),0)</f>
        <v>0</v>
      </c>
      <c r="R51" s="899">
        <f t="shared" si="10"/>
        <v>0</v>
      </c>
      <c r="S51" s="898">
        <f t="shared" si="11"/>
        <v>0</v>
      </c>
      <c r="T51" s="923">
        <f>IFERROR(LOOKUP(1,0/((成型機資料庫!$F$317:$F$331=J51)*(成型機資料庫!$G$317:$G$331=K51)),成型機資料庫!$I$317:$I$331),0)</f>
        <v>0</v>
      </c>
      <c r="U51" s="944">
        <f>IFERROR(LOOKUP(1,0/((成型機資料庫!$F$317:$F$331=J51)*(成型機資料庫!$G$317:$G$331=K51)),成型機資料庫!$J$317:$J$331),0)</f>
        <v>0</v>
      </c>
      <c r="V51" s="900">
        <f>IFERROR(LOOKUP(1,0/((成型機資料庫!$F$317:$F$331=J51)*(成型機資料庫!$G$317:$G$331=K51)),成型機資料庫!$L$317:$L$331),0)</f>
        <v>0</v>
      </c>
      <c r="W51" s="898">
        <f t="shared" si="12"/>
        <v>0</v>
      </c>
      <c r="X51" s="923">
        <f t="shared" si="15"/>
        <v>0</v>
      </c>
      <c r="Y51" s="898">
        <f t="shared" si="16"/>
        <v>0</v>
      </c>
      <c r="Z51" s="923"/>
      <c r="AA51" s="478">
        <f t="shared" si="13"/>
        <v>0</v>
      </c>
      <c r="AB51" s="438"/>
      <c r="AC51" s="482"/>
      <c r="AD51" s="438"/>
      <c r="AE51" s="438"/>
      <c r="AF51" s="438"/>
    </row>
    <row r="52" spans="1:32" s="433" customFormat="1" ht="15.75">
      <c r="A52" s="434">
        <v>113</v>
      </c>
      <c r="B52" s="581"/>
      <c r="C52" s="581">
        <v>4</v>
      </c>
      <c r="D52" s="581"/>
      <c r="E52" s="581" t="s">
        <v>43</v>
      </c>
      <c r="F52" s="436" t="s">
        <v>44</v>
      </c>
      <c r="G52" s="926"/>
      <c r="H52" s="464"/>
      <c r="I52" s="429"/>
      <c r="J52" s="429"/>
      <c r="K52" s="429"/>
      <c r="L52" s="464"/>
      <c r="M52" s="464"/>
      <c r="N52" s="900">
        <f t="shared" si="14"/>
        <v>0</v>
      </c>
      <c r="O52" s="901">
        <f t="shared" si="9"/>
        <v>0</v>
      </c>
      <c r="P52" s="460"/>
      <c r="Q52" s="438">
        <f>IFERROR(LOOKUP(1,0/((成型機資料庫!$F$317:$F$331=J52)*(成型機資料庫!$G$317:$G$331=K52)),成型機資料庫!$K$317:$K$331),0)</f>
        <v>0</v>
      </c>
      <c r="R52" s="899">
        <f t="shared" si="10"/>
        <v>0</v>
      </c>
      <c r="S52" s="898">
        <f t="shared" si="11"/>
        <v>0</v>
      </c>
      <c r="T52" s="923">
        <f>IFERROR(LOOKUP(1,0/((成型機資料庫!$F$317:$F$331=J52)*(成型機資料庫!$G$317:$G$331=K52)),成型機資料庫!$I$317:$I$331),0)</f>
        <v>0</v>
      </c>
      <c r="U52" s="944">
        <f>IFERROR(LOOKUP(1,0/((成型機資料庫!$F$317:$F$331=J52)*(成型機資料庫!$G$317:$G$331=K52)),成型機資料庫!$J$317:$J$331),0)</f>
        <v>0</v>
      </c>
      <c r="V52" s="900">
        <f>IFERROR(LOOKUP(1,0/((成型機資料庫!$F$317:$F$331=J52)*(成型機資料庫!$G$317:$G$331=K52)),成型機資料庫!$L$317:$L$331),0)</f>
        <v>0</v>
      </c>
      <c r="W52" s="898">
        <f t="shared" si="12"/>
        <v>0</v>
      </c>
      <c r="X52" s="923">
        <f t="shared" si="15"/>
        <v>0</v>
      </c>
      <c r="Y52" s="898">
        <f t="shared" si="16"/>
        <v>0</v>
      </c>
      <c r="Z52" s="923"/>
      <c r="AA52" s="478">
        <f t="shared" si="13"/>
        <v>0</v>
      </c>
      <c r="AB52" s="438"/>
      <c r="AC52" s="482"/>
      <c r="AD52" s="438"/>
      <c r="AE52" s="464"/>
      <c r="AF52" s="438"/>
    </row>
    <row r="53" spans="1:32" s="433" customFormat="1" ht="15.75">
      <c r="A53" s="434">
        <v>113</v>
      </c>
      <c r="B53" s="581"/>
      <c r="C53" s="581">
        <v>5</v>
      </c>
      <c r="D53" s="581"/>
      <c r="E53" s="581" t="s">
        <v>43</v>
      </c>
      <c r="F53" s="436" t="s">
        <v>44</v>
      </c>
      <c r="G53" s="926"/>
      <c r="H53" s="464"/>
      <c r="I53" s="429"/>
      <c r="J53" s="429"/>
      <c r="K53" s="429"/>
      <c r="L53" s="464"/>
      <c r="M53" s="464"/>
      <c r="N53" s="900">
        <f t="shared" si="14"/>
        <v>0</v>
      </c>
      <c r="O53" s="901">
        <f t="shared" si="9"/>
        <v>0</v>
      </c>
      <c r="P53" s="460"/>
      <c r="Q53" s="438">
        <f>IFERROR(LOOKUP(1,0/((成型機資料庫!$F$317:$F$331=J53)*(成型機資料庫!$G$317:$G$331=K53)),成型機資料庫!$K$317:$K$331),0)</f>
        <v>0</v>
      </c>
      <c r="R53" s="899">
        <f t="shared" si="10"/>
        <v>0</v>
      </c>
      <c r="S53" s="898">
        <f t="shared" si="11"/>
        <v>0</v>
      </c>
      <c r="T53" s="923">
        <f>IFERROR(LOOKUP(1,0/((成型機資料庫!$F$317:$F$331=J53)*(成型機資料庫!$G$317:$G$331=K53)),成型機資料庫!$I$317:$I$331),0)</f>
        <v>0</v>
      </c>
      <c r="U53" s="944">
        <f>IFERROR(LOOKUP(1,0/((成型機資料庫!$F$317:$F$331=J53)*(成型機資料庫!$G$317:$G$331=K53)),成型機資料庫!$J$317:$J$331),0)</f>
        <v>0</v>
      </c>
      <c r="V53" s="900">
        <f>IFERROR(LOOKUP(1,0/((成型機資料庫!$F$317:$F$331=J53)*(成型機資料庫!$G$317:$G$331=K53)),成型機資料庫!$L$317:$L$331),0)</f>
        <v>0</v>
      </c>
      <c r="W53" s="898">
        <f t="shared" si="12"/>
        <v>0</v>
      </c>
      <c r="X53" s="923">
        <f t="shared" si="15"/>
        <v>0</v>
      </c>
      <c r="Y53" s="898">
        <f t="shared" si="16"/>
        <v>0</v>
      </c>
      <c r="Z53" s="923"/>
      <c r="AA53" s="478">
        <f t="shared" si="13"/>
        <v>0</v>
      </c>
      <c r="AB53" s="438"/>
      <c r="AC53" s="482"/>
      <c r="AD53" s="438"/>
      <c r="AE53" s="438"/>
      <c r="AF53" s="438"/>
    </row>
    <row r="54" spans="1:32" s="433" customFormat="1" ht="15.75">
      <c r="A54" s="434">
        <v>113</v>
      </c>
      <c r="B54" s="581"/>
      <c r="C54" s="581">
        <v>6</v>
      </c>
      <c r="D54" s="581"/>
      <c r="E54" s="581" t="s">
        <v>43</v>
      </c>
      <c r="F54" s="436" t="s">
        <v>44</v>
      </c>
      <c r="G54" s="926"/>
      <c r="H54" s="464"/>
      <c r="I54" s="429"/>
      <c r="J54" s="429"/>
      <c r="K54" s="429"/>
      <c r="L54" s="464"/>
      <c r="M54" s="464"/>
      <c r="N54" s="900">
        <f t="shared" si="14"/>
        <v>0</v>
      </c>
      <c r="O54" s="901">
        <f t="shared" si="9"/>
        <v>0</v>
      </c>
      <c r="P54" s="460"/>
      <c r="Q54" s="438">
        <f>IFERROR(LOOKUP(1,0/((成型機資料庫!$F$317:$F$331=J54)*(成型機資料庫!$G$317:$G$331=K54)),成型機資料庫!$K$317:$K$331),0)</f>
        <v>0</v>
      </c>
      <c r="R54" s="899">
        <f t="shared" si="10"/>
        <v>0</v>
      </c>
      <c r="S54" s="898">
        <f t="shared" si="11"/>
        <v>0</v>
      </c>
      <c r="T54" s="923">
        <f>IFERROR(LOOKUP(1,0/((成型機資料庫!$F$317:$F$331=J54)*(成型機資料庫!$G$317:$G$331=K54)),成型機資料庫!$I$317:$I$331),0)</f>
        <v>0</v>
      </c>
      <c r="U54" s="944">
        <f>IFERROR(LOOKUP(1,0/((成型機資料庫!$F$317:$F$331=J54)*(成型機資料庫!$G$317:$G$331=K54)),成型機資料庫!$J$317:$J$331),0)</f>
        <v>0</v>
      </c>
      <c r="V54" s="900">
        <f>IFERROR(LOOKUP(1,0/((成型機資料庫!$F$317:$F$331=J54)*(成型機資料庫!$G$317:$G$331=K54)),成型機資料庫!$L$317:$L$331),0)</f>
        <v>0</v>
      </c>
      <c r="W54" s="898">
        <f t="shared" si="12"/>
        <v>0</v>
      </c>
      <c r="X54" s="923">
        <f t="shared" si="15"/>
        <v>0</v>
      </c>
      <c r="Y54" s="898">
        <f t="shared" si="16"/>
        <v>0</v>
      </c>
      <c r="Z54" s="923"/>
      <c r="AA54" s="478">
        <f t="shared" si="13"/>
        <v>0</v>
      </c>
      <c r="AB54" s="438"/>
      <c r="AC54" s="482"/>
      <c r="AD54" s="879"/>
      <c r="AE54" s="438"/>
      <c r="AF54" s="438"/>
    </row>
    <row r="55" spans="1:32" s="433" customFormat="1" ht="15.75">
      <c r="A55" s="434">
        <v>113</v>
      </c>
      <c r="B55" s="581"/>
      <c r="C55" s="581">
        <v>7</v>
      </c>
      <c r="D55" s="581"/>
      <c r="E55" s="581" t="s">
        <v>43</v>
      </c>
      <c r="F55" s="436" t="s">
        <v>44</v>
      </c>
      <c r="G55" s="927"/>
      <c r="H55" s="464"/>
      <c r="I55" s="429"/>
      <c r="J55" s="429"/>
      <c r="K55" s="429"/>
      <c r="L55" s="464"/>
      <c r="M55" s="464"/>
      <c r="N55" s="900">
        <f t="shared" si="14"/>
        <v>0</v>
      </c>
      <c r="O55" s="901">
        <f t="shared" si="9"/>
        <v>0</v>
      </c>
      <c r="P55" s="460"/>
      <c r="Q55" s="438">
        <f>IFERROR(LOOKUP(1,0/((成型機資料庫!$F$317:$F$331=J55)*(成型機資料庫!$G$317:$G$331=K55)),成型機資料庫!$K$317:$K$331),0)</f>
        <v>0</v>
      </c>
      <c r="R55" s="899">
        <f t="shared" si="10"/>
        <v>0</v>
      </c>
      <c r="S55" s="898">
        <f t="shared" si="11"/>
        <v>0</v>
      </c>
      <c r="T55" s="923">
        <f>IFERROR(LOOKUP(1,0/((成型機資料庫!$F$317:$F$331=J55)*(成型機資料庫!$G$317:$G$331=K55)),成型機資料庫!$I$317:$I$331),0)</f>
        <v>0</v>
      </c>
      <c r="U55" s="944">
        <f>IFERROR(LOOKUP(1,0/((成型機資料庫!$F$317:$F$331=J55)*(成型機資料庫!$G$317:$G$331=K55)),成型機資料庫!$J$317:$J$331),0)</f>
        <v>0</v>
      </c>
      <c r="V55" s="900">
        <f>IFERROR(LOOKUP(1,0/((成型機資料庫!$F$317:$F$331=J55)*(成型機資料庫!$G$317:$G$331=K55)),成型機資料庫!$L$317:$L$331),0)</f>
        <v>0</v>
      </c>
      <c r="W55" s="898">
        <f t="shared" si="12"/>
        <v>0</v>
      </c>
      <c r="X55" s="923">
        <f t="shared" si="15"/>
        <v>0</v>
      </c>
      <c r="Y55" s="898">
        <f t="shared" si="16"/>
        <v>0</v>
      </c>
      <c r="Z55" s="923"/>
      <c r="AA55" s="478">
        <f t="shared" si="13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8</v>
      </c>
      <c r="D56" s="581"/>
      <c r="E56" s="581" t="s">
        <v>43</v>
      </c>
      <c r="F56" s="436" t="s">
        <v>44</v>
      </c>
      <c r="G56" s="927"/>
      <c r="H56" s="464"/>
      <c r="I56" s="429"/>
      <c r="J56" s="429"/>
      <c r="K56" s="429"/>
      <c r="L56" s="464"/>
      <c r="M56" s="464"/>
      <c r="N56" s="900">
        <f t="shared" si="14"/>
        <v>0</v>
      </c>
      <c r="O56" s="901">
        <f t="shared" si="9"/>
        <v>0</v>
      </c>
      <c r="P56" s="460"/>
      <c r="Q56" s="438">
        <f>IFERROR(LOOKUP(1,0/((成型機資料庫!$F$317:$F$331=J56)*(成型機資料庫!$G$317:$G$331=K56)),成型機資料庫!$K$317:$K$331),0)</f>
        <v>0</v>
      </c>
      <c r="R56" s="899">
        <f t="shared" si="10"/>
        <v>0</v>
      </c>
      <c r="S56" s="898">
        <f t="shared" si="11"/>
        <v>0</v>
      </c>
      <c r="T56" s="923">
        <f>IFERROR(LOOKUP(1,0/((成型機資料庫!$F$317:$F$331=J56)*(成型機資料庫!$G$317:$G$331=K56)),成型機資料庫!$I$317:$I$331),0)</f>
        <v>0</v>
      </c>
      <c r="U56" s="944">
        <f>IFERROR(LOOKUP(1,0/((成型機資料庫!$F$317:$F$331=J56)*(成型機資料庫!$G$317:$G$331=K56)),成型機資料庫!$J$317:$J$331),0)</f>
        <v>0</v>
      </c>
      <c r="V56" s="900">
        <f>IFERROR(LOOKUP(1,0/((成型機資料庫!$F$317:$F$331=J56)*(成型機資料庫!$G$317:$G$331=K56)),成型機資料庫!$L$317:$L$331),0)</f>
        <v>0</v>
      </c>
      <c r="W56" s="898">
        <f t="shared" si="12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3"/>
        <v>0</v>
      </c>
      <c r="AB56" s="438"/>
      <c r="AC56" s="482"/>
      <c r="AD56" s="464"/>
      <c r="AE56" s="438"/>
      <c r="AF56" s="438"/>
    </row>
    <row r="57" spans="1:32" s="433" customFormat="1" ht="15.75">
      <c r="A57" s="434">
        <v>113</v>
      </c>
      <c r="B57" s="581"/>
      <c r="C57" s="581">
        <v>9</v>
      </c>
      <c r="D57" s="581"/>
      <c r="E57" s="581" t="s">
        <v>43</v>
      </c>
      <c r="F57" s="436" t="s">
        <v>44</v>
      </c>
      <c r="G57" s="926"/>
      <c r="H57" s="464"/>
      <c r="I57" s="429"/>
      <c r="J57" s="429"/>
      <c r="K57" s="429"/>
      <c r="L57" s="464"/>
      <c r="M57" s="464"/>
      <c r="N57" s="900">
        <f t="shared" si="14"/>
        <v>0</v>
      </c>
      <c r="O57" s="901">
        <f t="shared" si="9"/>
        <v>0</v>
      </c>
      <c r="P57" s="460"/>
      <c r="Q57" s="438">
        <f>IFERROR(LOOKUP(1,0/((成型機資料庫!$F$317:$F$331=J57)*(成型機資料庫!$G$317:$G$331=K57)),成型機資料庫!$K$317:$K$331),0)</f>
        <v>0</v>
      </c>
      <c r="R57" s="899">
        <f t="shared" si="10"/>
        <v>0</v>
      </c>
      <c r="S57" s="898">
        <f t="shared" si="11"/>
        <v>0</v>
      </c>
      <c r="T57" s="923">
        <f>IFERROR(LOOKUP(1,0/((成型機資料庫!$F$317:$F$331=J57)*(成型機資料庫!$G$317:$G$331=K57)),成型機資料庫!$I$317:$I$331),0)</f>
        <v>0</v>
      </c>
      <c r="U57" s="944">
        <f>IFERROR(LOOKUP(1,0/((成型機資料庫!$F$317:$F$331=J57)*(成型機資料庫!$G$317:$G$331=K57)),成型機資料庫!$J$317:$J$331),0)</f>
        <v>0</v>
      </c>
      <c r="V57" s="900">
        <f>IFERROR(LOOKUP(1,0/((成型機資料庫!$F$317:$F$331=J57)*(成型機資料庫!$G$317:$G$331=K57)),成型機資料庫!$L$317:$L$331),0)</f>
        <v>0</v>
      </c>
      <c r="W57" s="898">
        <f t="shared" si="12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3"/>
        <v>0</v>
      </c>
      <c r="AB57" s="438"/>
      <c r="AC57" s="482"/>
      <c r="AD57" s="464"/>
      <c r="AE57" s="438"/>
      <c r="AF57" s="438"/>
    </row>
    <row r="58" spans="1:32" s="433" customFormat="1" ht="15.75">
      <c r="A58" s="434">
        <v>113</v>
      </c>
      <c r="B58" s="581"/>
      <c r="C58" s="581">
        <v>10</v>
      </c>
      <c r="D58" s="581"/>
      <c r="E58" s="581" t="s">
        <v>43</v>
      </c>
      <c r="F58" s="436" t="s">
        <v>44</v>
      </c>
      <c r="G58" s="926"/>
      <c r="H58" s="464"/>
      <c r="I58" s="429"/>
      <c r="J58" s="429"/>
      <c r="K58" s="429"/>
      <c r="L58" s="464"/>
      <c r="M58" s="464"/>
      <c r="N58" s="900">
        <f t="shared" si="14"/>
        <v>0</v>
      </c>
      <c r="O58" s="901">
        <f t="shared" si="9"/>
        <v>0</v>
      </c>
      <c r="P58" s="460"/>
      <c r="Q58" s="438">
        <f>IFERROR(LOOKUP(1,0/((成型機資料庫!$F$317:$F$331=J58)*(成型機資料庫!$G$317:$G$331=K58)),成型機資料庫!$K$317:$K$331),0)</f>
        <v>0</v>
      </c>
      <c r="R58" s="899">
        <f t="shared" si="10"/>
        <v>0</v>
      </c>
      <c r="S58" s="898">
        <f t="shared" si="11"/>
        <v>0</v>
      </c>
      <c r="T58" s="923">
        <f>IFERROR(LOOKUP(1,0/((成型機資料庫!$F$317:$F$331=J58)*(成型機資料庫!$G$317:$G$331=K58)),成型機資料庫!$I$317:$I$331),0)</f>
        <v>0</v>
      </c>
      <c r="U58" s="944">
        <f>IFERROR(LOOKUP(1,0/((成型機資料庫!$F$317:$F$331=J58)*(成型機資料庫!$G$317:$G$331=K58)),成型機資料庫!$J$317:$J$331),0)</f>
        <v>0</v>
      </c>
      <c r="V58" s="900">
        <f>IFERROR(LOOKUP(1,0/((成型機資料庫!$F$317:$F$331=J58)*(成型機資料庫!$G$317:$G$331=K58)),成型機資料庫!$L$317:$L$331),0)</f>
        <v>0</v>
      </c>
      <c r="W58" s="898">
        <f t="shared" si="12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3"/>
        <v>0</v>
      </c>
      <c r="AB58" s="438"/>
      <c r="AC58" s="482"/>
      <c r="AD58" s="438"/>
      <c r="AE58" s="438"/>
      <c r="AF58" s="438"/>
    </row>
    <row r="59" spans="1:32" s="433" customFormat="1" ht="15.75">
      <c r="A59" s="434">
        <v>113</v>
      </c>
      <c r="B59" s="581"/>
      <c r="C59" s="581">
        <v>11</v>
      </c>
      <c r="D59" s="581"/>
      <c r="E59" s="581" t="s">
        <v>43</v>
      </c>
      <c r="F59" s="436" t="s">
        <v>44</v>
      </c>
      <c r="G59" s="926"/>
      <c r="H59" s="464"/>
      <c r="I59" s="429"/>
      <c r="J59" s="429"/>
      <c r="K59" s="429"/>
      <c r="L59" s="464"/>
      <c r="M59" s="464"/>
      <c r="N59" s="900">
        <f t="shared" si="14"/>
        <v>0</v>
      </c>
      <c r="O59" s="901">
        <f t="shared" si="9"/>
        <v>0</v>
      </c>
      <c r="P59" s="460"/>
      <c r="Q59" s="438">
        <f>IFERROR(LOOKUP(1,0/((成型機資料庫!$F$317:$F$331=J59)*(成型機資料庫!$G$317:$G$331=K59)),成型機資料庫!$K$317:$K$331),0)</f>
        <v>0</v>
      </c>
      <c r="R59" s="899">
        <f t="shared" si="10"/>
        <v>0</v>
      </c>
      <c r="S59" s="898">
        <f t="shared" si="11"/>
        <v>0</v>
      </c>
      <c r="T59" s="923">
        <f>IFERROR(LOOKUP(1,0/((成型機資料庫!$F$317:$F$331=J59)*(成型機資料庫!$G$317:$G$331=K59)),成型機資料庫!$I$317:$I$331),0)</f>
        <v>0</v>
      </c>
      <c r="U59" s="944">
        <f>IFERROR(LOOKUP(1,0/((成型機資料庫!$F$317:$F$331=J59)*(成型機資料庫!$G$317:$G$331=K59)),成型機資料庫!$J$317:$J$331),0)</f>
        <v>0</v>
      </c>
      <c r="V59" s="900">
        <f>IFERROR(LOOKUP(1,0/((成型機資料庫!$F$317:$F$331=J59)*(成型機資料庫!$G$317:$G$331=K59)),成型機資料庫!$L$317:$L$331),0)</f>
        <v>0</v>
      </c>
      <c r="W59" s="898">
        <f t="shared" si="12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3"/>
        <v>0</v>
      </c>
      <c r="AB59" s="438"/>
      <c r="AC59" s="482"/>
      <c r="AD59" s="464"/>
      <c r="AE59" s="438"/>
      <c r="AF59" s="438"/>
    </row>
    <row r="60" spans="1:32" s="433" customFormat="1" ht="15.75">
      <c r="A60" s="434">
        <v>113</v>
      </c>
      <c r="B60" s="581"/>
      <c r="C60" s="581">
        <v>12</v>
      </c>
      <c r="D60" s="581"/>
      <c r="E60" s="581" t="s">
        <v>43</v>
      </c>
      <c r="F60" s="436" t="s">
        <v>44</v>
      </c>
      <c r="G60" s="926"/>
      <c r="H60" s="464"/>
      <c r="I60" s="429"/>
      <c r="J60" s="429"/>
      <c r="K60" s="429"/>
      <c r="L60" s="464"/>
      <c r="M60" s="464"/>
      <c r="N60" s="900">
        <f t="shared" si="14"/>
        <v>0</v>
      </c>
      <c r="O60" s="901">
        <f t="shared" si="9"/>
        <v>0</v>
      </c>
      <c r="P60" s="460"/>
      <c r="Q60" s="438">
        <f>IFERROR(LOOKUP(1,0/((成型機資料庫!$F$317:$F$331=J60)*(成型機資料庫!$G$317:$G$331=K60)),成型機資料庫!$K$317:$K$331),0)</f>
        <v>0</v>
      </c>
      <c r="R60" s="899">
        <f t="shared" si="10"/>
        <v>0</v>
      </c>
      <c r="S60" s="898">
        <f t="shared" si="11"/>
        <v>0</v>
      </c>
      <c r="T60" s="923">
        <f>IFERROR(LOOKUP(1,0/((成型機資料庫!$F$317:$F$331=J60)*(成型機資料庫!$G$317:$G$331=K60)),成型機資料庫!$I$317:$I$331),0)</f>
        <v>0</v>
      </c>
      <c r="U60" s="944">
        <f>IFERROR(LOOKUP(1,0/((成型機資料庫!$F$317:$F$331=J60)*(成型機資料庫!$G$317:$G$331=K60)),成型機資料庫!$J$317:$J$331),0)</f>
        <v>0</v>
      </c>
      <c r="V60" s="900">
        <f>IFERROR(LOOKUP(1,0/((成型機資料庫!$F$317:$F$331=J60)*(成型機資料庫!$G$317:$G$331=K60)),成型機資料庫!$L$317:$L$331),0)</f>
        <v>0</v>
      </c>
      <c r="W60" s="898">
        <f t="shared" si="12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3"/>
        <v>0</v>
      </c>
      <c r="AB60" s="438"/>
      <c r="AC60" s="482"/>
      <c r="AD60" s="438"/>
      <c r="AE60" s="438"/>
      <c r="AF60" s="438"/>
    </row>
    <row r="61" spans="1:32" s="433" customFormat="1" ht="15.75">
      <c r="A61" s="434">
        <v>113</v>
      </c>
      <c r="B61" s="581"/>
      <c r="C61" s="581">
        <v>13</v>
      </c>
      <c r="D61" s="581"/>
      <c r="E61" s="581" t="s">
        <v>43</v>
      </c>
      <c r="F61" s="436" t="s">
        <v>44</v>
      </c>
      <c r="G61" s="926"/>
      <c r="H61" s="464"/>
      <c r="I61" s="429"/>
      <c r="J61" s="429"/>
      <c r="K61" s="429"/>
      <c r="L61" s="464"/>
      <c r="M61" s="464"/>
      <c r="N61" s="900">
        <f t="shared" si="14"/>
        <v>0</v>
      </c>
      <c r="O61" s="901">
        <f t="shared" si="9"/>
        <v>0</v>
      </c>
      <c r="P61" s="460"/>
      <c r="Q61" s="438">
        <f>IFERROR(LOOKUP(1,0/((成型機資料庫!$F$317:$F$331=J61)*(成型機資料庫!$G$317:$G$331=K61)),成型機資料庫!$K$317:$K$331),0)</f>
        <v>0</v>
      </c>
      <c r="R61" s="899">
        <f t="shared" si="10"/>
        <v>0</v>
      </c>
      <c r="S61" s="898">
        <f t="shared" si="11"/>
        <v>0</v>
      </c>
      <c r="T61" s="923">
        <f>IFERROR(LOOKUP(1,0/((成型機資料庫!$F$317:$F$331=J61)*(成型機資料庫!$G$317:$G$331=K61)),成型機資料庫!$I$317:$I$331),0)</f>
        <v>0</v>
      </c>
      <c r="U61" s="944">
        <f>IFERROR(LOOKUP(1,0/((成型機資料庫!$F$317:$F$331=J61)*(成型機資料庫!$G$317:$G$331=K61)),成型機資料庫!$J$317:$J$331),0)</f>
        <v>0</v>
      </c>
      <c r="V61" s="900">
        <f>IFERROR(LOOKUP(1,0/((成型機資料庫!$F$317:$F$331=J61)*(成型機資料庫!$G$317:$G$331=K61)),成型機資料庫!$L$317:$L$331),0)</f>
        <v>0</v>
      </c>
      <c r="W61" s="898">
        <f t="shared" si="12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3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581"/>
      <c r="C62" s="581">
        <v>14</v>
      </c>
      <c r="D62" s="581"/>
      <c r="E62" s="581" t="s">
        <v>43</v>
      </c>
      <c r="F62" s="436" t="s">
        <v>44</v>
      </c>
      <c r="G62" s="926"/>
      <c r="H62" s="464"/>
      <c r="I62" s="429"/>
      <c r="J62" s="429"/>
      <c r="K62" s="429"/>
      <c r="L62" s="464"/>
      <c r="M62" s="464"/>
      <c r="N62" s="900">
        <f t="shared" si="14"/>
        <v>0</v>
      </c>
      <c r="O62" s="901">
        <f t="shared" si="9"/>
        <v>0</v>
      </c>
      <c r="P62" s="460"/>
      <c r="Q62" s="438">
        <f>IFERROR(LOOKUP(1,0/((成型機資料庫!$F$317:$F$331=J62)*(成型機資料庫!$G$317:$G$331=K62)),成型機資料庫!$K$317:$K$331),0)</f>
        <v>0</v>
      </c>
      <c r="R62" s="899">
        <f t="shared" si="10"/>
        <v>0</v>
      </c>
      <c r="S62" s="898">
        <f t="shared" si="11"/>
        <v>0</v>
      </c>
      <c r="T62" s="923">
        <f>IFERROR(LOOKUP(1,0/((成型機資料庫!$F$317:$F$331=J62)*(成型機資料庫!$G$317:$G$331=K62)),成型機資料庫!$I$317:$I$331),0)</f>
        <v>0</v>
      </c>
      <c r="U62" s="944">
        <f>IFERROR(LOOKUP(1,0/((成型機資料庫!$F$317:$F$331=J62)*(成型機資料庫!$G$317:$G$331=K62)),成型機資料庫!$J$317:$J$331),0)</f>
        <v>0</v>
      </c>
      <c r="V62" s="900">
        <f>IFERROR(LOOKUP(1,0/((成型機資料庫!$F$317:$F$331=J62)*(成型機資料庫!$G$317:$G$331=K62)),成型機資料庫!$L$317:$L$331),0)</f>
        <v>0</v>
      </c>
      <c r="W62" s="898">
        <f t="shared" si="12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3"/>
        <v>0</v>
      </c>
      <c r="AB62" s="438"/>
      <c r="AC62" s="482"/>
      <c r="AD62" s="464"/>
      <c r="AE62" s="438"/>
      <c r="AF62" s="438"/>
    </row>
    <row r="63" spans="1:32" s="433" customFormat="1" ht="15.75">
      <c r="A63" s="434">
        <v>113</v>
      </c>
      <c r="B63" s="581"/>
      <c r="C63" s="581">
        <v>15</v>
      </c>
      <c r="D63" s="581"/>
      <c r="E63" s="581" t="s">
        <v>43</v>
      </c>
      <c r="F63" s="436" t="s">
        <v>44</v>
      </c>
      <c r="G63" s="927"/>
      <c r="H63" s="464"/>
      <c r="I63" s="429"/>
      <c r="J63" s="429"/>
      <c r="K63" s="429"/>
      <c r="L63" s="464"/>
      <c r="M63" s="464"/>
      <c r="N63" s="900">
        <f t="shared" si="14"/>
        <v>0</v>
      </c>
      <c r="O63" s="901">
        <f t="shared" si="9"/>
        <v>0</v>
      </c>
      <c r="P63" s="460"/>
      <c r="Q63" s="438">
        <f>IFERROR(LOOKUP(1,0/((成型機資料庫!$F$317:$F$331=J63)*(成型機資料庫!$G$317:$G$331=K63)),成型機資料庫!$K$317:$K$331),0)</f>
        <v>0</v>
      </c>
      <c r="R63" s="899">
        <f t="shared" si="10"/>
        <v>0</v>
      </c>
      <c r="S63" s="898">
        <f t="shared" si="11"/>
        <v>0</v>
      </c>
      <c r="T63" s="923">
        <f>IFERROR(LOOKUP(1,0/((成型機資料庫!$F$317:$F$331=J63)*(成型機資料庫!$G$317:$G$331=K63)),成型機資料庫!$I$317:$I$331),0)</f>
        <v>0</v>
      </c>
      <c r="U63" s="944">
        <f>IFERROR(LOOKUP(1,0/((成型機資料庫!$F$317:$F$331=J63)*(成型機資料庫!$G$317:$G$331=K63)),成型機資料庫!$J$317:$J$331),0)</f>
        <v>0</v>
      </c>
      <c r="V63" s="900">
        <f>IFERROR(LOOKUP(1,0/((成型機資料庫!$F$317:$F$331=J63)*(成型機資料庫!$G$317:$G$331=K63)),成型機資料庫!$L$317:$L$331),0)</f>
        <v>0</v>
      </c>
      <c r="W63" s="898">
        <f t="shared" si="12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3"/>
        <v>0</v>
      </c>
      <c r="AB63" s="438"/>
      <c r="AC63" s="482"/>
      <c r="AD63" s="438"/>
      <c r="AE63" s="438"/>
      <c r="AF63" s="438"/>
    </row>
    <row r="64" spans="1:32" s="433" customFormat="1" ht="15.75">
      <c r="A64" s="434">
        <v>113</v>
      </c>
      <c r="B64" s="581"/>
      <c r="C64" s="581">
        <v>16</v>
      </c>
      <c r="D64" s="581"/>
      <c r="E64" s="581" t="s">
        <v>43</v>
      </c>
      <c r="F64" s="436" t="s">
        <v>44</v>
      </c>
      <c r="G64" s="927"/>
      <c r="H64" s="464"/>
      <c r="I64" s="429"/>
      <c r="J64" s="429"/>
      <c r="K64" s="429"/>
      <c r="L64" s="464"/>
      <c r="M64" s="464"/>
      <c r="N64" s="900">
        <f t="shared" si="14"/>
        <v>0</v>
      </c>
      <c r="O64" s="901">
        <f t="shared" si="9"/>
        <v>0</v>
      </c>
      <c r="P64" s="460"/>
      <c r="Q64" s="438">
        <f>IFERROR(LOOKUP(1,0/((成型機資料庫!$F$317:$F$331=J64)*(成型機資料庫!$G$317:$G$331=K64)),成型機資料庫!$K$317:$K$331),0)</f>
        <v>0</v>
      </c>
      <c r="R64" s="899">
        <f t="shared" si="10"/>
        <v>0</v>
      </c>
      <c r="S64" s="898">
        <f t="shared" si="11"/>
        <v>0</v>
      </c>
      <c r="T64" s="923">
        <f>IFERROR(LOOKUP(1,0/((成型機資料庫!$F$317:$F$331=J64)*(成型機資料庫!$G$317:$G$331=K64)),成型機資料庫!$I$317:$I$331),0)</f>
        <v>0</v>
      </c>
      <c r="U64" s="944">
        <f>IFERROR(LOOKUP(1,0/((成型機資料庫!$F$317:$F$331=J64)*(成型機資料庫!$G$317:$G$331=K64)),成型機資料庫!$J$317:$J$331),0)</f>
        <v>0</v>
      </c>
      <c r="V64" s="900">
        <f>IFERROR(LOOKUP(1,0/((成型機資料庫!$F$317:$F$331=J64)*(成型機資料庫!$G$317:$G$331=K64)),成型機資料庫!$L$317:$L$331),0)</f>
        <v>0</v>
      </c>
      <c r="W64" s="898">
        <f t="shared" si="12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3"/>
        <v>0</v>
      </c>
      <c r="AB64" s="438"/>
      <c r="AC64" s="482"/>
      <c r="AD64" s="464"/>
      <c r="AE64" s="464"/>
      <c r="AF64" s="438"/>
    </row>
    <row r="65" spans="1:32" s="433" customFormat="1" ht="15.75">
      <c r="A65" s="434">
        <v>113</v>
      </c>
      <c r="B65" s="581"/>
      <c r="C65" s="581">
        <v>17</v>
      </c>
      <c r="D65" s="581"/>
      <c r="E65" s="581" t="s">
        <v>43</v>
      </c>
      <c r="F65" s="436" t="s">
        <v>44</v>
      </c>
      <c r="G65" s="927"/>
      <c r="H65" s="464"/>
      <c r="I65" s="429"/>
      <c r="J65" s="429"/>
      <c r="K65" s="429"/>
      <c r="L65" s="464"/>
      <c r="M65" s="464"/>
      <c r="N65" s="900">
        <f t="shared" si="14"/>
        <v>0</v>
      </c>
      <c r="O65" s="901">
        <f t="shared" si="9"/>
        <v>0</v>
      </c>
      <c r="P65" s="460"/>
      <c r="Q65" s="438">
        <f>IFERROR(LOOKUP(1,0/((成型機資料庫!$F$317:$F$331=J65)*(成型機資料庫!$G$317:$G$331=K65)),成型機資料庫!$K$317:$K$331),0)</f>
        <v>0</v>
      </c>
      <c r="R65" s="899">
        <f t="shared" si="10"/>
        <v>0</v>
      </c>
      <c r="S65" s="898">
        <f t="shared" si="11"/>
        <v>0</v>
      </c>
      <c r="T65" s="923">
        <f>IFERROR(LOOKUP(1,0/((成型機資料庫!$F$317:$F$331=J65)*(成型機資料庫!$G$317:$G$331=K65)),成型機資料庫!$I$317:$I$331),0)</f>
        <v>0</v>
      </c>
      <c r="U65" s="944">
        <f>IFERROR(LOOKUP(1,0/((成型機資料庫!$F$317:$F$331=J65)*(成型機資料庫!$G$317:$G$331=K65)),成型機資料庫!$J$317:$J$331),0)</f>
        <v>0</v>
      </c>
      <c r="V65" s="900">
        <f>IFERROR(LOOKUP(1,0/((成型機資料庫!$F$317:$F$331=J65)*(成型機資料庫!$G$317:$G$331=K65)),成型機資料庫!$L$317:$L$331),0)</f>
        <v>0</v>
      </c>
      <c r="W65" s="898">
        <f t="shared" si="12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3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434"/>
      <c r="C66" s="434">
        <v>18</v>
      </c>
      <c r="D66" s="581"/>
      <c r="E66" s="581" t="s">
        <v>43</v>
      </c>
      <c r="F66" s="436" t="s">
        <v>44</v>
      </c>
      <c r="G66" s="926"/>
      <c r="H66" s="464"/>
      <c r="I66" s="429"/>
      <c r="J66" s="429"/>
      <c r="K66" s="429"/>
      <c r="L66" s="464"/>
      <c r="M66" s="464"/>
      <c r="N66" s="900">
        <f t="shared" si="14"/>
        <v>0</v>
      </c>
      <c r="O66" s="901">
        <f t="shared" si="9"/>
        <v>0</v>
      </c>
      <c r="P66" s="460"/>
      <c r="Q66" s="438">
        <f>IFERROR(LOOKUP(1,0/((成型機資料庫!$F$317:$F$331=J66)*(成型機資料庫!$G$317:$G$331=K66)),成型機資料庫!$K$317:$K$331),0)</f>
        <v>0</v>
      </c>
      <c r="R66" s="899">
        <f t="shared" si="10"/>
        <v>0</v>
      </c>
      <c r="S66" s="898">
        <f t="shared" si="11"/>
        <v>0</v>
      </c>
      <c r="T66" s="923">
        <f>IFERROR(LOOKUP(1,0/((成型機資料庫!$F$317:$F$331=J66)*(成型機資料庫!$G$317:$G$331=K66)),成型機資料庫!$I$317:$I$331),0)</f>
        <v>0</v>
      </c>
      <c r="U66" s="944">
        <f>IFERROR(LOOKUP(1,0/((成型機資料庫!$F$317:$F$331=J66)*(成型機資料庫!$G$317:$G$331=K66)),成型機資料庫!$J$317:$J$331),0)</f>
        <v>0</v>
      </c>
      <c r="V66" s="900">
        <f>IFERROR(LOOKUP(1,0/((成型機資料庫!$F$317:$F$331=J66)*(成型機資料庫!$G$317:$G$331=K66)),成型機資料庫!$L$317:$L$331),0)</f>
        <v>0</v>
      </c>
      <c r="W66" s="898">
        <f t="shared" si="12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3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19</v>
      </c>
      <c r="D67" s="581"/>
      <c r="E67" s="581" t="s">
        <v>43</v>
      </c>
      <c r="F67" s="436" t="s">
        <v>44</v>
      </c>
      <c r="G67" s="926"/>
      <c r="H67" s="464"/>
      <c r="I67" s="429"/>
      <c r="J67" s="429"/>
      <c r="K67" s="429"/>
      <c r="L67" s="464"/>
      <c r="M67" s="464"/>
      <c r="N67" s="900">
        <f t="shared" si="14"/>
        <v>0</v>
      </c>
      <c r="O67" s="901">
        <f t="shared" si="9"/>
        <v>0</v>
      </c>
      <c r="P67" s="460"/>
      <c r="Q67" s="438">
        <f>IFERROR(LOOKUP(1,0/((成型機資料庫!$F$317:$F$331=J67)*(成型機資料庫!$G$317:$G$331=K67)),成型機資料庫!$K$317:$K$331),0)</f>
        <v>0</v>
      </c>
      <c r="R67" s="899">
        <f t="shared" si="10"/>
        <v>0</v>
      </c>
      <c r="S67" s="898">
        <f t="shared" si="11"/>
        <v>0</v>
      </c>
      <c r="T67" s="923">
        <f>IFERROR(LOOKUP(1,0/((成型機資料庫!$F$317:$F$331=J67)*(成型機資料庫!$G$317:$G$331=K67)),成型機資料庫!$I$317:$I$331),0)</f>
        <v>0</v>
      </c>
      <c r="U67" s="944">
        <f>IFERROR(LOOKUP(1,0/((成型機資料庫!$F$317:$F$331=J67)*(成型機資料庫!$G$317:$G$331=K67)),成型機資料庫!$J$317:$J$331),0)</f>
        <v>0</v>
      </c>
      <c r="V67" s="900">
        <f>IFERROR(LOOKUP(1,0/((成型機資料庫!$F$317:$F$331=J67)*(成型機資料庫!$G$317:$G$331=K67)),成型機資料庫!$L$317:$L$331),0)</f>
        <v>0</v>
      </c>
      <c r="W67" s="898">
        <f t="shared" si="12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3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20</v>
      </c>
      <c r="D68" s="581"/>
      <c r="E68" s="581" t="s">
        <v>43</v>
      </c>
      <c r="F68" s="436" t="s">
        <v>44</v>
      </c>
      <c r="G68" s="926"/>
      <c r="H68" s="464"/>
      <c r="I68" s="429"/>
      <c r="J68" s="429"/>
      <c r="K68" s="429"/>
      <c r="L68" s="464"/>
      <c r="M68" s="464"/>
      <c r="N68" s="900">
        <f t="shared" si="14"/>
        <v>0</v>
      </c>
      <c r="O68" s="901">
        <f t="shared" si="9"/>
        <v>0</v>
      </c>
      <c r="P68" s="460"/>
      <c r="Q68" s="438">
        <f>IFERROR(LOOKUP(1,0/((成型機資料庫!$F$317:$F$331=J68)*(成型機資料庫!$G$317:$G$331=K68)),成型機資料庫!$K$317:$K$331),0)</f>
        <v>0</v>
      </c>
      <c r="R68" s="899">
        <f t="shared" si="10"/>
        <v>0</v>
      </c>
      <c r="S68" s="898">
        <f t="shared" si="11"/>
        <v>0</v>
      </c>
      <c r="T68" s="923">
        <f>IFERROR(LOOKUP(1,0/((成型機資料庫!$F$317:$F$331=J68)*(成型機資料庫!$G$317:$G$331=K68)),成型機資料庫!$I$317:$I$331),0)</f>
        <v>0</v>
      </c>
      <c r="U68" s="944">
        <f>IFERROR(LOOKUP(1,0/((成型機資料庫!$F$317:$F$331=J68)*(成型機資料庫!$G$317:$G$331=K68)),成型機資料庫!$J$317:$J$331),0)</f>
        <v>0</v>
      </c>
      <c r="V68" s="900">
        <f>IFERROR(LOOKUP(1,0/((成型機資料庫!$F$317:$F$331=J68)*(成型機資料庫!$G$317:$G$331=K68)),成型機資料庫!$L$317:$L$331),0)</f>
        <v>0</v>
      </c>
      <c r="W68" s="898">
        <f t="shared" si="12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3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21</v>
      </c>
      <c r="D69" s="581"/>
      <c r="E69" s="581" t="s">
        <v>43</v>
      </c>
      <c r="F69" s="436" t="s">
        <v>44</v>
      </c>
      <c r="G69" s="926"/>
      <c r="H69" s="464"/>
      <c r="I69" s="429"/>
      <c r="J69" s="429"/>
      <c r="K69" s="429"/>
      <c r="L69" s="464"/>
      <c r="M69" s="464"/>
      <c r="N69" s="900">
        <f t="shared" si="14"/>
        <v>0</v>
      </c>
      <c r="O69" s="901">
        <f t="shared" si="9"/>
        <v>0</v>
      </c>
      <c r="P69" s="460"/>
      <c r="Q69" s="438">
        <f>IFERROR(LOOKUP(1,0/((成型機資料庫!$F$317:$F$331=J69)*(成型機資料庫!$G$317:$G$331=K69)),成型機資料庫!$K$317:$K$331),0)</f>
        <v>0</v>
      </c>
      <c r="R69" s="899">
        <f t="shared" si="10"/>
        <v>0</v>
      </c>
      <c r="S69" s="898">
        <f t="shared" si="11"/>
        <v>0</v>
      </c>
      <c r="T69" s="923">
        <f>IFERROR(LOOKUP(1,0/((成型機資料庫!$F$317:$F$331=J69)*(成型機資料庫!$G$317:$G$331=K69)),成型機資料庫!$I$317:$I$331),0)</f>
        <v>0</v>
      </c>
      <c r="U69" s="944">
        <f>IFERROR(LOOKUP(1,0/((成型機資料庫!$F$317:$F$331=J69)*(成型機資料庫!$G$317:$G$331=K69)),成型機資料庫!$J$317:$J$331),0)</f>
        <v>0</v>
      </c>
      <c r="V69" s="900">
        <f>IFERROR(LOOKUP(1,0/((成型機資料庫!$F$317:$F$331=J69)*(成型機資料庫!$G$317:$G$331=K69)),成型機資料庫!$L$317:$L$331),0)</f>
        <v>0</v>
      </c>
      <c r="W69" s="898">
        <f t="shared" si="12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3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22</v>
      </c>
      <c r="D70" s="581"/>
      <c r="E70" s="581" t="s">
        <v>43</v>
      </c>
      <c r="F70" s="436" t="s">
        <v>44</v>
      </c>
      <c r="G70" s="927"/>
      <c r="H70" s="464"/>
      <c r="I70" s="429"/>
      <c r="J70" s="429"/>
      <c r="K70" s="429"/>
      <c r="L70" s="464"/>
      <c r="M70" s="464"/>
      <c r="N70" s="900">
        <f t="shared" si="14"/>
        <v>0</v>
      </c>
      <c r="O70" s="901">
        <f t="shared" si="9"/>
        <v>0</v>
      </c>
      <c r="P70" s="460"/>
      <c r="Q70" s="438">
        <f>IFERROR(LOOKUP(1,0/((成型機資料庫!$F$317:$F$331=J70)*(成型機資料庫!$G$317:$G$331=K70)),成型機資料庫!$K$317:$K$331),0)</f>
        <v>0</v>
      </c>
      <c r="R70" s="899">
        <f t="shared" si="10"/>
        <v>0</v>
      </c>
      <c r="S70" s="898">
        <f t="shared" si="11"/>
        <v>0</v>
      </c>
      <c r="T70" s="923">
        <f>IFERROR(LOOKUP(1,0/((成型機資料庫!$F$317:$F$331=J70)*(成型機資料庫!$G$317:$G$331=K70)),成型機資料庫!$I$317:$I$331),0)</f>
        <v>0</v>
      </c>
      <c r="U70" s="944">
        <f>IFERROR(LOOKUP(1,0/((成型機資料庫!$F$317:$F$331=J70)*(成型機資料庫!$G$317:$G$331=K70)),成型機資料庫!$J$317:$J$331),0)</f>
        <v>0</v>
      </c>
      <c r="V70" s="900">
        <f>IFERROR(LOOKUP(1,0/((成型機資料庫!$F$317:$F$331=J70)*(成型機資料庫!$G$317:$G$331=K70)),成型機資料庫!$L$317:$L$331),0)</f>
        <v>0</v>
      </c>
      <c r="W70" s="898">
        <f t="shared" si="12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3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23</v>
      </c>
      <c r="D71" s="581"/>
      <c r="E71" s="581" t="s">
        <v>43</v>
      </c>
      <c r="F71" s="436" t="s">
        <v>44</v>
      </c>
      <c r="G71" s="926"/>
      <c r="H71" s="464"/>
      <c r="I71" s="429"/>
      <c r="J71" s="429"/>
      <c r="K71" s="429"/>
      <c r="L71" s="464"/>
      <c r="M71" s="464"/>
      <c r="N71" s="900">
        <f t="shared" si="14"/>
        <v>0</v>
      </c>
      <c r="O71" s="901">
        <f t="shared" si="9"/>
        <v>0</v>
      </c>
      <c r="P71" s="460"/>
      <c r="Q71" s="438">
        <f>IFERROR(LOOKUP(1,0/((成型機資料庫!$F$317:$F$331=J71)*(成型機資料庫!$G$317:$G$331=K71)),成型機資料庫!$K$317:$K$331),0)</f>
        <v>0</v>
      </c>
      <c r="R71" s="899">
        <f t="shared" si="10"/>
        <v>0</v>
      </c>
      <c r="S71" s="898">
        <f t="shared" si="11"/>
        <v>0</v>
      </c>
      <c r="T71" s="923">
        <f>IFERROR(LOOKUP(1,0/((成型機資料庫!$F$317:$F$331=J71)*(成型機資料庫!$G$317:$G$331=K71)),成型機資料庫!$I$317:$I$331),0)</f>
        <v>0</v>
      </c>
      <c r="U71" s="944">
        <f>IFERROR(LOOKUP(1,0/((成型機資料庫!$F$317:$F$331=J71)*(成型機資料庫!$G$317:$G$331=K71)),成型機資料庫!$J$317:$J$331),0)</f>
        <v>0</v>
      </c>
      <c r="V71" s="900">
        <f>IFERROR(LOOKUP(1,0/((成型機資料庫!$F$317:$F$331=J71)*(成型機資料庫!$G$317:$G$331=K71)),成型機資料庫!$L$317:$L$331),0)</f>
        <v>0</v>
      </c>
      <c r="W71" s="898">
        <f t="shared" si="12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3"/>
        <v>0</v>
      </c>
      <c r="AB71" s="438"/>
      <c r="AC71" s="482"/>
      <c r="AD71" s="464"/>
      <c r="AE71" s="464"/>
      <c r="AF71" s="438"/>
    </row>
    <row r="72" spans="1:32" s="433" customFormat="1" ht="15.75">
      <c r="A72" s="434">
        <v>113</v>
      </c>
      <c r="B72" s="434"/>
      <c r="C72" s="434">
        <v>24</v>
      </c>
      <c r="D72" s="581"/>
      <c r="E72" s="581" t="s">
        <v>43</v>
      </c>
      <c r="F72" s="436" t="s">
        <v>44</v>
      </c>
      <c r="G72" s="926"/>
      <c r="H72" s="464"/>
      <c r="I72" s="429"/>
      <c r="J72" s="429"/>
      <c r="K72" s="429"/>
      <c r="L72" s="464"/>
      <c r="M72" s="464"/>
      <c r="N72" s="900">
        <f t="shared" si="14"/>
        <v>0</v>
      </c>
      <c r="O72" s="901">
        <f t="shared" si="9"/>
        <v>0</v>
      </c>
      <c r="P72" s="460"/>
      <c r="Q72" s="438">
        <f>IFERROR(LOOKUP(1,0/((成型機資料庫!$F$317:$F$331=J72)*(成型機資料庫!$G$317:$G$331=K72)),成型機資料庫!$K$317:$K$331),0)</f>
        <v>0</v>
      </c>
      <c r="R72" s="899">
        <f t="shared" si="10"/>
        <v>0</v>
      </c>
      <c r="S72" s="898">
        <f t="shared" si="11"/>
        <v>0</v>
      </c>
      <c r="T72" s="923">
        <f>IFERROR(LOOKUP(1,0/((成型機資料庫!$F$317:$F$331=J72)*(成型機資料庫!$G$317:$G$331=K72)),成型機資料庫!$I$317:$I$331),0)</f>
        <v>0</v>
      </c>
      <c r="U72" s="944">
        <f>IFERROR(LOOKUP(1,0/((成型機資料庫!$F$317:$F$331=J72)*(成型機資料庫!$G$317:$G$331=K72)),成型機資料庫!$J$317:$J$331),0)</f>
        <v>0</v>
      </c>
      <c r="V72" s="900">
        <f>IFERROR(LOOKUP(1,0/((成型機資料庫!$F$317:$F$331=J72)*(成型機資料庫!$G$317:$G$331=K72)),成型機資料庫!$L$317:$L$331),0)</f>
        <v>0</v>
      </c>
      <c r="W72" s="898">
        <f t="shared" si="12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3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25</v>
      </c>
      <c r="D73" s="581"/>
      <c r="E73" s="581" t="s">
        <v>43</v>
      </c>
      <c r="F73" s="436" t="s">
        <v>44</v>
      </c>
      <c r="G73" s="926"/>
      <c r="H73" s="464"/>
      <c r="I73" s="429"/>
      <c r="J73" s="429"/>
      <c r="K73" s="429"/>
      <c r="L73" s="464"/>
      <c r="M73" s="464"/>
      <c r="N73" s="900">
        <f t="shared" si="14"/>
        <v>0</v>
      </c>
      <c r="O73" s="901">
        <f t="shared" si="9"/>
        <v>0</v>
      </c>
      <c r="P73" s="460"/>
      <c r="Q73" s="438">
        <f>IFERROR(LOOKUP(1,0/((成型機資料庫!$F$317:$F$331=J73)*(成型機資料庫!$G$317:$G$331=K73)),成型機資料庫!$K$317:$K$331),0)</f>
        <v>0</v>
      </c>
      <c r="R73" s="899">
        <f t="shared" si="10"/>
        <v>0</v>
      </c>
      <c r="S73" s="898">
        <f t="shared" si="11"/>
        <v>0</v>
      </c>
      <c r="T73" s="923">
        <f>IFERROR(LOOKUP(1,0/((成型機資料庫!$F$317:$F$331=J73)*(成型機資料庫!$G$317:$G$331=K73)),成型機資料庫!$I$317:$I$331),0)</f>
        <v>0</v>
      </c>
      <c r="U73" s="944">
        <f>IFERROR(LOOKUP(1,0/((成型機資料庫!$F$317:$F$331=J73)*(成型機資料庫!$G$317:$G$331=K73)),成型機資料庫!$J$317:$J$331),0)</f>
        <v>0</v>
      </c>
      <c r="V73" s="900">
        <f>IFERROR(LOOKUP(1,0/((成型機資料庫!$F$317:$F$331=J73)*(成型機資料庫!$G$317:$G$331=K73)),成型機資料庫!$L$317:$L$331),0)</f>
        <v>0</v>
      </c>
      <c r="W73" s="898">
        <f t="shared" si="12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3"/>
        <v>0</v>
      </c>
      <c r="AB73" s="438"/>
      <c r="AC73" s="482"/>
      <c r="AD73" s="464"/>
      <c r="AE73" s="464"/>
      <c r="AF73" s="438"/>
    </row>
    <row r="74" spans="1:32" s="433" customFormat="1" ht="15.75">
      <c r="A74" s="434">
        <v>113</v>
      </c>
      <c r="B74" s="434"/>
      <c r="C74" s="434">
        <v>26</v>
      </c>
      <c r="D74" s="581"/>
      <c r="E74" s="581" t="s">
        <v>43</v>
      </c>
      <c r="F74" s="436" t="s">
        <v>44</v>
      </c>
      <c r="G74" s="926"/>
      <c r="H74" s="464"/>
      <c r="I74" s="429"/>
      <c r="J74" s="429"/>
      <c r="K74" s="429"/>
      <c r="L74" s="464"/>
      <c r="M74" s="464"/>
      <c r="N74" s="900">
        <f t="shared" si="14"/>
        <v>0</v>
      </c>
      <c r="O74" s="901">
        <f t="shared" si="9"/>
        <v>0</v>
      </c>
      <c r="P74" s="460"/>
      <c r="Q74" s="438">
        <f>IFERROR(LOOKUP(1,0/((成型機資料庫!$F$317:$F$331=J74)*(成型機資料庫!$G$317:$G$331=K74)),成型機資料庫!$K$317:$K$331),0)</f>
        <v>0</v>
      </c>
      <c r="R74" s="899">
        <f t="shared" si="10"/>
        <v>0</v>
      </c>
      <c r="S74" s="898">
        <f t="shared" si="11"/>
        <v>0</v>
      </c>
      <c r="T74" s="923">
        <f>IFERROR(LOOKUP(1,0/((成型機資料庫!$F$317:$F$331=J74)*(成型機資料庫!$G$317:$G$331=K74)),成型機資料庫!$I$317:$I$331),0)</f>
        <v>0</v>
      </c>
      <c r="U74" s="944">
        <f>IFERROR(LOOKUP(1,0/((成型機資料庫!$F$317:$F$331=J74)*(成型機資料庫!$G$317:$G$331=K74)),成型機資料庫!$J$317:$J$331),0)</f>
        <v>0</v>
      </c>
      <c r="V74" s="900">
        <f>IFERROR(LOOKUP(1,0/((成型機資料庫!$F$317:$F$331=J74)*(成型機資料庫!$G$317:$G$331=K74)),成型機資料庫!$L$317:$L$331),0)</f>
        <v>0</v>
      </c>
      <c r="W74" s="898">
        <f t="shared" si="12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3"/>
        <v>0</v>
      </c>
      <c r="AB74" s="438"/>
      <c r="AC74" s="482"/>
      <c r="AD74" s="438"/>
      <c r="AE74" s="464"/>
      <c r="AF74" s="438"/>
    </row>
    <row r="75" spans="1:32" s="433" customFormat="1" ht="15.75">
      <c r="A75" s="434">
        <v>113</v>
      </c>
      <c r="B75" s="434"/>
      <c r="C75" s="434">
        <v>27</v>
      </c>
      <c r="D75" s="581"/>
      <c r="E75" s="581" t="s">
        <v>43</v>
      </c>
      <c r="F75" s="436" t="s">
        <v>44</v>
      </c>
      <c r="G75" s="926"/>
      <c r="H75" s="464"/>
      <c r="I75" s="429"/>
      <c r="J75" s="429"/>
      <c r="K75" s="429"/>
      <c r="L75" s="464"/>
      <c r="M75" s="464"/>
      <c r="N75" s="900">
        <f t="shared" si="14"/>
        <v>0</v>
      </c>
      <c r="O75" s="901">
        <f t="shared" si="9"/>
        <v>0</v>
      </c>
      <c r="P75" s="460"/>
      <c r="Q75" s="438">
        <f>IFERROR(LOOKUP(1,0/((成型機資料庫!$F$317:$F$331=J75)*(成型機資料庫!$G$317:$G$331=K75)),成型機資料庫!$K$317:$K$331),0)</f>
        <v>0</v>
      </c>
      <c r="R75" s="899">
        <f t="shared" si="10"/>
        <v>0</v>
      </c>
      <c r="S75" s="898">
        <f t="shared" si="11"/>
        <v>0</v>
      </c>
      <c r="T75" s="923">
        <f>IFERROR(LOOKUP(1,0/((成型機資料庫!$F$317:$F$331=J75)*(成型機資料庫!$G$317:$G$331=K75)),成型機資料庫!$I$317:$I$331),0)</f>
        <v>0</v>
      </c>
      <c r="U75" s="944">
        <f>IFERROR(LOOKUP(1,0/((成型機資料庫!$F$317:$F$331=J75)*(成型機資料庫!$G$317:$G$331=K75)),成型機資料庫!$J$317:$J$331),0)</f>
        <v>0</v>
      </c>
      <c r="V75" s="900">
        <f>IFERROR(LOOKUP(1,0/((成型機資料庫!$F$317:$F$331=J75)*(成型機資料庫!$G$317:$G$331=K75)),成型機資料庫!$L$317:$L$331),0)</f>
        <v>0</v>
      </c>
      <c r="W75" s="898">
        <f t="shared" si="12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3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581"/>
      <c r="C76" s="581">
        <v>28</v>
      </c>
      <c r="D76" s="581"/>
      <c r="E76" s="581" t="s">
        <v>43</v>
      </c>
      <c r="F76" s="436" t="s">
        <v>44</v>
      </c>
      <c r="G76" s="926"/>
      <c r="H76" s="464"/>
      <c r="I76" s="429"/>
      <c r="J76" s="429"/>
      <c r="K76" s="429"/>
      <c r="L76" s="464"/>
      <c r="M76" s="464"/>
      <c r="N76" s="900">
        <f t="shared" si="14"/>
        <v>0</v>
      </c>
      <c r="O76" s="901">
        <f t="shared" si="9"/>
        <v>0</v>
      </c>
      <c r="P76" s="460"/>
      <c r="Q76" s="438">
        <f>IFERROR(LOOKUP(1,0/((成型機資料庫!$F$317:$F$331=J76)*(成型機資料庫!$G$317:$G$331=K76)),成型機資料庫!$K$317:$K$331),0)</f>
        <v>0</v>
      </c>
      <c r="R76" s="899">
        <f t="shared" si="10"/>
        <v>0</v>
      </c>
      <c r="S76" s="898">
        <f t="shared" si="11"/>
        <v>0</v>
      </c>
      <c r="T76" s="923">
        <f>IFERROR(LOOKUP(1,0/((成型機資料庫!$F$317:$F$331=J76)*(成型機資料庫!$G$317:$G$331=K76)),成型機資料庫!$I$317:$I$331),0)</f>
        <v>0</v>
      </c>
      <c r="U76" s="944">
        <f>IFERROR(LOOKUP(1,0/((成型機資料庫!$F$317:$F$331=J76)*(成型機資料庫!$G$317:$G$331=K76)),成型機資料庫!$J$317:$J$331),0)</f>
        <v>0</v>
      </c>
      <c r="V76" s="900">
        <f>IFERROR(LOOKUP(1,0/((成型機資料庫!$F$317:$F$331=J76)*(成型機資料庫!$G$317:$G$331=K76)),成型機資料庫!$L$317:$L$331),0)</f>
        <v>0</v>
      </c>
      <c r="W76" s="898">
        <f t="shared" si="12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3"/>
        <v>0</v>
      </c>
      <c r="AB76" s="438"/>
      <c r="AC76" s="482"/>
      <c r="AD76" s="464"/>
      <c r="AE76" s="438"/>
      <c r="AF76" s="438"/>
    </row>
    <row r="77" spans="1:32" s="433" customFormat="1" ht="15.75">
      <c r="A77" s="434">
        <v>113</v>
      </c>
      <c r="B77" s="581"/>
      <c r="C77" s="581">
        <v>29</v>
      </c>
      <c r="D77" s="581"/>
      <c r="E77" s="581" t="s">
        <v>43</v>
      </c>
      <c r="F77" s="436" t="s">
        <v>44</v>
      </c>
      <c r="G77" s="926"/>
      <c r="H77" s="464"/>
      <c r="I77" s="429"/>
      <c r="J77" s="429"/>
      <c r="K77" s="429"/>
      <c r="L77" s="464"/>
      <c r="M77" s="464"/>
      <c r="N77" s="900">
        <f t="shared" si="14"/>
        <v>0</v>
      </c>
      <c r="O77" s="901">
        <f t="shared" si="9"/>
        <v>0</v>
      </c>
      <c r="P77" s="460"/>
      <c r="Q77" s="438">
        <f>IFERROR(LOOKUP(1,0/((成型機資料庫!$F$317:$F$331=J77)*(成型機資料庫!$G$317:$G$331=K77)),成型機資料庫!$K$317:$K$331),0)</f>
        <v>0</v>
      </c>
      <c r="R77" s="899">
        <f t="shared" si="10"/>
        <v>0</v>
      </c>
      <c r="S77" s="898">
        <f t="shared" si="11"/>
        <v>0</v>
      </c>
      <c r="T77" s="923">
        <f>IFERROR(LOOKUP(1,0/((成型機資料庫!$F$317:$F$331=J77)*(成型機資料庫!$G$317:$G$331=K77)),成型機資料庫!$I$317:$I$331),0)</f>
        <v>0</v>
      </c>
      <c r="U77" s="944">
        <f>IFERROR(LOOKUP(1,0/((成型機資料庫!$F$317:$F$331=J77)*(成型機資料庫!$G$317:$G$331=K77)),成型機資料庫!$J$317:$J$331),0)</f>
        <v>0</v>
      </c>
      <c r="V77" s="900">
        <f>IFERROR(LOOKUP(1,0/((成型機資料庫!$F$317:$F$331=J77)*(成型機資料庫!$G$317:$G$331=K77)),成型機資料庫!$L$317:$L$331),0)</f>
        <v>0</v>
      </c>
      <c r="W77" s="898">
        <f t="shared" si="12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3"/>
        <v>0</v>
      </c>
      <c r="AB77" s="438"/>
      <c r="AC77" s="482"/>
      <c r="AD77" s="464"/>
      <c r="AE77" s="464"/>
      <c r="AF77" s="438"/>
    </row>
    <row r="78" spans="1:32" s="433" customFormat="1" ht="15.75">
      <c r="A78" s="434">
        <v>113</v>
      </c>
      <c r="B78" s="581"/>
      <c r="C78" s="581">
        <v>30</v>
      </c>
      <c r="D78" s="581"/>
      <c r="E78" s="581" t="s">
        <v>43</v>
      </c>
      <c r="F78" s="436" t="s">
        <v>44</v>
      </c>
      <c r="G78" s="926"/>
      <c r="H78" s="464"/>
      <c r="I78" s="429"/>
      <c r="J78" s="429"/>
      <c r="K78" s="429"/>
      <c r="L78" s="464"/>
      <c r="M78" s="464"/>
      <c r="N78" s="900">
        <f t="shared" si="14"/>
        <v>0</v>
      </c>
      <c r="O78" s="901">
        <f t="shared" si="9"/>
        <v>0</v>
      </c>
      <c r="P78" s="460"/>
      <c r="Q78" s="438">
        <f>IFERROR(LOOKUP(1,0/((成型機資料庫!$F$317:$F$331=J78)*(成型機資料庫!$G$317:$G$331=K78)),成型機資料庫!$K$317:$K$331),0)</f>
        <v>0</v>
      </c>
      <c r="R78" s="899">
        <f t="shared" si="10"/>
        <v>0</v>
      </c>
      <c r="S78" s="898">
        <f t="shared" si="11"/>
        <v>0</v>
      </c>
      <c r="T78" s="923">
        <f>IFERROR(LOOKUP(1,0/((成型機資料庫!$F$317:$F$331=J78)*(成型機資料庫!$G$317:$G$331=K78)),成型機資料庫!$I$317:$I$331),0)</f>
        <v>0</v>
      </c>
      <c r="U78" s="944">
        <f>IFERROR(LOOKUP(1,0/((成型機資料庫!$F$317:$F$331=J78)*(成型機資料庫!$G$317:$G$331=K78)),成型機資料庫!$J$317:$J$331),0)</f>
        <v>0</v>
      </c>
      <c r="V78" s="900">
        <f>IFERROR(LOOKUP(1,0/((成型機資料庫!$F$317:$F$331=J78)*(成型機資料庫!$G$317:$G$331=K78)),成型機資料庫!$L$317:$L$331),0)</f>
        <v>0</v>
      </c>
      <c r="W78" s="898">
        <f t="shared" si="12"/>
        <v>0</v>
      </c>
      <c r="X78" s="923">
        <f t="shared" si="15"/>
        <v>0</v>
      </c>
      <c r="Y78" s="898">
        <f t="shared" si="16"/>
        <v>0</v>
      </c>
      <c r="Z78" s="923"/>
      <c r="AA78" s="478">
        <f t="shared" si="13"/>
        <v>0</v>
      </c>
      <c r="AB78" s="438"/>
      <c r="AC78" s="482"/>
      <c r="AD78" s="464"/>
      <c r="AE78" s="438"/>
      <c r="AF78" s="438"/>
    </row>
    <row r="79" spans="1:32" s="433" customFormat="1" ht="15.75">
      <c r="A79" s="446"/>
      <c r="B79" s="456"/>
      <c r="C79" s="456"/>
      <c r="D79" s="456"/>
      <c r="E79" s="456"/>
      <c r="F79" s="448"/>
      <c r="G79" s="951"/>
      <c r="H79" s="452"/>
      <c r="I79" s="430"/>
      <c r="J79" s="469"/>
      <c r="K79" s="469"/>
      <c r="L79" s="452"/>
      <c r="M79" s="452"/>
      <c r="N79" s="945"/>
      <c r="O79" s="946"/>
      <c r="P79" s="868"/>
      <c r="Q79" s="467"/>
      <c r="R79" s="948"/>
      <c r="S79" s="936"/>
      <c r="T79" s="936"/>
      <c r="U79" s="936"/>
      <c r="V79" s="945"/>
      <c r="W79" s="936"/>
      <c r="X79" s="947"/>
      <c r="Y79" s="936"/>
      <c r="Z79" s="947"/>
      <c r="AA79" s="488"/>
      <c r="AB79" s="439"/>
      <c r="AC79" s="471"/>
      <c r="AD79" s="452"/>
      <c r="AE79" s="439"/>
      <c r="AF79" s="439"/>
    </row>
    <row r="80" spans="1:32" s="433" customFormat="1" ht="15.75">
      <c r="A80" s="446"/>
      <c r="B80" s="456"/>
      <c r="C80" s="456"/>
      <c r="D80" s="456"/>
      <c r="E80" s="456"/>
      <c r="F80" s="448"/>
      <c r="G80" s="951"/>
      <c r="H80" s="452"/>
      <c r="I80" s="430"/>
      <c r="J80" s="469"/>
      <c r="K80" s="469"/>
      <c r="L80" s="452"/>
      <c r="M80" s="452"/>
      <c r="N80" s="945"/>
      <c r="O80" s="946"/>
      <c r="P80" s="868"/>
      <c r="Q80" s="467"/>
      <c r="R80" s="948"/>
      <c r="S80" s="936"/>
      <c r="T80" s="936"/>
      <c r="U80" s="936"/>
      <c r="V80" s="945"/>
      <c r="W80" s="936"/>
      <c r="X80" s="947"/>
      <c r="Y80" s="936"/>
      <c r="Z80" s="947"/>
      <c r="AA80" s="488"/>
      <c r="AB80" s="439"/>
      <c r="AC80" s="471"/>
      <c r="AD80" s="452"/>
      <c r="AE80" s="439"/>
      <c r="AF80" s="439"/>
    </row>
    <row r="81" spans="1:32" s="433" customFormat="1" thickBot="1">
      <c r="A81" s="446"/>
      <c r="B81" s="446"/>
      <c r="C81" s="446"/>
      <c r="D81" s="446"/>
      <c r="E81" s="446"/>
      <c r="F81" s="448"/>
      <c r="G81" s="448"/>
      <c r="H81" s="430"/>
      <c r="I81" s="430"/>
      <c r="J81" s="430"/>
      <c r="K81" s="430"/>
      <c r="L81" s="439"/>
      <c r="M81" s="452"/>
      <c r="N81" s="452"/>
      <c r="O81" s="457"/>
      <c r="P81" s="466"/>
      <c r="Q81" s="467"/>
      <c r="R81" s="486"/>
      <c r="S81" s="457"/>
      <c r="T81" s="457"/>
      <c r="U81" s="457"/>
      <c r="V81" s="458"/>
      <c r="W81" s="487">
        <f>SUM(W49:W78)</f>
        <v>0</v>
      </c>
      <c r="X81" s="487"/>
      <c r="Y81" s="487"/>
      <c r="Z81" s="487"/>
      <c r="AA81" s="488"/>
      <c r="AB81" s="489"/>
      <c r="AC81" s="489"/>
      <c r="AD81" s="469" t="s">
        <v>46</v>
      </c>
      <c r="AE81" s="439"/>
      <c r="AF81" s="439"/>
    </row>
    <row r="82" spans="1:32" s="469" customFormat="1" ht="31.5">
      <c r="A82" s="479"/>
      <c r="B82" s="479"/>
      <c r="C82" s="479"/>
      <c r="D82" s="479"/>
      <c r="E82" s="479"/>
      <c r="F82" s="452"/>
      <c r="G82" s="524" t="s">
        <v>503</v>
      </c>
      <c r="H82" s="517"/>
      <c r="I82" s="518"/>
      <c r="L82" s="1842" t="s">
        <v>1349</v>
      </c>
      <c r="M82" s="525" t="s">
        <v>1294</v>
      </c>
      <c r="N82" s="525" t="s">
        <v>1295</v>
      </c>
      <c r="O82" s="526" t="s">
        <v>458</v>
      </c>
      <c r="P82" s="520"/>
      <c r="Q82" s="521"/>
      <c r="R82" s="524" t="s">
        <v>504</v>
      </c>
      <c r="S82" s="524" t="s">
        <v>455</v>
      </c>
      <c r="T82" s="521"/>
      <c r="U82" s="521"/>
      <c r="V82" s="524" t="s">
        <v>1293</v>
      </c>
      <c r="W82" s="524" t="s">
        <v>459</v>
      </c>
      <c r="X82" s="521"/>
      <c r="Y82" s="524" t="s">
        <v>1345</v>
      </c>
      <c r="Z82" s="524" t="s">
        <v>1350</v>
      </c>
      <c r="AA82" s="524" t="s">
        <v>1351</v>
      </c>
      <c r="AB82" s="524" t="s">
        <v>1353</v>
      </c>
      <c r="AC82" s="524" t="s">
        <v>1352</v>
      </c>
      <c r="AD82" s="469" t="s">
        <v>253</v>
      </c>
      <c r="AE82" s="452"/>
      <c r="AF82" s="452"/>
    </row>
    <row r="83" spans="1:32" thickBot="1">
      <c r="G83" s="522">
        <f>SUM(G49:G78)</f>
        <v>0</v>
      </c>
      <c r="I83" s="431"/>
      <c r="J83" s="518"/>
      <c r="K83" s="518"/>
      <c r="L83" s="1843"/>
      <c r="M83" s="522">
        <f>SUM(M49:M78)</f>
        <v>0</v>
      </c>
      <c r="N83" s="522">
        <f>SUM(N49:N78)</f>
        <v>0</v>
      </c>
      <c r="O83" s="902">
        <f>SUM(O49:O78)</f>
        <v>0</v>
      </c>
      <c r="P83" s="470"/>
      <c r="R83" s="924">
        <f>SUM(R49:R78)</f>
        <v>0</v>
      </c>
      <c r="S83" s="897" t="e">
        <f>(G83-R83)/G83</f>
        <v>#DIV/0!</v>
      </c>
      <c r="T83" s="446"/>
      <c r="U83" s="446"/>
      <c r="V83" s="686" t="e">
        <f>N83/W83</f>
        <v>#DIV/0!</v>
      </c>
      <c r="W83" s="516" t="e">
        <f>W81/Y83</f>
        <v>#DIV/0!</v>
      </c>
      <c r="X83" s="446"/>
      <c r="Y83" s="516"/>
      <c r="Z83" s="958">
        <f>SUM(Z49:Z78)</f>
        <v>0</v>
      </c>
      <c r="AA83" s="516">
        <f>SUM(AA49:AA78)</f>
        <v>0</v>
      </c>
      <c r="AB83" s="516">
        <f>Z83-AA83</f>
        <v>0</v>
      </c>
      <c r="AC83" s="896" t="e">
        <f>AA83/Z83</f>
        <v>#DIV/0!</v>
      </c>
    </row>
    <row r="84" spans="1:32">
      <c r="O84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47:AF48"/>
    <mergeCell ref="L82:L83"/>
    <mergeCell ref="X47:X48"/>
    <mergeCell ref="Y47:Y48"/>
    <mergeCell ref="Z47:Z48"/>
    <mergeCell ref="AA47:AA48"/>
    <mergeCell ref="AB47:AC47"/>
    <mergeCell ref="AD47:AD48"/>
    <mergeCell ref="R47:R48"/>
    <mergeCell ref="S47:S48"/>
    <mergeCell ref="T47:T48"/>
    <mergeCell ref="U47:U48"/>
    <mergeCell ref="V47:V48"/>
    <mergeCell ref="W47:W48"/>
    <mergeCell ref="L47:L48"/>
    <mergeCell ref="P47:P48"/>
    <mergeCell ref="AE2:AE3"/>
    <mergeCell ref="M47:M48"/>
    <mergeCell ref="N47:N48"/>
    <mergeCell ref="O47:O48"/>
    <mergeCell ref="Q47:Q48"/>
    <mergeCell ref="AE47:AE48"/>
    <mergeCell ref="AF2:AF3"/>
    <mergeCell ref="L43:L44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B2:AC2"/>
    <mergeCell ref="AD2:AD3"/>
    <mergeCell ref="A47:A48"/>
    <mergeCell ref="B47:B48"/>
    <mergeCell ref="C47:C48"/>
    <mergeCell ref="D47:D48"/>
    <mergeCell ref="E47:E48"/>
    <mergeCell ref="K47:K48"/>
    <mergeCell ref="F47:F48"/>
    <mergeCell ref="G47:G48"/>
    <mergeCell ref="H47:H48"/>
    <mergeCell ref="I47:I48"/>
    <mergeCell ref="J47:J48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6">
    <cfRule type="cellIs" dxfId="306" priority="3" stopIfTrue="1" operator="equal">
      <formula>"未開機"</formula>
    </cfRule>
  </conditionalFormatting>
  <conditionalFormatting sqref="R49:U80">
    <cfRule type="expression" dxfId="305" priority="1" stopIfTrue="1">
      <formula>R49=0</formula>
    </cfRule>
  </conditionalFormatting>
  <conditionalFormatting sqref="W10:W41">
    <cfRule type="cellIs" dxfId="304" priority="34" stopIfTrue="1" operator="between">
      <formula>0.851</formula>
      <formula>1</formula>
    </cfRule>
    <cfRule type="cellIs" dxfId="303" priority="33" stopIfTrue="1" operator="lessThan">
      <formula>0.7</formula>
    </cfRule>
    <cfRule type="expression" dxfId="302" priority="32" stopIfTrue="1">
      <formula>W10=0</formula>
    </cfRule>
    <cfRule type="expression" dxfId="301" priority="36" stopIfTrue="1">
      <formula>W10=0</formula>
    </cfRule>
    <cfRule type="cellIs" dxfId="300" priority="35" stopIfTrue="1" operator="between">
      <formula>0.7</formula>
      <formula>0.85</formula>
    </cfRule>
  </conditionalFormatting>
  <conditionalFormatting sqref="W49:W80">
    <cfRule type="expression" dxfId="299" priority="15" stopIfTrue="1">
      <formula>W49=0</formula>
    </cfRule>
    <cfRule type="cellIs" dxfId="298" priority="16" stopIfTrue="1" operator="lessThan">
      <formula>0.7</formula>
    </cfRule>
    <cfRule type="cellIs" dxfId="297" priority="17" stopIfTrue="1" operator="between">
      <formula>0.851</formula>
      <formula>1</formula>
    </cfRule>
    <cfRule type="cellIs" dxfId="296" priority="18" stopIfTrue="1" operator="between">
      <formula>0.7</formula>
      <formula>0.85</formula>
    </cfRule>
    <cfRule type="expression" dxfId="295" priority="19" stopIfTrue="1">
      <formula>W49=0</formula>
    </cfRule>
  </conditionalFormatting>
  <conditionalFormatting sqref="W4:Y8 S4:U4 S5:S8 T5:U39 R10:S39 Z10:Z41 R40:U41">
    <cfRule type="expression" dxfId="294" priority="41" stopIfTrue="1">
      <formula>R4=0</formula>
    </cfRule>
  </conditionalFormatting>
  <conditionalFormatting sqref="W4:Y8">
    <cfRule type="expression" dxfId="293" priority="37" stopIfTrue="1">
      <formula>W4=0</formula>
    </cfRule>
    <cfRule type="cellIs" dxfId="292" priority="38" stopIfTrue="1" operator="lessThan">
      <formula>0.7</formula>
    </cfRule>
    <cfRule type="cellIs" dxfId="291" priority="39" stopIfTrue="1" operator="between">
      <formula>0.851</formula>
      <formula>1</formula>
    </cfRule>
    <cfRule type="cellIs" dxfId="290" priority="40" stopIfTrue="1" operator="between">
      <formula>0.7</formula>
      <formula>0.85</formula>
    </cfRule>
  </conditionalFormatting>
  <conditionalFormatting sqref="X11:X41">
    <cfRule type="cellIs" dxfId="289" priority="22" stopIfTrue="1" operator="lessThan">
      <formula>0.7</formula>
    </cfRule>
    <cfRule type="cellIs" dxfId="288" priority="23" stopIfTrue="1" operator="between">
      <formula>0.851</formula>
      <formula>1</formula>
    </cfRule>
    <cfRule type="cellIs" dxfId="287" priority="24" stopIfTrue="1" operator="between">
      <formula>0.7</formula>
      <formula>0.85</formula>
    </cfRule>
    <cfRule type="expression" dxfId="286" priority="25" stopIfTrue="1">
      <formula>X11=0</formula>
    </cfRule>
    <cfRule type="expression" dxfId="285" priority="21" stopIfTrue="1">
      <formula>X11=0</formula>
    </cfRule>
  </conditionalFormatting>
  <conditionalFormatting sqref="X50:X80">
    <cfRule type="expression" dxfId="284" priority="4" stopIfTrue="1">
      <formula>X50=0</formula>
    </cfRule>
    <cfRule type="cellIs" dxfId="283" priority="5" stopIfTrue="1" operator="lessThan">
      <formula>0.7</formula>
    </cfRule>
    <cfRule type="cellIs" dxfId="282" priority="6" stopIfTrue="1" operator="between">
      <formula>0.851</formula>
      <formula>1</formula>
    </cfRule>
    <cfRule type="cellIs" dxfId="281" priority="7" stopIfTrue="1" operator="between">
      <formula>0.7</formula>
      <formula>0.85</formula>
    </cfRule>
    <cfRule type="expression" dxfId="280" priority="8" stopIfTrue="1">
      <formula>X50=0</formula>
    </cfRule>
  </conditionalFormatting>
  <conditionalFormatting sqref="X10:Y10 Y11:Y41">
    <cfRule type="expression" dxfId="279" priority="27" stopIfTrue="1">
      <formula>X10=0</formula>
    </cfRule>
    <cfRule type="cellIs" dxfId="278" priority="28" stopIfTrue="1" operator="lessThan">
      <formula>0.7</formula>
    </cfRule>
    <cfRule type="cellIs" dxfId="277" priority="29" stopIfTrue="1" operator="between">
      <formula>0.851</formula>
      <formula>1</formula>
    </cfRule>
    <cfRule type="cellIs" dxfId="276" priority="30" stopIfTrue="1" operator="between">
      <formula>0.7</formula>
      <formula>0.85</formula>
    </cfRule>
    <cfRule type="expression" dxfId="275" priority="31" stopIfTrue="1">
      <formula>X10=0</formula>
    </cfRule>
  </conditionalFormatting>
  <conditionalFormatting sqref="X49:Y49 Y50:Y80">
    <cfRule type="expression" dxfId="274" priority="10" stopIfTrue="1">
      <formula>X49=0</formula>
    </cfRule>
    <cfRule type="expression" dxfId="273" priority="14" stopIfTrue="1">
      <formula>X49=0</formula>
    </cfRule>
    <cfRule type="cellIs" dxfId="272" priority="13" stopIfTrue="1" operator="between">
      <formula>0.7</formula>
      <formula>0.85</formula>
    </cfRule>
    <cfRule type="cellIs" dxfId="271" priority="12" stopIfTrue="1" operator="between">
      <formula>0.851</formula>
      <formula>1</formula>
    </cfRule>
    <cfRule type="cellIs" dxfId="270" priority="11" stopIfTrue="1" operator="lessThan">
      <formula>0.7</formula>
    </cfRule>
  </conditionalFormatting>
  <conditionalFormatting sqref="Y10:Y41">
    <cfRule type="cellIs" dxfId="269" priority="26" stopIfTrue="1" operator="greaterThan">
      <formula>1</formula>
    </cfRule>
  </conditionalFormatting>
  <conditionalFormatting sqref="Y49:Y80">
    <cfRule type="cellIs" dxfId="268" priority="9" stopIfTrue="1" operator="greaterThan">
      <formula>1</formula>
    </cfRule>
  </conditionalFormatting>
  <conditionalFormatting sqref="Z49:Z80">
    <cfRule type="expression" dxfId="267" priority="20" stopIfTrue="1">
      <formula>Z49=0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2C0D3E6-2632-4038-A08E-301F62D85AEE}">
          <x14:formula1>
            <xm:f>規格清單!$F$42:$F$46</xm:f>
          </x14:formula1>
          <xm:sqref>J4:J39 J49:J78</xm:sqref>
        </x14:dataValidation>
        <x14:dataValidation type="list" allowBlank="1" showInputMessage="1" showErrorMessage="1" xr:uid="{7DB9EE9B-DA26-49BB-988F-FC96AF4D11EB}">
          <x14:formula1>
            <xm:f>成型機資料庫!$A$9:$A$11</xm:f>
          </x14:formula1>
          <xm:sqref>K4:K39 K49:K78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D89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1410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6" t="s">
        <v>44</v>
      </c>
      <c r="G4" s="464"/>
      <c r="H4" s="464"/>
      <c r="I4" s="429" t="s">
        <v>387</v>
      </c>
      <c r="J4" s="429" t="s">
        <v>1411</v>
      </c>
      <c r="K4" s="429" t="s">
        <v>1301</v>
      </c>
      <c r="L4" s="464">
        <v>310</v>
      </c>
      <c r="M4" s="464"/>
      <c r="N4" s="464"/>
      <c r="O4" s="443">
        <f>L4*M4</f>
        <v>0</v>
      </c>
      <c r="P4" s="461">
        <v>1.9</v>
      </c>
      <c r="Q4" s="438">
        <f>IFERROR(LOOKUP(1,0/((成型機資料庫!$F$332:$F$361=J4)*(成型機資料庫!$G$332:$G$361=K4)),成型機資料庫!$K$332:$K$361),0)</f>
        <v>2500</v>
      </c>
      <c r="R4" s="477">
        <f>M4*Q4*P4/1000</f>
        <v>0</v>
      </c>
      <c r="S4" s="898">
        <f>IFERROR((G4-R4)/G4,0)</f>
        <v>0</v>
      </c>
      <c r="T4" s="923">
        <f>IFERROR(LOOKUP(1,0/((成型機資料庫!$F$332:$F$361=J4)*(成型機資料庫!$G$332:$G$361=K4)),成型機資料庫!$I$332:$I$361),0)</f>
        <v>60</v>
      </c>
      <c r="U4" s="944">
        <f>IFERROR(LOOKUP(1,0/((成型機資料庫!$F$332:$F$361=J4)*(成型機資料庫!$G$332:$G$361=K4)),成型機資料庫!$J$332:$J$361),0)</f>
        <v>20</v>
      </c>
      <c r="V4" s="900">
        <f>IFERROR(LOOKUP(1,0/((成型機資料庫!$F$332:$F$361=J4)*(成型機資料庫!$G$332:$G$361=K4)),成型機資料庫!$L$332:$L$361),0)</f>
        <v>316.8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6" t="s">
        <v>44</v>
      </c>
      <c r="G5" s="464"/>
      <c r="H5" s="464"/>
      <c r="I5" s="429" t="s">
        <v>1296</v>
      </c>
      <c r="J5" s="429" t="s">
        <v>1412</v>
      </c>
      <c r="K5" s="429" t="s">
        <v>1301</v>
      </c>
      <c r="L5" s="464">
        <v>310</v>
      </c>
      <c r="M5" s="464"/>
      <c r="N5" s="464"/>
      <c r="O5" s="443">
        <f t="shared" ref="O5:O11" si="0">L5*M5</f>
        <v>0</v>
      </c>
      <c r="P5" s="461">
        <v>1.9</v>
      </c>
      <c r="Q5" s="438">
        <f>IFERROR(LOOKUP(1,0/((成型機資料庫!$F$332:$F$361=J5)*(成型機資料庫!$G$332:$G$361=K5)),成型機資料庫!$K$332:$K$361),0)</f>
        <v>2500</v>
      </c>
      <c r="R5" s="477"/>
      <c r="S5" s="898"/>
      <c r="T5" s="923">
        <f>IFERROR(LOOKUP(1,0/((成型機資料庫!$F$332:$F$361=J5)*(成型機資料庫!$G$332:$G$361=K5)),成型機資料庫!$I$332:$I$361),0)</f>
        <v>60</v>
      </c>
      <c r="U5" s="944">
        <f>IFERROR(LOOKUP(1,0/((成型機資料庫!$F$332:$F$361=J5)*(成型機資料庫!$G$332:$G$361=K5)),成型機資料庫!$J$332:$J$361),0)</f>
        <v>20</v>
      </c>
      <c r="V5" s="900">
        <f>IFERROR(LOOKUP(1,0/((成型機資料庫!$F$332:$F$361=J5)*(成型機資料庫!$G$332:$G$361=K5)),成型機資料庫!$L$332:$L$361),0)</f>
        <v>316.8</v>
      </c>
      <c r="W5" s="898"/>
      <c r="X5" s="898"/>
      <c r="Y5" s="898"/>
      <c r="Z5" s="485"/>
      <c r="AA5" s="478"/>
      <c r="AB5" s="438"/>
      <c r="AC5" s="482"/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6" t="s">
        <v>58</v>
      </c>
      <c r="G6" s="464"/>
      <c r="H6" s="464"/>
      <c r="I6" s="429"/>
      <c r="J6" s="429" t="s">
        <v>1413</v>
      </c>
      <c r="K6" s="429" t="s">
        <v>1301</v>
      </c>
      <c r="L6" s="464"/>
      <c r="M6" s="464"/>
      <c r="N6" s="464"/>
      <c r="O6" s="443">
        <f t="shared" si="0"/>
        <v>0</v>
      </c>
      <c r="P6" s="461"/>
      <c r="Q6" s="438">
        <f>IFERROR(LOOKUP(1,0/((成型機資料庫!$F$332:$F$361=J6)*(成型機資料庫!$G$332:$G$361=K6)),成型機資料庫!$K$332:$K$361),0)</f>
        <v>1000</v>
      </c>
      <c r="R6" s="477"/>
      <c r="S6" s="898"/>
      <c r="T6" s="923">
        <f>IFERROR(LOOKUP(1,0/((成型機資料庫!$F$332:$F$361=J6)*(成型機資料庫!$G$332:$G$361=K6)),成型機資料庫!$I$332:$I$361),0)</f>
        <v>33</v>
      </c>
      <c r="U6" s="944">
        <f>IFERROR(LOOKUP(1,0/((成型機資料庫!$F$332:$F$361=J6)*(成型機資料庫!$G$332:$G$361=K6)),成型機資料庫!$J$332:$J$361),0)</f>
        <v>22.4</v>
      </c>
      <c r="V6" s="900">
        <f>IFERROR(LOOKUP(1,0/((成型機資料庫!$F$332:$F$361=J6)*(成型機資料庫!$G$332:$G$361=K6)),成型機資料庫!$L$332:$L$361),0)</f>
        <v>487.87199999999996</v>
      </c>
      <c r="W6" s="898"/>
      <c r="X6" s="898"/>
      <c r="Y6" s="898"/>
      <c r="Z6" s="485"/>
      <c r="AA6" s="478"/>
      <c r="AB6" s="438"/>
      <c r="AC6" s="482"/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6" t="s">
        <v>58</v>
      </c>
      <c r="G7" s="464"/>
      <c r="H7" s="464"/>
      <c r="I7" s="429" t="s">
        <v>492</v>
      </c>
      <c r="J7" s="429" t="s">
        <v>1414</v>
      </c>
      <c r="K7" s="429" t="s">
        <v>1301</v>
      </c>
      <c r="L7" s="464">
        <v>640</v>
      </c>
      <c r="M7" s="464"/>
      <c r="N7" s="464"/>
      <c r="O7" s="443">
        <f t="shared" si="0"/>
        <v>0</v>
      </c>
      <c r="P7" s="461">
        <v>11.5</v>
      </c>
      <c r="Q7" s="438">
        <f>IFERROR(LOOKUP(1,0/((成型機資料庫!$F$332:$F$361=J7)*(成型機資料庫!$G$332:$G$361=K7)),成型機資料庫!$K$332:$K$361),0)</f>
        <v>1000</v>
      </c>
      <c r="R7" s="477"/>
      <c r="S7" s="898"/>
      <c r="T7" s="923">
        <f>IFERROR(LOOKUP(1,0/((成型機資料庫!$F$332:$F$361=J7)*(成型機資料庫!$G$332:$G$361=K7)),成型機資料庫!$I$332:$I$361),0)</f>
        <v>33</v>
      </c>
      <c r="U7" s="944">
        <f>IFERROR(LOOKUP(1,0/((成型機資料庫!$F$332:$F$361=J7)*(成型機資料庫!$G$332:$G$361=K7)),成型機資料庫!$J$332:$J$361),0)</f>
        <v>22.4</v>
      </c>
      <c r="V7" s="900">
        <f>IFERROR(LOOKUP(1,0/((成型機資料庫!$F$332:$F$361=J7)*(成型機資料庫!$G$332:$G$361=K7)),成型機資料庫!$L$332:$L$361),0)</f>
        <v>487.87199999999996</v>
      </c>
      <c r="W7" s="898"/>
      <c r="X7" s="898"/>
      <c r="Y7" s="898"/>
      <c r="Z7" s="485"/>
      <c r="AA7" s="478"/>
      <c r="AB7" s="438"/>
      <c r="AC7" s="482"/>
      <c r="AD7" s="536"/>
      <c r="AE7" s="438"/>
      <c r="AF7" s="438"/>
    </row>
    <row r="8" spans="1:56" s="439" customFormat="1" ht="15.75">
      <c r="A8" s="434"/>
      <c r="B8" s="434"/>
      <c r="C8" s="434"/>
      <c r="D8" s="434"/>
      <c r="E8" s="434"/>
      <c r="F8" s="436" t="s">
        <v>44</v>
      </c>
      <c r="G8" s="464"/>
      <c r="H8" s="464"/>
      <c r="I8" s="429" t="s">
        <v>507</v>
      </c>
      <c r="J8" s="429" t="s">
        <v>1415</v>
      </c>
      <c r="K8" s="429" t="s">
        <v>1301</v>
      </c>
      <c r="L8" s="464">
        <v>618</v>
      </c>
      <c r="M8" s="464"/>
      <c r="N8" s="464"/>
      <c r="O8" s="443">
        <f t="shared" si="0"/>
        <v>0</v>
      </c>
      <c r="P8" s="461">
        <v>9.5</v>
      </c>
      <c r="Q8" s="438">
        <f>IFERROR(LOOKUP(1,0/((成型機資料庫!$F$332:$F$361=J8)*(成型機資料庫!$G$332:$G$361=K8)),成型機資料庫!$K$332:$K$361),0)</f>
        <v>1000</v>
      </c>
      <c r="R8" s="477"/>
      <c r="S8" s="898"/>
      <c r="T8" s="923">
        <f>IFERROR(LOOKUP(1,0/((成型機資料庫!$F$332:$F$361=J8)*(成型機資料庫!$G$332:$G$361=K8)),成型機資料庫!$I$332:$I$361),0)</f>
        <v>35</v>
      </c>
      <c r="U8" s="944">
        <f>IFERROR(LOOKUP(1,0/((成型機資料庫!$F$332:$F$361=J8)*(成型機資料庫!$G$332:$G$361=K8)),成型機資料庫!$J$332:$J$361),0)</f>
        <v>19</v>
      </c>
      <c r="V8" s="900">
        <f>IFERROR(LOOKUP(1,0/((成型機資料庫!$F$332:$F$361=J8)*(成型機資料庫!$G$332:$G$361=K8)),成型機資料庫!$L$332:$L$361),0)</f>
        <v>438.9</v>
      </c>
      <c r="W8" s="898"/>
      <c r="X8" s="898"/>
      <c r="Y8" s="898"/>
      <c r="Z8" s="485"/>
      <c r="AA8" s="478"/>
      <c r="AB8" s="438"/>
      <c r="AC8" s="482"/>
      <c r="AD8" s="536"/>
      <c r="AE8" s="438"/>
      <c r="AF8" s="438"/>
    </row>
    <row r="9" spans="1:56" s="439" customFormat="1" ht="15.75">
      <c r="A9" s="434"/>
      <c r="B9" s="434"/>
      <c r="C9" s="434"/>
      <c r="D9" s="434"/>
      <c r="E9" s="434"/>
      <c r="F9" s="436" t="s">
        <v>44</v>
      </c>
      <c r="G9" s="464"/>
      <c r="H9" s="464"/>
      <c r="I9" s="429" t="s">
        <v>687</v>
      </c>
      <c r="J9" s="429" t="s">
        <v>1335</v>
      </c>
      <c r="K9" s="429" t="s">
        <v>1301</v>
      </c>
      <c r="L9" s="464">
        <v>860</v>
      </c>
      <c r="M9" s="464"/>
      <c r="N9" s="464"/>
      <c r="O9" s="443">
        <f t="shared" si="0"/>
        <v>0</v>
      </c>
      <c r="P9" s="461">
        <v>12.8</v>
      </c>
      <c r="Q9" s="438">
        <f>IFERROR(LOOKUP(1,0/((成型機資料庫!$F$332:$F$361=J9)*(成型機資料庫!$G$332:$G$361=K9)),成型機資料庫!$K$332:$K$361),0)</f>
        <v>1000</v>
      </c>
      <c r="R9" s="477"/>
      <c r="S9" s="898"/>
      <c r="T9" s="923">
        <f>IFERROR(LOOKUP(1,0/((成型機資料庫!$F$332:$F$361=J9)*(成型機資料庫!$G$332:$G$361=K9)),成型機資料庫!$I$332:$I$361),0)</f>
        <v>35</v>
      </c>
      <c r="U9" s="944">
        <f>IFERROR(LOOKUP(1,0/((成型機資料庫!$F$332:$F$361=J9)*(成型機資料庫!$G$332:$G$361=K9)),成型機資料庫!$J$332:$J$361),0)</f>
        <v>16.2</v>
      </c>
      <c r="V9" s="900">
        <f>IFERROR(LOOKUP(1,0/((成型機資料庫!$F$332:$F$361=J9)*(成型機資料庫!$G$332:$G$361=K9)),成型機資料庫!$L$332:$L$361),0)</f>
        <v>374.22</v>
      </c>
      <c r="W9" s="898"/>
      <c r="X9" s="898"/>
      <c r="Y9" s="898"/>
      <c r="Z9" s="485"/>
      <c r="AA9" s="478"/>
      <c r="AB9" s="438"/>
      <c r="AC9" s="482"/>
      <c r="AD9" s="536"/>
      <c r="AE9" s="438"/>
      <c r="AF9" s="438"/>
    </row>
    <row r="10" spans="1:56" s="439" customFormat="1" ht="15.75">
      <c r="A10" s="434"/>
      <c r="B10" s="434"/>
      <c r="C10" s="434"/>
      <c r="D10" s="434"/>
      <c r="E10" s="434"/>
      <c r="F10" s="436" t="s">
        <v>44</v>
      </c>
      <c r="G10" s="464"/>
      <c r="H10" s="464"/>
      <c r="I10" s="429" t="s">
        <v>675</v>
      </c>
      <c r="J10" s="429" t="s">
        <v>1416</v>
      </c>
      <c r="K10" s="429" t="s">
        <v>1301</v>
      </c>
      <c r="L10" s="464">
        <v>720</v>
      </c>
      <c r="M10" s="464"/>
      <c r="N10" s="464"/>
      <c r="O10" s="443">
        <f t="shared" si="0"/>
        <v>0</v>
      </c>
      <c r="P10" s="461">
        <v>10</v>
      </c>
      <c r="Q10" s="438">
        <f>IFERROR(LOOKUP(1,0/((成型機資料庫!$F$332:$F$361=J10)*(成型機資料庫!$G$332:$G$361=K10)),成型機資料庫!$K$332:$K$361),0)</f>
        <v>1000</v>
      </c>
      <c r="R10" s="477"/>
      <c r="S10" s="898"/>
      <c r="T10" s="923">
        <f>IFERROR(LOOKUP(1,0/((成型機資料庫!$F$332:$F$361=J10)*(成型機資料庫!$G$332:$G$361=K10)),成型機資料庫!$I$332:$I$361),0)</f>
        <v>33</v>
      </c>
      <c r="U10" s="944">
        <f>IFERROR(LOOKUP(1,0/((成型機資料庫!$F$332:$F$361=J10)*(成型機資料庫!$G$332:$G$361=K10)),成型機資料庫!$J$332:$J$361),0)</f>
        <v>19.2</v>
      </c>
      <c r="V10" s="900">
        <f>IFERROR(LOOKUP(1,0/((成型機資料庫!$F$332:$F$361=J10)*(成型機資料庫!$G$332:$G$361=K10)),成型機資料庫!$L$332:$L$361),0)</f>
        <v>418.17599999999999</v>
      </c>
      <c r="W10" s="898"/>
      <c r="X10" s="898"/>
      <c r="Y10" s="898"/>
      <c r="Z10" s="485"/>
      <c r="AA10" s="478"/>
      <c r="AB10" s="438"/>
      <c r="AC10" s="482"/>
      <c r="AD10" s="536"/>
      <c r="AE10" s="438"/>
      <c r="AF10" s="438"/>
    </row>
    <row r="11" spans="1:56" s="439" customFormat="1" ht="15.75">
      <c r="A11" s="434"/>
      <c r="B11" s="434"/>
      <c r="C11" s="434"/>
      <c r="D11" s="434"/>
      <c r="E11" s="434"/>
      <c r="F11" s="436" t="s">
        <v>44</v>
      </c>
      <c r="G11" s="464"/>
      <c r="H11" s="464"/>
      <c r="I11" s="429" t="s">
        <v>509</v>
      </c>
      <c r="J11" s="429" t="s">
        <v>1417</v>
      </c>
      <c r="K11" s="429" t="s">
        <v>1301</v>
      </c>
      <c r="L11" s="464">
        <v>760</v>
      </c>
      <c r="M11" s="464"/>
      <c r="N11" s="464"/>
      <c r="O11" s="443">
        <f t="shared" si="0"/>
        <v>0</v>
      </c>
      <c r="P11" s="461">
        <v>12</v>
      </c>
      <c r="Q11" s="438">
        <f>IFERROR(LOOKUP(1,0/((成型機資料庫!$F$332:$F$361=J11)*(成型機資料庫!$G$332:$G$361=K11)),成型機資料庫!$K$332:$K$361),0)</f>
        <v>1000</v>
      </c>
      <c r="R11" s="477"/>
      <c r="S11" s="898"/>
      <c r="T11" s="923">
        <f>IFERROR(LOOKUP(1,0/((成型機資料庫!$F$332:$F$361=J11)*(成型機資料庫!$G$332:$G$361=K11)),成型機資料庫!$I$332:$I$361),0)</f>
        <v>33</v>
      </c>
      <c r="U11" s="944">
        <f>IFERROR(LOOKUP(1,0/((成型機資料庫!$F$332:$F$361=J11)*(成型機資料庫!$G$332:$G$361=K11)),成型機資料庫!$J$332:$J$361),0)</f>
        <v>19.2</v>
      </c>
      <c r="V11" s="900">
        <f>IFERROR(LOOKUP(1,0/((成型機資料庫!$F$332:$F$361=J11)*(成型機資料庫!$G$332:$G$361=K11)),成型機資料庫!$L$332:$L$361),0)</f>
        <v>418.17599999999999</v>
      </c>
      <c r="W11" s="898"/>
      <c r="X11" s="898"/>
      <c r="Y11" s="898"/>
      <c r="Z11" s="485"/>
      <c r="AA11" s="478"/>
      <c r="AB11" s="438"/>
      <c r="AC11" s="482"/>
      <c r="AD11" s="536"/>
      <c r="AE11" s="438"/>
      <c r="AF11" s="438"/>
    </row>
    <row r="12" spans="1:56" s="439" customFormat="1" ht="15.75">
      <c r="A12" s="434"/>
      <c r="B12" s="434"/>
      <c r="C12" s="434"/>
      <c r="D12" s="434"/>
      <c r="E12" s="434"/>
      <c r="F12" s="436" t="s">
        <v>44</v>
      </c>
      <c r="G12" s="464"/>
      <c r="H12" s="464"/>
      <c r="I12" s="429" t="s">
        <v>508</v>
      </c>
      <c r="J12" s="429" t="s">
        <v>1418</v>
      </c>
      <c r="K12" s="429" t="s">
        <v>1301</v>
      </c>
      <c r="L12" s="464">
        <v>720</v>
      </c>
      <c r="M12" s="464"/>
      <c r="N12" s="464"/>
      <c r="O12" s="443">
        <f>L12*M12</f>
        <v>0</v>
      </c>
      <c r="P12" s="461">
        <v>10</v>
      </c>
      <c r="Q12" s="438">
        <f>IFERROR(LOOKUP(1,0/((成型機資料庫!$F$332:$F$361=J12)*(成型機資料庫!$G$332:$G$361=K12)),成型機資料庫!$K$332:$K$361),0)</f>
        <v>1000</v>
      </c>
      <c r="R12" s="477">
        <f>M12*Q12*P12/1000</f>
        <v>0</v>
      </c>
      <c r="S12" s="898">
        <f>IFERROR((G12-R12)/G12,0)</f>
        <v>0</v>
      </c>
      <c r="T12" s="923">
        <f>IFERROR(LOOKUP(1,0/((成型機資料庫!$F$332:$F$361=J12)*(成型機資料庫!$G$332:$G$361=K12)),成型機資料庫!$I$332:$I$361),0)</f>
        <v>33</v>
      </c>
      <c r="U12" s="944">
        <f>IFERROR(LOOKUP(1,0/((成型機資料庫!$F$332:$F$361=J12)*(成型機資料庫!$G$332:$G$361=K12)),成型機資料庫!$J$332:$J$361),0)</f>
        <v>19.2</v>
      </c>
      <c r="V12" s="900">
        <f>IFERROR(LOOKUP(1,0/((成型機資料庫!$F$332:$F$361=J12)*(成型機資料庫!$G$332:$G$361=K12)),成型機資料庫!$L$332:$L$361),0)</f>
        <v>418.17599999999999</v>
      </c>
      <c r="W12" s="898">
        <f>IFERROR(M12/V12,0)</f>
        <v>0</v>
      </c>
      <c r="X12" s="898"/>
      <c r="Y12" s="898"/>
      <c r="Z12" s="485"/>
      <c r="AA12" s="478">
        <f>AB12+AC12/60</f>
        <v>0</v>
      </c>
      <c r="AB12" s="438">
        <v>0</v>
      </c>
      <c r="AC12" s="482">
        <v>0</v>
      </c>
      <c r="AD12" s="536"/>
      <c r="AE12" s="438"/>
      <c r="AF12" s="438"/>
    </row>
    <row r="13" spans="1:56" s="439" customFormat="1" ht="15.75">
      <c r="A13" s="434"/>
      <c r="B13" s="434"/>
      <c r="C13" s="434"/>
      <c r="D13" s="434"/>
      <c r="E13" s="434"/>
      <c r="F13" s="436" t="s">
        <v>44</v>
      </c>
      <c r="G13" s="464"/>
      <c r="H13" s="464"/>
      <c r="I13" s="429" t="s">
        <v>654</v>
      </c>
      <c r="J13" s="429" t="s">
        <v>1419</v>
      </c>
      <c r="K13" s="429" t="s">
        <v>1301</v>
      </c>
      <c r="L13" s="464">
        <v>760</v>
      </c>
      <c r="M13" s="464"/>
      <c r="N13" s="464"/>
      <c r="O13" s="443">
        <f>L13*M13</f>
        <v>0</v>
      </c>
      <c r="P13" s="461">
        <v>11</v>
      </c>
      <c r="Q13" s="438">
        <f>IFERROR(LOOKUP(1,0/((成型機資料庫!$F$332:$F$361=J13)*(成型機資料庫!$G$332:$G$361=K13)),成型機資料庫!$K$332:$K$361),0)</f>
        <v>1000</v>
      </c>
      <c r="R13" s="477">
        <f>M13*Q13*P13/1000</f>
        <v>0</v>
      </c>
      <c r="S13" s="898">
        <f>IFERROR((G13-R13)/G13,0)</f>
        <v>0</v>
      </c>
      <c r="T13" s="923">
        <f>IFERROR(LOOKUP(1,0/((成型機資料庫!$F$332:$F$361=J13)*(成型機資料庫!$G$332:$G$361=K13)),成型機資料庫!$I$332:$I$361),0)</f>
        <v>33</v>
      </c>
      <c r="U13" s="944">
        <f>IFERROR(LOOKUP(1,0/((成型機資料庫!$F$332:$F$361=J13)*(成型機資料庫!$G$332:$G$361=K13)),成型機資料庫!$J$332:$J$361),0)</f>
        <v>19.2</v>
      </c>
      <c r="V13" s="900">
        <f>IFERROR(LOOKUP(1,0/((成型機資料庫!$F$332:$F$361=J13)*(成型機資料庫!$G$332:$G$361=K13)),成型機資料庫!$L$332:$L$361),0)</f>
        <v>418.17599999999999</v>
      </c>
      <c r="W13" s="898">
        <f>IFERROR(M13/V13,0)</f>
        <v>0</v>
      </c>
      <c r="X13" s="898"/>
      <c r="Y13" s="898"/>
      <c r="Z13" s="485"/>
      <c r="AA13" s="478">
        <f>AB13+AC13/60</f>
        <v>0</v>
      </c>
      <c r="AB13" s="438">
        <v>0</v>
      </c>
      <c r="AC13" s="482">
        <v>0</v>
      </c>
      <c r="AD13" s="536"/>
      <c r="AE13" s="438"/>
      <c r="AF13" s="438"/>
    </row>
    <row r="14" spans="1:56" s="439" customFormat="1" thickBot="1">
      <c r="A14" s="496"/>
      <c r="B14" s="496"/>
      <c r="C14" s="496"/>
      <c r="D14" s="496"/>
      <c r="E14" s="496"/>
      <c r="F14" s="497"/>
      <c r="G14" s="500"/>
      <c r="H14" s="500"/>
      <c r="I14" s="498"/>
      <c r="J14" s="498"/>
      <c r="K14" s="498"/>
      <c r="L14" s="500"/>
      <c r="M14" s="500"/>
      <c r="N14" s="500"/>
      <c r="O14" s="501">
        <f>L14*M14</f>
        <v>0</v>
      </c>
      <c r="P14" s="528"/>
      <c r="Q14" s="499">
        <f>IFERROR(LOOKUP(1,0/((成型機資料庫!$F$332:$F$361=J14)*(成型機資料庫!$G$332:$G$361=K14)),成型機資料庫!$K$332:$K$361),0)</f>
        <v>0</v>
      </c>
      <c r="R14" s="502"/>
      <c r="S14" s="503"/>
      <c r="T14" s="989">
        <f>IFERROR(LOOKUP(1,0/((成型機資料庫!$F$332:$F$361=J14)*(成型機資料庫!$G$332:$G$361=K14)),成型機資料庫!$I$332:$I$361),0)</f>
        <v>0</v>
      </c>
      <c r="U14" s="990">
        <f>IFERROR(LOOKUP(1,0/((成型機資料庫!$F$332:$F$361=J14)*(成型機資料庫!$G$332:$G$361=K14)),成型機資料庫!$J$332:$J$361),0)</f>
        <v>0</v>
      </c>
      <c r="V14" s="991">
        <f>IFERROR(LOOKUP(1,0/((成型機資料庫!$F$332:$F$361=J14)*(成型機資料庫!$G$332:$G$361=K14)),成型機資料庫!$L$332:$L$361),0)</f>
        <v>0</v>
      </c>
      <c r="W14" s="507"/>
      <c r="X14" s="507"/>
      <c r="Y14" s="507"/>
      <c r="Z14" s="507"/>
      <c r="AA14" s="508"/>
      <c r="AB14" s="499"/>
      <c r="AC14" s="509"/>
      <c r="AD14" s="529"/>
      <c r="AE14" s="499"/>
      <c r="AF14" s="499"/>
    </row>
    <row r="15" spans="1:56" s="433" customFormat="1" ht="15.75">
      <c r="A15" s="935">
        <v>113</v>
      </c>
      <c r="B15" s="935"/>
      <c r="C15" s="935">
        <v>1</v>
      </c>
      <c r="D15" s="889"/>
      <c r="E15" s="889" t="s">
        <v>0</v>
      </c>
      <c r="F15" s="963" t="s">
        <v>42</v>
      </c>
      <c r="G15" s="999"/>
      <c r="H15" s="532"/>
      <c r="I15" s="964"/>
      <c r="J15" s="964"/>
      <c r="K15" s="964"/>
      <c r="L15" s="532"/>
      <c r="M15" s="532"/>
      <c r="N15" s="927">
        <f>M15*Q15</f>
        <v>0</v>
      </c>
      <c r="O15" s="995">
        <f t="shared" ref="O15:O44" si="1">L15*M15</f>
        <v>0</v>
      </c>
      <c r="P15" s="1000"/>
      <c r="Q15" s="480">
        <f>IFERROR(LOOKUP(1,0/((成型機資料庫!$F$332:$F$361=J15)*(成型機資料庫!$G$332:$G$361=K15)),成型機資料庫!$K$332:$K$361),0)</f>
        <v>0</v>
      </c>
      <c r="R15" s="997">
        <f t="shared" ref="R15:R44" si="2">M15*Q15*P15/1000</f>
        <v>0</v>
      </c>
      <c r="S15" s="996">
        <f t="shared" ref="S15:S44" si="3">IFERROR((G15-R15)/G15,0)</f>
        <v>0</v>
      </c>
      <c r="T15" s="987">
        <f>IFERROR(LOOKUP(1,0/((成型機資料庫!$F$332:$F$361=J15)*(成型機資料庫!$G$332:$G$361=K15)),成型機資料庫!$I$332:$I$361),0)</f>
        <v>0</v>
      </c>
      <c r="U15" s="988">
        <f>IFERROR(LOOKUP(1,0/((成型機資料庫!$F$332:$F$361=J15)*(成型機資料庫!$G$332:$G$361=K15)),成型機資料庫!$J$332:$J$361),0)</f>
        <v>0</v>
      </c>
      <c r="V15" s="927">
        <f>IFERROR(LOOKUP(1,0/((成型機資料庫!$F$332:$F$361=J15)*(成型機資料庫!$G$332:$G$361=K15)),成型機資料庫!$L$332:$L$361),0)</f>
        <v>0</v>
      </c>
      <c r="W15" s="996">
        <f t="shared" ref="W15:W44" si="4">IFERROR(M15/V15,0)</f>
        <v>0</v>
      </c>
      <c r="X15" s="987">
        <f>IFERROR(T15*U15*60*AA15/Q15,0)</f>
        <v>0</v>
      </c>
      <c r="Y15" s="996">
        <f>IFERROR(M15/X15,0)</f>
        <v>0</v>
      </c>
      <c r="Z15" s="987"/>
      <c r="AA15" s="495">
        <f t="shared" ref="AA15:AA44" si="5">AB15+AC15/60</f>
        <v>0</v>
      </c>
      <c r="AB15" s="480"/>
      <c r="AC15" s="968"/>
      <c r="AD15" s="532"/>
      <c r="AE15" s="480"/>
      <c r="AF15" s="480"/>
    </row>
    <row r="16" spans="1:56" s="433" customFormat="1" ht="15.75">
      <c r="A16" s="434">
        <v>113</v>
      </c>
      <c r="B16" s="581"/>
      <c r="C16" s="581">
        <v>2</v>
      </c>
      <c r="D16" s="581"/>
      <c r="E16" s="581" t="s">
        <v>0</v>
      </c>
      <c r="F16" s="435" t="s">
        <v>42</v>
      </c>
      <c r="G16" s="926"/>
      <c r="H16" s="464"/>
      <c r="I16" s="429"/>
      <c r="J16" s="429"/>
      <c r="K16" s="429"/>
      <c r="L16" s="464"/>
      <c r="M16" s="464"/>
      <c r="N16" s="900">
        <f t="shared" ref="N16:N44" si="6">M16*Q16</f>
        <v>0</v>
      </c>
      <c r="O16" s="901">
        <f t="shared" si="1"/>
        <v>0</v>
      </c>
      <c r="P16" s="460"/>
      <c r="Q16" s="438">
        <f>IFERROR(LOOKUP(1,0/((成型機資料庫!$F$332:$F$361=J16)*(成型機資料庫!$G$332:$G$361=K16)),成型機資料庫!$K$332:$K$361),0)</f>
        <v>0</v>
      </c>
      <c r="R16" s="899">
        <f t="shared" si="2"/>
        <v>0</v>
      </c>
      <c r="S16" s="898">
        <f t="shared" si="3"/>
        <v>0</v>
      </c>
      <c r="T16" s="923">
        <f>IFERROR(LOOKUP(1,0/((成型機資料庫!$F$332:$F$361=J16)*(成型機資料庫!$G$332:$G$361=K16)),成型機資料庫!$I$332:$I$361),0)</f>
        <v>0</v>
      </c>
      <c r="U16" s="944">
        <f>IFERROR(LOOKUP(1,0/((成型機資料庫!$F$332:$F$361=J16)*(成型機資料庫!$G$332:$G$361=K16)),成型機資料庫!$J$332:$J$361),0)</f>
        <v>0</v>
      </c>
      <c r="V16" s="900">
        <f>IFERROR(LOOKUP(1,0/((成型機資料庫!$F$332:$F$361=J16)*(成型機資料庫!$G$332:$G$361=K16)),成型機資料庫!$L$332:$L$361),0)</f>
        <v>0</v>
      </c>
      <c r="W16" s="898">
        <f t="shared" si="4"/>
        <v>0</v>
      </c>
      <c r="X16" s="923">
        <f t="shared" ref="X16:X44" si="7">IFERROR(T16*U16*60*AA16/Q16,0)</f>
        <v>0</v>
      </c>
      <c r="Y16" s="898">
        <f t="shared" ref="Y16:Y44" si="8">IFERROR(M16/X16,0)</f>
        <v>0</v>
      </c>
      <c r="Z16" s="923"/>
      <c r="AA16" s="478">
        <f t="shared" si="5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3</v>
      </c>
      <c r="D17" s="581"/>
      <c r="E17" s="581" t="s">
        <v>0</v>
      </c>
      <c r="F17" s="435" t="s">
        <v>42</v>
      </c>
      <c r="G17" s="926"/>
      <c r="H17" s="464"/>
      <c r="I17" s="429"/>
      <c r="J17" s="429"/>
      <c r="K17" s="429"/>
      <c r="L17" s="464"/>
      <c r="M17" s="464"/>
      <c r="N17" s="900">
        <f t="shared" si="6"/>
        <v>0</v>
      </c>
      <c r="O17" s="901">
        <f t="shared" si="1"/>
        <v>0</v>
      </c>
      <c r="P17" s="460"/>
      <c r="Q17" s="438">
        <f>IFERROR(LOOKUP(1,0/((成型機資料庫!$F$332:$F$361=J17)*(成型機資料庫!$G$332:$G$361=K17)),成型機資料庫!$K$332:$K$361),0)</f>
        <v>0</v>
      </c>
      <c r="R17" s="899">
        <f t="shared" si="2"/>
        <v>0</v>
      </c>
      <c r="S17" s="898">
        <f t="shared" si="3"/>
        <v>0</v>
      </c>
      <c r="T17" s="923">
        <f>IFERROR(LOOKUP(1,0/((成型機資料庫!$F$332:$F$361=J17)*(成型機資料庫!$G$332:$G$361=K17)),成型機資料庫!$I$332:$I$361),0)</f>
        <v>0</v>
      </c>
      <c r="U17" s="944">
        <f>IFERROR(LOOKUP(1,0/((成型機資料庫!$F$332:$F$361=J17)*(成型機資料庫!$G$332:$G$361=K17)),成型機資料庫!$J$332:$J$361),0)</f>
        <v>0</v>
      </c>
      <c r="V17" s="900">
        <f>IFERROR(LOOKUP(1,0/((成型機資料庫!$F$332:$F$361=J17)*(成型機資料庫!$G$332:$G$361=K17)),成型機資料庫!$L$332:$L$361),0)</f>
        <v>0</v>
      </c>
      <c r="W17" s="898">
        <f t="shared" si="4"/>
        <v>0</v>
      </c>
      <c r="X17" s="923">
        <f t="shared" si="7"/>
        <v>0</v>
      </c>
      <c r="Y17" s="898">
        <f t="shared" si="8"/>
        <v>0</v>
      </c>
      <c r="Z17" s="923"/>
      <c r="AA17" s="478">
        <f t="shared" si="5"/>
        <v>0</v>
      </c>
      <c r="AB17" s="438"/>
      <c r="AC17" s="482"/>
      <c r="AD17" s="438"/>
      <c r="AE17" s="438"/>
      <c r="AF17" s="438"/>
    </row>
    <row r="18" spans="1:32" s="433" customFormat="1" ht="15.75">
      <c r="A18" s="434">
        <v>113</v>
      </c>
      <c r="B18" s="581"/>
      <c r="C18" s="581">
        <v>4</v>
      </c>
      <c r="D18" s="581"/>
      <c r="E18" s="581" t="s">
        <v>0</v>
      </c>
      <c r="F18" s="435" t="s">
        <v>42</v>
      </c>
      <c r="G18" s="926"/>
      <c r="H18" s="464"/>
      <c r="I18" s="429"/>
      <c r="J18" s="429"/>
      <c r="K18" s="429"/>
      <c r="L18" s="464"/>
      <c r="M18" s="464"/>
      <c r="N18" s="900">
        <f t="shared" si="6"/>
        <v>0</v>
      </c>
      <c r="O18" s="901">
        <f t="shared" si="1"/>
        <v>0</v>
      </c>
      <c r="P18" s="460"/>
      <c r="Q18" s="438">
        <f>IFERROR(LOOKUP(1,0/((成型機資料庫!$F$332:$F$361=J18)*(成型機資料庫!$G$332:$G$361=K18)),成型機資料庫!$K$332:$K$361),0)</f>
        <v>0</v>
      </c>
      <c r="R18" s="899">
        <f t="shared" si="2"/>
        <v>0</v>
      </c>
      <c r="S18" s="898">
        <f t="shared" si="3"/>
        <v>0</v>
      </c>
      <c r="T18" s="923">
        <f>IFERROR(LOOKUP(1,0/((成型機資料庫!$F$332:$F$361=J18)*(成型機資料庫!$G$332:$G$361=K18)),成型機資料庫!$I$332:$I$361),0)</f>
        <v>0</v>
      </c>
      <c r="U18" s="944">
        <f>IFERROR(LOOKUP(1,0/((成型機資料庫!$F$332:$F$361=J18)*(成型機資料庫!$G$332:$G$361=K18)),成型機資料庫!$J$332:$J$361),0)</f>
        <v>0</v>
      </c>
      <c r="V18" s="900">
        <f>IFERROR(LOOKUP(1,0/((成型機資料庫!$F$332:$F$361=J18)*(成型機資料庫!$G$332:$G$361=K18)),成型機資料庫!$L$332:$L$361),0)</f>
        <v>0</v>
      </c>
      <c r="W18" s="898">
        <f t="shared" si="4"/>
        <v>0</v>
      </c>
      <c r="X18" s="923">
        <f t="shared" si="7"/>
        <v>0</v>
      </c>
      <c r="Y18" s="898">
        <f t="shared" si="8"/>
        <v>0</v>
      </c>
      <c r="Z18" s="923"/>
      <c r="AA18" s="478">
        <f t="shared" si="5"/>
        <v>0</v>
      </c>
      <c r="AB18" s="438"/>
      <c r="AC18" s="482"/>
      <c r="AD18" s="438"/>
      <c r="AE18" s="464"/>
      <c r="AF18" s="438"/>
    </row>
    <row r="19" spans="1:32" s="433" customFormat="1" ht="15.75">
      <c r="A19" s="434">
        <v>113</v>
      </c>
      <c r="B19" s="581"/>
      <c r="C19" s="581">
        <v>5</v>
      </c>
      <c r="D19" s="581"/>
      <c r="E19" s="889" t="s">
        <v>0</v>
      </c>
      <c r="F19" s="435" t="s">
        <v>42</v>
      </c>
      <c r="G19" s="926"/>
      <c r="H19" s="464"/>
      <c r="I19" s="429"/>
      <c r="J19" s="429"/>
      <c r="K19" s="429"/>
      <c r="L19" s="464"/>
      <c r="M19" s="464"/>
      <c r="N19" s="900">
        <f t="shared" si="6"/>
        <v>0</v>
      </c>
      <c r="O19" s="901">
        <f t="shared" si="1"/>
        <v>0</v>
      </c>
      <c r="P19" s="460"/>
      <c r="Q19" s="438">
        <f>IFERROR(LOOKUP(1,0/((成型機資料庫!$F$332:$F$361=J19)*(成型機資料庫!$G$332:$G$361=K19)),成型機資料庫!$K$332:$K$361),0)</f>
        <v>0</v>
      </c>
      <c r="R19" s="899">
        <f t="shared" si="2"/>
        <v>0</v>
      </c>
      <c r="S19" s="898">
        <f t="shared" si="3"/>
        <v>0</v>
      </c>
      <c r="T19" s="923">
        <f>IFERROR(LOOKUP(1,0/((成型機資料庫!$F$332:$F$361=J19)*(成型機資料庫!$G$332:$G$361=K19)),成型機資料庫!$I$332:$I$361),0)</f>
        <v>0</v>
      </c>
      <c r="U19" s="944">
        <f>IFERROR(LOOKUP(1,0/((成型機資料庫!$F$332:$F$361=J19)*(成型機資料庫!$G$332:$G$361=K19)),成型機資料庫!$J$332:$J$361),0)</f>
        <v>0</v>
      </c>
      <c r="V19" s="900">
        <f>IFERROR(LOOKUP(1,0/((成型機資料庫!$F$332:$F$361=J19)*(成型機資料庫!$G$332:$G$361=K19)),成型機資料庫!$L$332:$L$361),0)</f>
        <v>0</v>
      </c>
      <c r="W19" s="898">
        <f t="shared" si="4"/>
        <v>0</v>
      </c>
      <c r="X19" s="923">
        <f t="shared" si="7"/>
        <v>0</v>
      </c>
      <c r="Y19" s="898">
        <f t="shared" si="8"/>
        <v>0</v>
      </c>
      <c r="Z19" s="923"/>
      <c r="AA19" s="478">
        <f t="shared" si="5"/>
        <v>0</v>
      </c>
      <c r="AB19" s="438"/>
      <c r="AC19" s="482"/>
      <c r="AD19" s="438"/>
      <c r="AE19" s="438"/>
      <c r="AF19" s="438"/>
    </row>
    <row r="20" spans="1:32" s="433" customFormat="1" ht="15.75">
      <c r="A20" s="434">
        <v>113</v>
      </c>
      <c r="B20" s="581"/>
      <c r="C20" s="581">
        <v>6</v>
      </c>
      <c r="D20" s="581"/>
      <c r="E20" s="889" t="s">
        <v>0</v>
      </c>
      <c r="F20" s="435" t="s">
        <v>42</v>
      </c>
      <c r="G20" s="926"/>
      <c r="H20" s="464"/>
      <c r="I20" s="429"/>
      <c r="J20" s="429"/>
      <c r="K20" s="429"/>
      <c r="L20" s="464"/>
      <c r="M20" s="464"/>
      <c r="N20" s="900">
        <f t="shared" si="6"/>
        <v>0</v>
      </c>
      <c r="O20" s="901">
        <f t="shared" si="1"/>
        <v>0</v>
      </c>
      <c r="P20" s="460"/>
      <c r="Q20" s="438">
        <f>IFERROR(LOOKUP(1,0/((成型機資料庫!$F$332:$F$361=J20)*(成型機資料庫!$G$332:$G$361=K20)),成型機資料庫!$K$332:$K$361),0)</f>
        <v>0</v>
      </c>
      <c r="R20" s="899">
        <f t="shared" si="2"/>
        <v>0</v>
      </c>
      <c r="S20" s="898">
        <f t="shared" si="3"/>
        <v>0</v>
      </c>
      <c r="T20" s="923">
        <f>IFERROR(LOOKUP(1,0/((成型機資料庫!$F$332:$F$361=J20)*(成型機資料庫!$G$332:$G$361=K20)),成型機資料庫!$I$332:$I$361),0)</f>
        <v>0</v>
      </c>
      <c r="U20" s="944">
        <f>IFERROR(LOOKUP(1,0/((成型機資料庫!$F$332:$F$361=J20)*(成型機資料庫!$G$332:$G$361=K20)),成型機資料庫!$J$332:$J$361),0)</f>
        <v>0</v>
      </c>
      <c r="V20" s="900">
        <f>IFERROR(LOOKUP(1,0/((成型機資料庫!$F$332:$F$361=J20)*(成型機資料庫!$G$332:$G$361=K20)),成型機資料庫!$L$332:$L$361),0)</f>
        <v>0</v>
      </c>
      <c r="W20" s="898">
        <f t="shared" si="4"/>
        <v>0</v>
      </c>
      <c r="X20" s="923">
        <f t="shared" si="7"/>
        <v>0</v>
      </c>
      <c r="Y20" s="898">
        <f t="shared" si="8"/>
        <v>0</v>
      </c>
      <c r="Z20" s="923"/>
      <c r="AA20" s="478">
        <f t="shared" si="5"/>
        <v>0</v>
      </c>
      <c r="AB20" s="438"/>
      <c r="AC20" s="482"/>
      <c r="AD20" s="879"/>
      <c r="AE20" s="438"/>
      <c r="AF20" s="438"/>
    </row>
    <row r="21" spans="1:32" s="433" customFormat="1" ht="15.75">
      <c r="A21" s="434">
        <v>113</v>
      </c>
      <c r="B21" s="581"/>
      <c r="C21" s="581">
        <v>7</v>
      </c>
      <c r="D21" s="581"/>
      <c r="E21" s="889" t="s">
        <v>0</v>
      </c>
      <c r="F21" s="435" t="s">
        <v>42</v>
      </c>
      <c r="G21" s="927"/>
      <c r="H21" s="464"/>
      <c r="I21" s="429"/>
      <c r="J21" s="429"/>
      <c r="K21" s="429"/>
      <c r="L21" s="464"/>
      <c r="M21" s="464"/>
      <c r="N21" s="900">
        <f t="shared" si="6"/>
        <v>0</v>
      </c>
      <c r="O21" s="901">
        <f t="shared" si="1"/>
        <v>0</v>
      </c>
      <c r="P21" s="460"/>
      <c r="Q21" s="438">
        <f>IFERROR(LOOKUP(1,0/((成型機資料庫!$F$332:$F$361=J21)*(成型機資料庫!$G$332:$G$361=K21)),成型機資料庫!$K$332:$K$361),0)</f>
        <v>0</v>
      </c>
      <c r="R21" s="899">
        <f t="shared" si="2"/>
        <v>0</v>
      </c>
      <c r="S21" s="898">
        <f t="shared" si="3"/>
        <v>0</v>
      </c>
      <c r="T21" s="923">
        <f>IFERROR(LOOKUP(1,0/((成型機資料庫!$F$332:$F$361=J21)*(成型機資料庫!$G$332:$G$361=K21)),成型機資料庫!$I$332:$I$361),0)</f>
        <v>0</v>
      </c>
      <c r="U21" s="944">
        <f>IFERROR(LOOKUP(1,0/((成型機資料庫!$F$332:$F$361=J21)*(成型機資料庫!$G$332:$G$361=K21)),成型機資料庫!$J$332:$J$361),0)</f>
        <v>0</v>
      </c>
      <c r="V21" s="900">
        <f>IFERROR(LOOKUP(1,0/((成型機資料庫!$F$332:$F$361=J21)*(成型機資料庫!$G$332:$G$361=K21)),成型機資料庫!$L$332:$L$361),0)</f>
        <v>0</v>
      </c>
      <c r="W21" s="898">
        <f t="shared" si="4"/>
        <v>0</v>
      </c>
      <c r="X21" s="923">
        <f t="shared" si="7"/>
        <v>0</v>
      </c>
      <c r="Y21" s="898">
        <f t="shared" si="8"/>
        <v>0</v>
      </c>
      <c r="Z21" s="923"/>
      <c r="AA21" s="478">
        <f t="shared" si="5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8</v>
      </c>
      <c r="D22" s="581"/>
      <c r="E22" s="889" t="s">
        <v>0</v>
      </c>
      <c r="F22" s="435" t="s">
        <v>42</v>
      </c>
      <c r="G22" s="927"/>
      <c r="H22" s="464"/>
      <c r="I22" s="429"/>
      <c r="J22" s="429"/>
      <c r="K22" s="429"/>
      <c r="L22" s="464"/>
      <c r="M22" s="464"/>
      <c r="N22" s="900">
        <f t="shared" si="6"/>
        <v>0</v>
      </c>
      <c r="O22" s="901">
        <f t="shared" si="1"/>
        <v>0</v>
      </c>
      <c r="P22" s="460"/>
      <c r="Q22" s="438">
        <f>IFERROR(LOOKUP(1,0/((成型機資料庫!$F$332:$F$361=J22)*(成型機資料庫!$G$332:$G$361=K22)),成型機資料庫!$K$332:$K$361),0)</f>
        <v>0</v>
      </c>
      <c r="R22" s="899">
        <f t="shared" si="2"/>
        <v>0</v>
      </c>
      <c r="S22" s="898">
        <f t="shared" si="3"/>
        <v>0</v>
      </c>
      <c r="T22" s="923">
        <f>IFERROR(LOOKUP(1,0/((成型機資料庫!$F$332:$F$361=J22)*(成型機資料庫!$G$332:$G$361=K22)),成型機資料庫!$I$332:$I$361),0)</f>
        <v>0</v>
      </c>
      <c r="U22" s="944">
        <f>IFERROR(LOOKUP(1,0/((成型機資料庫!$F$332:$F$361=J22)*(成型機資料庫!$G$332:$G$361=K22)),成型機資料庫!$J$332:$J$361),0)</f>
        <v>0</v>
      </c>
      <c r="V22" s="900">
        <f>IFERROR(LOOKUP(1,0/((成型機資料庫!$F$332:$F$361=J22)*(成型機資料庫!$G$332:$G$361=K22)),成型機資料庫!$L$332:$L$361),0)</f>
        <v>0</v>
      </c>
      <c r="W22" s="898">
        <f t="shared" si="4"/>
        <v>0</v>
      </c>
      <c r="X22" s="923">
        <f t="shared" si="7"/>
        <v>0</v>
      </c>
      <c r="Y22" s="898">
        <f t="shared" si="8"/>
        <v>0</v>
      </c>
      <c r="Z22" s="923"/>
      <c r="AA22" s="478">
        <f t="shared" si="5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9</v>
      </c>
      <c r="D23" s="581"/>
      <c r="E23" s="889" t="s">
        <v>0</v>
      </c>
      <c r="F23" s="435" t="s">
        <v>42</v>
      </c>
      <c r="G23" s="926"/>
      <c r="H23" s="464"/>
      <c r="I23" s="429"/>
      <c r="J23" s="429"/>
      <c r="K23" s="429"/>
      <c r="L23" s="464"/>
      <c r="M23" s="464"/>
      <c r="N23" s="900">
        <f t="shared" si="6"/>
        <v>0</v>
      </c>
      <c r="O23" s="901">
        <f t="shared" si="1"/>
        <v>0</v>
      </c>
      <c r="P23" s="460"/>
      <c r="Q23" s="438">
        <f>IFERROR(LOOKUP(1,0/((成型機資料庫!$F$332:$F$361=J23)*(成型機資料庫!$G$332:$G$361=K23)),成型機資料庫!$K$332:$K$361),0)</f>
        <v>0</v>
      </c>
      <c r="R23" s="899">
        <f t="shared" si="2"/>
        <v>0</v>
      </c>
      <c r="S23" s="898">
        <f t="shared" si="3"/>
        <v>0</v>
      </c>
      <c r="T23" s="923">
        <f>IFERROR(LOOKUP(1,0/((成型機資料庫!$F$332:$F$361=J23)*(成型機資料庫!$G$332:$G$361=K23)),成型機資料庫!$I$332:$I$361),0)</f>
        <v>0</v>
      </c>
      <c r="U23" s="944">
        <f>IFERROR(LOOKUP(1,0/((成型機資料庫!$F$332:$F$361=J23)*(成型機資料庫!$G$332:$G$361=K23)),成型機資料庫!$J$332:$J$361),0)</f>
        <v>0</v>
      </c>
      <c r="V23" s="900">
        <f>IFERROR(LOOKUP(1,0/((成型機資料庫!$F$332:$F$361=J23)*(成型機資料庫!$G$332:$G$361=K23)),成型機資料庫!$L$332:$L$361),0)</f>
        <v>0</v>
      </c>
      <c r="W23" s="898">
        <f t="shared" si="4"/>
        <v>0</v>
      </c>
      <c r="X23" s="923">
        <f t="shared" si="7"/>
        <v>0</v>
      </c>
      <c r="Y23" s="898">
        <f t="shared" si="8"/>
        <v>0</v>
      </c>
      <c r="Z23" s="923"/>
      <c r="AA23" s="478">
        <f t="shared" si="5"/>
        <v>0</v>
      </c>
      <c r="AB23" s="438"/>
      <c r="AC23" s="482"/>
      <c r="AD23" s="464"/>
      <c r="AE23" s="438"/>
      <c r="AF23" s="438"/>
    </row>
    <row r="24" spans="1:32" s="433" customFormat="1" ht="15.75">
      <c r="A24" s="434">
        <v>113</v>
      </c>
      <c r="B24" s="581"/>
      <c r="C24" s="581">
        <v>10</v>
      </c>
      <c r="D24" s="581"/>
      <c r="E24" s="889" t="s">
        <v>0</v>
      </c>
      <c r="F24" s="435" t="s">
        <v>42</v>
      </c>
      <c r="G24" s="926"/>
      <c r="H24" s="464"/>
      <c r="I24" s="429"/>
      <c r="J24" s="429"/>
      <c r="K24" s="429"/>
      <c r="L24" s="464"/>
      <c r="M24" s="464"/>
      <c r="N24" s="900">
        <f t="shared" si="6"/>
        <v>0</v>
      </c>
      <c r="O24" s="901">
        <f t="shared" si="1"/>
        <v>0</v>
      </c>
      <c r="P24" s="460"/>
      <c r="Q24" s="438">
        <f>IFERROR(LOOKUP(1,0/((成型機資料庫!$F$332:$F$361=J24)*(成型機資料庫!$G$332:$G$361=K24)),成型機資料庫!$K$332:$K$361),0)</f>
        <v>0</v>
      </c>
      <c r="R24" s="899">
        <f t="shared" si="2"/>
        <v>0</v>
      </c>
      <c r="S24" s="898">
        <f t="shared" si="3"/>
        <v>0</v>
      </c>
      <c r="T24" s="923">
        <f>IFERROR(LOOKUP(1,0/((成型機資料庫!$F$332:$F$361=J24)*(成型機資料庫!$G$332:$G$361=K24)),成型機資料庫!$I$332:$I$361),0)</f>
        <v>0</v>
      </c>
      <c r="U24" s="944">
        <f>IFERROR(LOOKUP(1,0/((成型機資料庫!$F$332:$F$361=J24)*(成型機資料庫!$G$332:$G$361=K24)),成型機資料庫!$J$332:$J$361),0)</f>
        <v>0</v>
      </c>
      <c r="V24" s="900">
        <f>IFERROR(LOOKUP(1,0/((成型機資料庫!$F$332:$F$361=J24)*(成型機資料庫!$G$332:$G$361=K24)),成型機資料庫!$L$332:$L$361),0)</f>
        <v>0</v>
      </c>
      <c r="W24" s="898">
        <f t="shared" si="4"/>
        <v>0</v>
      </c>
      <c r="X24" s="923">
        <f t="shared" si="7"/>
        <v>0</v>
      </c>
      <c r="Y24" s="898">
        <f t="shared" si="8"/>
        <v>0</v>
      </c>
      <c r="Z24" s="923"/>
      <c r="AA24" s="478">
        <f t="shared" si="5"/>
        <v>0</v>
      </c>
      <c r="AB24" s="438"/>
      <c r="AC24" s="482"/>
      <c r="AD24" s="438"/>
      <c r="AE24" s="438"/>
      <c r="AF24" s="438"/>
    </row>
    <row r="25" spans="1:32" s="433" customFormat="1" ht="15.75">
      <c r="A25" s="434">
        <v>113</v>
      </c>
      <c r="B25" s="581"/>
      <c r="C25" s="581">
        <v>11</v>
      </c>
      <c r="D25" s="581"/>
      <c r="E25" s="581" t="s">
        <v>0</v>
      </c>
      <c r="F25" s="435" t="s">
        <v>42</v>
      </c>
      <c r="G25" s="926"/>
      <c r="H25" s="464"/>
      <c r="I25" s="429"/>
      <c r="J25" s="429"/>
      <c r="K25" s="429"/>
      <c r="L25" s="464"/>
      <c r="M25" s="464"/>
      <c r="N25" s="900">
        <f t="shared" si="6"/>
        <v>0</v>
      </c>
      <c r="O25" s="901">
        <f t="shared" si="1"/>
        <v>0</v>
      </c>
      <c r="P25" s="460"/>
      <c r="Q25" s="438">
        <f>IFERROR(LOOKUP(1,0/((成型機資料庫!$F$332:$F$361=J25)*(成型機資料庫!$G$332:$G$361=K25)),成型機資料庫!$K$332:$K$361),0)</f>
        <v>0</v>
      </c>
      <c r="R25" s="899">
        <f t="shared" si="2"/>
        <v>0</v>
      </c>
      <c r="S25" s="898">
        <f t="shared" si="3"/>
        <v>0</v>
      </c>
      <c r="T25" s="923">
        <f>IFERROR(LOOKUP(1,0/((成型機資料庫!$F$332:$F$361=J25)*(成型機資料庫!$G$332:$G$361=K25)),成型機資料庫!$I$332:$I$361),0)</f>
        <v>0</v>
      </c>
      <c r="U25" s="944">
        <f>IFERROR(LOOKUP(1,0/((成型機資料庫!$F$332:$F$361=J25)*(成型機資料庫!$G$332:$G$361=K25)),成型機資料庫!$J$332:$J$361),0)</f>
        <v>0</v>
      </c>
      <c r="V25" s="900">
        <f>IFERROR(LOOKUP(1,0/((成型機資料庫!$F$332:$F$361=J25)*(成型機資料庫!$G$332:$G$361=K25)),成型機資料庫!$L$332:$L$361),0)</f>
        <v>0</v>
      </c>
      <c r="W25" s="898">
        <f t="shared" si="4"/>
        <v>0</v>
      </c>
      <c r="X25" s="923">
        <f t="shared" si="7"/>
        <v>0</v>
      </c>
      <c r="Y25" s="898">
        <f t="shared" si="8"/>
        <v>0</v>
      </c>
      <c r="Z25" s="923"/>
      <c r="AA25" s="478">
        <f t="shared" si="5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581"/>
      <c r="C26" s="581">
        <v>12</v>
      </c>
      <c r="D26" s="581"/>
      <c r="E26" s="889" t="s">
        <v>0</v>
      </c>
      <c r="F26" s="435" t="s">
        <v>42</v>
      </c>
      <c r="G26" s="926"/>
      <c r="H26" s="464"/>
      <c r="I26" s="429"/>
      <c r="J26" s="429"/>
      <c r="K26" s="429"/>
      <c r="L26" s="464"/>
      <c r="M26" s="464"/>
      <c r="N26" s="900">
        <f t="shared" si="6"/>
        <v>0</v>
      </c>
      <c r="O26" s="901">
        <f t="shared" si="1"/>
        <v>0</v>
      </c>
      <c r="P26" s="460"/>
      <c r="Q26" s="438">
        <f>IFERROR(LOOKUP(1,0/((成型機資料庫!$F$332:$F$361=J26)*(成型機資料庫!$G$332:$G$361=K26)),成型機資料庫!$K$332:$K$361),0)</f>
        <v>0</v>
      </c>
      <c r="R26" s="899">
        <f t="shared" si="2"/>
        <v>0</v>
      </c>
      <c r="S26" s="898">
        <f t="shared" si="3"/>
        <v>0</v>
      </c>
      <c r="T26" s="923">
        <f>IFERROR(LOOKUP(1,0/((成型機資料庫!$F$332:$F$361=J26)*(成型機資料庫!$G$332:$G$361=K26)),成型機資料庫!$I$332:$I$361),0)</f>
        <v>0</v>
      </c>
      <c r="U26" s="944">
        <f>IFERROR(LOOKUP(1,0/((成型機資料庫!$F$332:$F$361=J26)*(成型機資料庫!$G$332:$G$361=K26)),成型機資料庫!$J$332:$J$361),0)</f>
        <v>0</v>
      </c>
      <c r="V26" s="900">
        <f>IFERROR(LOOKUP(1,0/((成型機資料庫!$F$332:$F$361=J26)*(成型機資料庫!$G$332:$G$361=K26)),成型機資料庫!$L$332:$L$361),0)</f>
        <v>0</v>
      </c>
      <c r="W26" s="898">
        <f t="shared" si="4"/>
        <v>0</v>
      </c>
      <c r="X26" s="923">
        <f t="shared" si="7"/>
        <v>0</v>
      </c>
      <c r="Y26" s="898">
        <f t="shared" si="8"/>
        <v>0</v>
      </c>
      <c r="Z26" s="923"/>
      <c r="AA26" s="478">
        <f t="shared" si="5"/>
        <v>0</v>
      </c>
      <c r="AB26" s="438"/>
      <c r="AC26" s="482"/>
      <c r="AD26" s="438"/>
      <c r="AE26" s="438"/>
      <c r="AF26" s="438"/>
    </row>
    <row r="27" spans="1:32" s="433" customFormat="1" ht="15.75">
      <c r="A27" s="434">
        <v>113</v>
      </c>
      <c r="B27" s="581"/>
      <c r="C27" s="581">
        <v>13</v>
      </c>
      <c r="D27" s="581"/>
      <c r="E27" s="889" t="s">
        <v>0</v>
      </c>
      <c r="F27" s="435" t="s">
        <v>42</v>
      </c>
      <c r="G27" s="926"/>
      <c r="H27" s="464"/>
      <c r="I27" s="429"/>
      <c r="J27" s="429"/>
      <c r="K27" s="429"/>
      <c r="L27" s="464"/>
      <c r="M27" s="464"/>
      <c r="N27" s="900">
        <f t="shared" si="6"/>
        <v>0</v>
      </c>
      <c r="O27" s="901">
        <f t="shared" si="1"/>
        <v>0</v>
      </c>
      <c r="P27" s="460"/>
      <c r="Q27" s="438">
        <f>IFERROR(LOOKUP(1,0/((成型機資料庫!$F$332:$F$361=J27)*(成型機資料庫!$G$332:$G$361=K27)),成型機資料庫!$K$332:$K$361),0)</f>
        <v>0</v>
      </c>
      <c r="R27" s="899">
        <f t="shared" si="2"/>
        <v>0</v>
      </c>
      <c r="S27" s="898">
        <f t="shared" si="3"/>
        <v>0</v>
      </c>
      <c r="T27" s="923">
        <f>IFERROR(LOOKUP(1,0/((成型機資料庫!$F$332:$F$361=J27)*(成型機資料庫!$G$332:$G$361=K27)),成型機資料庫!$I$332:$I$361),0)</f>
        <v>0</v>
      </c>
      <c r="U27" s="944">
        <f>IFERROR(LOOKUP(1,0/((成型機資料庫!$F$332:$F$361=J27)*(成型機資料庫!$G$332:$G$361=K27)),成型機資料庫!$J$332:$J$361),0)</f>
        <v>0</v>
      </c>
      <c r="V27" s="900">
        <f>IFERROR(LOOKUP(1,0/((成型機資料庫!$F$332:$F$361=J27)*(成型機資料庫!$G$332:$G$361=K27)),成型機資料庫!$L$332:$L$361),0)</f>
        <v>0</v>
      </c>
      <c r="W27" s="898">
        <f t="shared" si="4"/>
        <v>0</v>
      </c>
      <c r="X27" s="923">
        <f t="shared" si="7"/>
        <v>0</v>
      </c>
      <c r="Y27" s="898">
        <f t="shared" si="8"/>
        <v>0</v>
      </c>
      <c r="Z27" s="923"/>
      <c r="AA27" s="478">
        <f t="shared" si="5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581"/>
      <c r="C28" s="581">
        <v>14</v>
      </c>
      <c r="D28" s="581"/>
      <c r="E28" s="889" t="s">
        <v>0</v>
      </c>
      <c r="F28" s="435" t="s">
        <v>42</v>
      </c>
      <c r="G28" s="926"/>
      <c r="H28" s="464"/>
      <c r="I28" s="429"/>
      <c r="J28" s="429"/>
      <c r="K28" s="429"/>
      <c r="L28" s="464"/>
      <c r="M28" s="464"/>
      <c r="N28" s="900">
        <f t="shared" si="6"/>
        <v>0</v>
      </c>
      <c r="O28" s="901">
        <f t="shared" si="1"/>
        <v>0</v>
      </c>
      <c r="P28" s="460"/>
      <c r="Q28" s="438">
        <f>IFERROR(LOOKUP(1,0/((成型機資料庫!$F$332:$F$361=J28)*(成型機資料庫!$G$332:$G$361=K28)),成型機資料庫!$K$332:$K$361),0)</f>
        <v>0</v>
      </c>
      <c r="R28" s="899">
        <f t="shared" si="2"/>
        <v>0</v>
      </c>
      <c r="S28" s="898">
        <f t="shared" si="3"/>
        <v>0</v>
      </c>
      <c r="T28" s="923">
        <f>IFERROR(LOOKUP(1,0/((成型機資料庫!$F$332:$F$361=J28)*(成型機資料庫!$G$332:$G$361=K28)),成型機資料庫!$I$332:$I$361),0)</f>
        <v>0</v>
      </c>
      <c r="U28" s="944">
        <f>IFERROR(LOOKUP(1,0/((成型機資料庫!$F$332:$F$361=J28)*(成型機資料庫!$G$332:$G$361=K28)),成型機資料庫!$J$332:$J$361),0)</f>
        <v>0</v>
      </c>
      <c r="V28" s="900">
        <f>IFERROR(LOOKUP(1,0/((成型機資料庫!$F$332:$F$361=J28)*(成型機資料庫!$G$332:$G$361=K28)),成型機資料庫!$L$332:$L$361),0)</f>
        <v>0</v>
      </c>
      <c r="W28" s="898">
        <f t="shared" si="4"/>
        <v>0</v>
      </c>
      <c r="X28" s="923">
        <f t="shared" si="7"/>
        <v>0</v>
      </c>
      <c r="Y28" s="898">
        <f t="shared" si="8"/>
        <v>0</v>
      </c>
      <c r="Z28" s="923"/>
      <c r="AA28" s="478">
        <f t="shared" si="5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581"/>
      <c r="C29" s="581">
        <v>15</v>
      </c>
      <c r="D29" s="581"/>
      <c r="E29" s="889" t="s">
        <v>0</v>
      </c>
      <c r="F29" s="435" t="s">
        <v>42</v>
      </c>
      <c r="G29" s="927"/>
      <c r="H29" s="464"/>
      <c r="I29" s="429"/>
      <c r="J29" s="429"/>
      <c r="K29" s="429"/>
      <c r="L29" s="464"/>
      <c r="M29" s="464"/>
      <c r="N29" s="900">
        <f t="shared" si="6"/>
        <v>0</v>
      </c>
      <c r="O29" s="901">
        <f t="shared" si="1"/>
        <v>0</v>
      </c>
      <c r="P29" s="460"/>
      <c r="Q29" s="438">
        <f>IFERROR(LOOKUP(1,0/((成型機資料庫!$F$332:$F$361=J29)*(成型機資料庫!$G$332:$G$361=K29)),成型機資料庫!$K$332:$K$361),0)</f>
        <v>0</v>
      </c>
      <c r="R29" s="899">
        <f t="shared" si="2"/>
        <v>0</v>
      </c>
      <c r="S29" s="898">
        <f t="shared" si="3"/>
        <v>0</v>
      </c>
      <c r="T29" s="923">
        <f>IFERROR(LOOKUP(1,0/((成型機資料庫!$F$332:$F$361=J29)*(成型機資料庫!$G$332:$G$361=K29)),成型機資料庫!$I$332:$I$361),0)</f>
        <v>0</v>
      </c>
      <c r="U29" s="944">
        <f>IFERROR(LOOKUP(1,0/((成型機資料庫!$F$332:$F$361=J29)*(成型機資料庫!$G$332:$G$361=K29)),成型機資料庫!$J$332:$J$361),0)</f>
        <v>0</v>
      </c>
      <c r="V29" s="900">
        <f>IFERROR(LOOKUP(1,0/((成型機資料庫!$F$332:$F$361=J29)*(成型機資料庫!$G$332:$G$361=K29)),成型機資料庫!$L$332:$L$361),0)</f>
        <v>0</v>
      </c>
      <c r="W29" s="898">
        <f t="shared" si="4"/>
        <v>0</v>
      </c>
      <c r="X29" s="923">
        <f t="shared" si="7"/>
        <v>0</v>
      </c>
      <c r="Y29" s="898">
        <f t="shared" si="8"/>
        <v>0</v>
      </c>
      <c r="Z29" s="923"/>
      <c r="AA29" s="478">
        <f t="shared" si="5"/>
        <v>0</v>
      </c>
      <c r="AB29" s="438"/>
      <c r="AC29" s="482"/>
      <c r="AD29" s="438"/>
      <c r="AE29" s="438"/>
      <c r="AF29" s="438"/>
    </row>
    <row r="30" spans="1:32" s="433" customFormat="1" ht="15.75">
      <c r="A30" s="434">
        <v>113</v>
      </c>
      <c r="B30" s="581"/>
      <c r="C30" s="581">
        <v>16</v>
      </c>
      <c r="D30" s="581"/>
      <c r="E30" s="889" t="s">
        <v>0</v>
      </c>
      <c r="F30" s="435" t="s">
        <v>42</v>
      </c>
      <c r="G30" s="927"/>
      <c r="H30" s="464"/>
      <c r="I30" s="429"/>
      <c r="J30" s="429"/>
      <c r="K30" s="429"/>
      <c r="L30" s="464"/>
      <c r="M30" s="464"/>
      <c r="N30" s="900">
        <f t="shared" si="6"/>
        <v>0</v>
      </c>
      <c r="O30" s="901">
        <f t="shared" si="1"/>
        <v>0</v>
      </c>
      <c r="P30" s="460"/>
      <c r="Q30" s="438">
        <f>IFERROR(LOOKUP(1,0/((成型機資料庫!$F$332:$F$361=J30)*(成型機資料庫!$G$332:$G$361=K30)),成型機資料庫!$K$332:$K$361),0)</f>
        <v>0</v>
      </c>
      <c r="R30" s="899">
        <f t="shared" si="2"/>
        <v>0</v>
      </c>
      <c r="S30" s="898">
        <f t="shared" si="3"/>
        <v>0</v>
      </c>
      <c r="T30" s="923">
        <f>IFERROR(LOOKUP(1,0/((成型機資料庫!$F$332:$F$361=J30)*(成型機資料庫!$G$332:$G$361=K30)),成型機資料庫!$I$332:$I$361),0)</f>
        <v>0</v>
      </c>
      <c r="U30" s="944">
        <f>IFERROR(LOOKUP(1,0/((成型機資料庫!$F$332:$F$361=J30)*(成型機資料庫!$G$332:$G$361=K30)),成型機資料庫!$J$332:$J$361),0)</f>
        <v>0</v>
      </c>
      <c r="V30" s="900">
        <f>IFERROR(LOOKUP(1,0/((成型機資料庫!$F$332:$F$361=J30)*(成型機資料庫!$G$332:$G$361=K30)),成型機資料庫!$L$332:$L$361),0)</f>
        <v>0</v>
      </c>
      <c r="W30" s="898">
        <f t="shared" si="4"/>
        <v>0</v>
      </c>
      <c r="X30" s="923">
        <f t="shared" si="7"/>
        <v>0</v>
      </c>
      <c r="Y30" s="898">
        <f t="shared" si="8"/>
        <v>0</v>
      </c>
      <c r="Z30" s="923"/>
      <c r="AA30" s="478">
        <f t="shared" si="5"/>
        <v>0</v>
      </c>
      <c r="AB30" s="438"/>
      <c r="AC30" s="482"/>
      <c r="AD30" s="464"/>
      <c r="AE30" s="464"/>
      <c r="AF30" s="438"/>
    </row>
    <row r="31" spans="1:32" s="433" customFormat="1" ht="15.75">
      <c r="A31" s="434">
        <v>113</v>
      </c>
      <c r="B31" s="581"/>
      <c r="C31" s="581">
        <v>17</v>
      </c>
      <c r="D31" s="581"/>
      <c r="E31" s="889" t="s">
        <v>0</v>
      </c>
      <c r="F31" s="435" t="s">
        <v>42</v>
      </c>
      <c r="G31" s="927"/>
      <c r="H31" s="464"/>
      <c r="I31" s="429"/>
      <c r="J31" s="429"/>
      <c r="K31" s="429"/>
      <c r="L31" s="464"/>
      <c r="M31" s="464"/>
      <c r="N31" s="900">
        <f t="shared" si="6"/>
        <v>0</v>
      </c>
      <c r="O31" s="901">
        <f t="shared" si="1"/>
        <v>0</v>
      </c>
      <c r="P31" s="460"/>
      <c r="Q31" s="438">
        <f>IFERROR(LOOKUP(1,0/((成型機資料庫!$F$332:$F$361=J31)*(成型機資料庫!$G$332:$G$361=K31)),成型機資料庫!$K$332:$K$361),0)</f>
        <v>0</v>
      </c>
      <c r="R31" s="899">
        <f t="shared" si="2"/>
        <v>0</v>
      </c>
      <c r="S31" s="898">
        <f t="shared" si="3"/>
        <v>0</v>
      </c>
      <c r="T31" s="923">
        <f>IFERROR(LOOKUP(1,0/((成型機資料庫!$F$332:$F$361=J31)*(成型機資料庫!$G$332:$G$361=K31)),成型機資料庫!$I$332:$I$361),0)</f>
        <v>0</v>
      </c>
      <c r="U31" s="944">
        <f>IFERROR(LOOKUP(1,0/((成型機資料庫!$F$332:$F$361=J31)*(成型機資料庫!$G$332:$G$361=K31)),成型機資料庫!$J$332:$J$361),0)</f>
        <v>0</v>
      </c>
      <c r="V31" s="900">
        <f>IFERROR(LOOKUP(1,0/((成型機資料庫!$F$332:$F$361=J31)*(成型機資料庫!$G$332:$G$361=K31)),成型機資料庫!$L$332:$L$361),0)</f>
        <v>0</v>
      </c>
      <c r="W31" s="898">
        <f t="shared" si="4"/>
        <v>0</v>
      </c>
      <c r="X31" s="923">
        <f t="shared" si="7"/>
        <v>0</v>
      </c>
      <c r="Y31" s="898">
        <f t="shared" si="8"/>
        <v>0</v>
      </c>
      <c r="Z31" s="923"/>
      <c r="AA31" s="478">
        <f t="shared" si="5"/>
        <v>0</v>
      </c>
      <c r="AB31" s="438"/>
      <c r="AC31" s="482"/>
      <c r="AD31" s="464"/>
      <c r="AE31" s="438"/>
      <c r="AF31" s="438"/>
    </row>
    <row r="32" spans="1:32" s="433" customFormat="1" ht="15.75">
      <c r="A32" s="434">
        <v>113</v>
      </c>
      <c r="B32" s="434"/>
      <c r="C32" s="434">
        <v>18</v>
      </c>
      <c r="D32" s="581"/>
      <c r="E32" s="889" t="s">
        <v>0</v>
      </c>
      <c r="F32" s="435" t="s">
        <v>42</v>
      </c>
      <c r="G32" s="926"/>
      <c r="H32" s="464"/>
      <c r="I32" s="429"/>
      <c r="J32" s="429"/>
      <c r="K32" s="429"/>
      <c r="L32" s="464"/>
      <c r="M32" s="464"/>
      <c r="N32" s="900">
        <f t="shared" si="6"/>
        <v>0</v>
      </c>
      <c r="O32" s="901">
        <f t="shared" si="1"/>
        <v>0</v>
      </c>
      <c r="P32" s="460"/>
      <c r="Q32" s="438">
        <f>IFERROR(LOOKUP(1,0/((成型機資料庫!$F$332:$F$361=J32)*(成型機資料庫!$G$332:$G$361=K32)),成型機資料庫!$K$332:$K$361),0)</f>
        <v>0</v>
      </c>
      <c r="R32" s="899">
        <f t="shared" si="2"/>
        <v>0</v>
      </c>
      <c r="S32" s="898">
        <f t="shared" si="3"/>
        <v>0</v>
      </c>
      <c r="T32" s="923">
        <f>IFERROR(LOOKUP(1,0/((成型機資料庫!$F$332:$F$361=J32)*(成型機資料庫!$G$332:$G$361=K32)),成型機資料庫!$I$332:$I$361),0)</f>
        <v>0</v>
      </c>
      <c r="U32" s="944">
        <f>IFERROR(LOOKUP(1,0/((成型機資料庫!$F$332:$F$361=J32)*(成型機資料庫!$G$332:$G$361=K32)),成型機資料庫!$J$332:$J$361),0)</f>
        <v>0</v>
      </c>
      <c r="V32" s="900">
        <f>IFERROR(LOOKUP(1,0/((成型機資料庫!$F$332:$F$361=J32)*(成型機資料庫!$G$332:$G$361=K32)),成型機資料庫!$L$332:$L$361),0)</f>
        <v>0</v>
      </c>
      <c r="W32" s="898">
        <f t="shared" si="4"/>
        <v>0</v>
      </c>
      <c r="X32" s="923">
        <f t="shared" si="7"/>
        <v>0</v>
      </c>
      <c r="Y32" s="898">
        <f t="shared" si="8"/>
        <v>0</v>
      </c>
      <c r="Z32" s="923"/>
      <c r="AA32" s="478">
        <f t="shared" si="5"/>
        <v>0</v>
      </c>
      <c r="AB32" s="438"/>
      <c r="AC32" s="482"/>
      <c r="AD32" s="464"/>
      <c r="AE32" s="438"/>
      <c r="AF32" s="438"/>
    </row>
    <row r="33" spans="1:32" s="433" customFormat="1" ht="15.75">
      <c r="A33" s="434">
        <v>113</v>
      </c>
      <c r="B33" s="434"/>
      <c r="C33" s="434">
        <v>19</v>
      </c>
      <c r="D33" s="581"/>
      <c r="E33" s="889" t="s">
        <v>0</v>
      </c>
      <c r="F33" s="435" t="s">
        <v>42</v>
      </c>
      <c r="G33" s="926"/>
      <c r="H33" s="464"/>
      <c r="I33" s="429"/>
      <c r="J33" s="429"/>
      <c r="K33" s="429"/>
      <c r="L33" s="464"/>
      <c r="M33" s="464"/>
      <c r="N33" s="900">
        <f t="shared" si="6"/>
        <v>0</v>
      </c>
      <c r="O33" s="901">
        <f t="shared" si="1"/>
        <v>0</v>
      </c>
      <c r="P33" s="460"/>
      <c r="Q33" s="438">
        <f>IFERROR(LOOKUP(1,0/((成型機資料庫!$F$332:$F$361=J33)*(成型機資料庫!$G$332:$G$361=K33)),成型機資料庫!$K$332:$K$361),0)</f>
        <v>0</v>
      </c>
      <c r="R33" s="899">
        <f t="shared" si="2"/>
        <v>0</v>
      </c>
      <c r="S33" s="898">
        <f t="shared" si="3"/>
        <v>0</v>
      </c>
      <c r="T33" s="923">
        <f>IFERROR(LOOKUP(1,0/((成型機資料庫!$F$332:$F$361=J33)*(成型機資料庫!$G$332:$G$361=K33)),成型機資料庫!$I$332:$I$361),0)</f>
        <v>0</v>
      </c>
      <c r="U33" s="944">
        <f>IFERROR(LOOKUP(1,0/((成型機資料庫!$F$332:$F$361=J33)*(成型機資料庫!$G$332:$G$361=K33)),成型機資料庫!$J$332:$J$361),0)</f>
        <v>0</v>
      </c>
      <c r="V33" s="900">
        <f>IFERROR(LOOKUP(1,0/((成型機資料庫!$F$332:$F$361=J33)*(成型機資料庫!$G$332:$G$361=K33)),成型機資料庫!$L$332:$L$361),0)</f>
        <v>0</v>
      </c>
      <c r="W33" s="898">
        <f t="shared" si="4"/>
        <v>0</v>
      </c>
      <c r="X33" s="923">
        <f t="shared" si="7"/>
        <v>0</v>
      </c>
      <c r="Y33" s="898">
        <f t="shared" si="8"/>
        <v>0</v>
      </c>
      <c r="Z33" s="923"/>
      <c r="AA33" s="478">
        <f t="shared" si="5"/>
        <v>0</v>
      </c>
      <c r="AB33" s="438"/>
      <c r="AC33" s="482"/>
      <c r="AD33" s="464"/>
      <c r="AE33" s="438"/>
      <c r="AF33" s="438"/>
    </row>
    <row r="34" spans="1:32" s="433" customFormat="1" ht="15.75">
      <c r="A34" s="434">
        <v>113</v>
      </c>
      <c r="B34" s="434"/>
      <c r="C34" s="434">
        <v>20</v>
      </c>
      <c r="D34" s="581"/>
      <c r="E34" s="889" t="s">
        <v>0</v>
      </c>
      <c r="F34" s="435" t="s">
        <v>42</v>
      </c>
      <c r="G34" s="926"/>
      <c r="H34" s="464"/>
      <c r="I34" s="429"/>
      <c r="J34" s="429"/>
      <c r="K34" s="429"/>
      <c r="L34" s="464"/>
      <c r="M34" s="464"/>
      <c r="N34" s="900">
        <f t="shared" si="6"/>
        <v>0</v>
      </c>
      <c r="O34" s="901">
        <f t="shared" si="1"/>
        <v>0</v>
      </c>
      <c r="P34" s="460"/>
      <c r="Q34" s="438">
        <f>IFERROR(LOOKUP(1,0/((成型機資料庫!$F$332:$F$361=J34)*(成型機資料庫!$G$332:$G$361=K34)),成型機資料庫!$K$332:$K$361),0)</f>
        <v>0</v>
      </c>
      <c r="R34" s="899">
        <f t="shared" si="2"/>
        <v>0</v>
      </c>
      <c r="S34" s="898">
        <f t="shared" si="3"/>
        <v>0</v>
      </c>
      <c r="T34" s="923">
        <f>IFERROR(LOOKUP(1,0/((成型機資料庫!$F$332:$F$361=J34)*(成型機資料庫!$G$332:$G$361=K34)),成型機資料庫!$I$332:$I$361),0)</f>
        <v>0</v>
      </c>
      <c r="U34" s="944">
        <f>IFERROR(LOOKUP(1,0/((成型機資料庫!$F$332:$F$361=J34)*(成型機資料庫!$G$332:$G$361=K34)),成型機資料庫!$J$332:$J$361),0)</f>
        <v>0</v>
      </c>
      <c r="V34" s="900">
        <f>IFERROR(LOOKUP(1,0/((成型機資料庫!$F$332:$F$361=J34)*(成型機資料庫!$G$332:$G$361=K34)),成型機資料庫!$L$332:$L$361),0)</f>
        <v>0</v>
      </c>
      <c r="W34" s="898">
        <f t="shared" si="4"/>
        <v>0</v>
      </c>
      <c r="X34" s="923">
        <f t="shared" si="7"/>
        <v>0</v>
      </c>
      <c r="Y34" s="898">
        <f t="shared" si="8"/>
        <v>0</v>
      </c>
      <c r="Z34" s="923"/>
      <c r="AA34" s="478">
        <f t="shared" si="5"/>
        <v>0</v>
      </c>
      <c r="AB34" s="438"/>
      <c r="AC34" s="482"/>
      <c r="AD34" s="464"/>
      <c r="AE34" s="438"/>
      <c r="AF34" s="438"/>
    </row>
    <row r="35" spans="1:32" s="433" customFormat="1" ht="15.75">
      <c r="A35" s="434">
        <v>113</v>
      </c>
      <c r="B35" s="434"/>
      <c r="C35" s="434">
        <v>21</v>
      </c>
      <c r="D35" s="581"/>
      <c r="E35" s="889" t="s">
        <v>0</v>
      </c>
      <c r="F35" s="435" t="s">
        <v>42</v>
      </c>
      <c r="G35" s="926"/>
      <c r="H35" s="464"/>
      <c r="I35" s="429"/>
      <c r="J35" s="429"/>
      <c r="K35" s="429"/>
      <c r="L35" s="464"/>
      <c r="M35" s="464"/>
      <c r="N35" s="900">
        <f t="shared" si="6"/>
        <v>0</v>
      </c>
      <c r="O35" s="901">
        <f t="shared" si="1"/>
        <v>0</v>
      </c>
      <c r="P35" s="460"/>
      <c r="Q35" s="438">
        <f>IFERROR(LOOKUP(1,0/((成型機資料庫!$F$332:$F$361=J35)*(成型機資料庫!$G$332:$G$361=K35)),成型機資料庫!$K$332:$K$361),0)</f>
        <v>0</v>
      </c>
      <c r="R35" s="899">
        <f t="shared" si="2"/>
        <v>0</v>
      </c>
      <c r="S35" s="898">
        <f t="shared" si="3"/>
        <v>0</v>
      </c>
      <c r="T35" s="923">
        <f>IFERROR(LOOKUP(1,0/((成型機資料庫!$F$332:$F$361=J35)*(成型機資料庫!$G$332:$G$361=K35)),成型機資料庫!$I$332:$I$361),0)</f>
        <v>0</v>
      </c>
      <c r="U35" s="944">
        <f>IFERROR(LOOKUP(1,0/((成型機資料庫!$F$332:$F$361=J35)*(成型機資料庫!$G$332:$G$361=K35)),成型機資料庫!$J$332:$J$361),0)</f>
        <v>0</v>
      </c>
      <c r="V35" s="900">
        <f>IFERROR(LOOKUP(1,0/((成型機資料庫!$F$332:$F$361=J35)*(成型機資料庫!$G$332:$G$361=K35)),成型機資料庫!$L$332:$L$361),0)</f>
        <v>0</v>
      </c>
      <c r="W35" s="898">
        <f t="shared" si="4"/>
        <v>0</v>
      </c>
      <c r="X35" s="923">
        <f t="shared" si="7"/>
        <v>0</v>
      </c>
      <c r="Y35" s="898">
        <f t="shared" si="8"/>
        <v>0</v>
      </c>
      <c r="Z35" s="923"/>
      <c r="AA35" s="478">
        <f t="shared" si="5"/>
        <v>0</v>
      </c>
      <c r="AB35" s="438"/>
      <c r="AC35" s="482"/>
      <c r="AD35" s="464"/>
      <c r="AE35" s="438"/>
      <c r="AF35" s="438"/>
    </row>
    <row r="36" spans="1:32" s="433" customFormat="1" ht="15.75">
      <c r="A36" s="434">
        <v>113</v>
      </c>
      <c r="B36" s="434"/>
      <c r="C36" s="434">
        <v>22</v>
      </c>
      <c r="D36" s="581"/>
      <c r="E36" s="889" t="s">
        <v>0</v>
      </c>
      <c r="F36" s="435" t="s">
        <v>42</v>
      </c>
      <c r="G36" s="927"/>
      <c r="H36" s="464"/>
      <c r="I36" s="429"/>
      <c r="J36" s="429"/>
      <c r="K36" s="429"/>
      <c r="L36" s="464"/>
      <c r="M36" s="464"/>
      <c r="N36" s="900">
        <f t="shared" si="6"/>
        <v>0</v>
      </c>
      <c r="O36" s="901">
        <f t="shared" si="1"/>
        <v>0</v>
      </c>
      <c r="P36" s="460"/>
      <c r="Q36" s="438">
        <f>IFERROR(LOOKUP(1,0/((成型機資料庫!$F$332:$F$361=J36)*(成型機資料庫!$G$332:$G$361=K36)),成型機資料庫!$K$332:$K$361),0)</f>
        <v>0</v>
      </c>
      <c r="R36" s="899">
        <f t="shared" si="2"/>
        <v>0</v>
      </c>
      <c r="S36" s="898">
        <f t="shared" si="3"/>
        <v>0</v>
      </c>
      <c r="T36" s="923">
        <f>IFERROR(LOOKUP(1,0/((成型機資料庫!$F$332:$F$361=J36)*(成型機資料庫!$G$332:$G$361=K36)),成型機資料庫!$I$332:$I$361),0)</f>
        <v>0</v>
      </c>
      <c r="U36" s="944">
        <f>IFERROR(LOOKUP(1,0/((成型機資料庫!$F$332:$F$361=J36)*(成型機資料庫!$G$332:$G$361=K36)),成型機資料庫!$J$332:$J$361),0)</f>
        <v>0</v>
      </c>
      <c r="V36" s="900">
        <f>IFERROR(LOOKUP(1,0/((成型機資料庫!$F$332:$F$361=J36)*(成型機資料庫!$G$332:$G$361=K36)),成型機資料庫!$L$332:$L$361),0)</f>
        <v>0</v>
      </c>
      <c r="W36" s="898">
        <f t="shared" si="4"/>
        <v>0</v>
      </c>
      <c r="X36" s="923">
        <f t="shared" si="7"/>
        <v>0</v>
      </c>
      <c r="Y36" s="898">
        <f t="shared" si="8"/>
        <v>0</v>
      </c>
      <c r="Z36" s="923"/>
      <c r="AA36" s="478">
        <f t="shared" si="5"/>
        <v>0</v>
      </c>
      <c r="AB36" s="438"/>
      <c r="AC36" s="482"/>
      <c r="AD36" s="464"/>
      <c r="AE36" s="438"/>
      <c r="AF36" s="438"/>
    </row>
    <row r="37" spans="1:32" s="433" customFormat="1" ht="15.75">
      <c r="A37" s="434">
        <v>113</v>
      </c>
      <c r="B37" s="434"/>
      <c r="C37" s="434">
        <v>23</v>
      </c>
      <c r="D37" s="581"/>
      <c r="E37" s="889" t="s">
        <v>0</v>
      </c>
      <c r="F37" s="435" t="s">
        <v>42</v>
      </c>
      <c r="G37" s="926"/>
      <c r="H37" s="464"/>
      <c r="I37" s="429"/>
      <c r="J37" s="429"/>
      <c r="K37" s="429"/>
      <c r="L37" s="464"/>
      <c r="M37" s="464"/>
      <c r="N37" s="900">
        <f t="shared" si="6"/>
        <v>0</v>
      </c>
      <c r="O37" s="901">
        <f t="shared" si="1"/>
        <v>0</v>
      </c>
      <c r="P37" s="460"/>
      <c r="Q37" s="438">
        <f>IFERROR(LOOKUP(1,0/((成型機資料庫!$F$332:$F$361=J37)*(成型機資料庫!$G$332:$G$361=K37)),成型機資料庫!$K$332:$K$361),0)</f>
        <v>0</v>
      </c>
      <c r="R37" s="899">
        <f t="shared" si="2"/>
        <v>0</v>
      </c>
      <c r="S37" s="898">
        <f t="shared" si="3"/>
        <v>0</v>
      </c>
      <c r="T37" s="923">
        <f>IFERROR(LOOKUP(1,0/((成型機資料庫!$F$332:$F$361=J37)*(成型機資料庫!$G$332:$G$361=K37)),成型機資料庫!$I$332:$I$361),0)</f>
        <v>0</v>
      </c>
      <c r="U37" s="944">
        <f>IFERROR(LOOKUP(1,0/((成型機資料庫!$F$332:$F$361=J37)*(成型機資料庫!$G$332:$G$361=K37)),成型機資料庫!$J$332:$J$361),0)</f>
        <v>0</v>
      </c>
      <c r="V37" s="900">
        <f>IFERROR(LOOKUP(1,0/((成型機資料庫!$F$332:$F$361=J37)*(成型機資料庫!$G$332:$G$361=K37)),成型機資料庫!$L$332:$L$361),0)</f>
        <v>0</v>
      </c>
      <c r="W37" s="898">
        <f t="shared" si="4"/>
        <v>0</v>
      </c>
      <c r="X37" s="923">
        <f t="shared" si="7"/>
        <v>0</v>
      </c>
      <c r="Y37" s="898">
        <f t="shared" si="8"/>
        <v>0</v>
      </c>
      <c r="Z37" s="923"/>
      <c r="AA37" s="478">
        <f t="shared" si="5"/>
        <v>0</v>
      </c>
      <c r="AB37" s="438"/>
      <c r="AC37" s="482"/>
      <c r="AD37" s="464"/>
      <c r="AE37" s="464"/>
      <c r="AF37" s="438"/>
    </row>
    <row r="38" spans="1:32" s="433" customFormat="1" ht="15.75">
      <c r="A38" s="434">
        <v>113</v>
      </c>
      <c r="B38" s="434"/>
      <c r="C38" s="434">
        <v>24</v>
      </c>
      <c r="D38" s="581"/>
      <c r="E38" s="889" t="s">
        <v>0</v>
      </c>
      <c r="F38" s="435" t="s">
        <v>42</v>
      </c>
      <c r="G38" s="926"/>
      <c r="H38" s="464"/>
      <c r="I38" s="429"/>
      <c r="J38" s="429"/>
      <c r="K38" s="429"/>
      <c r="L38" s="464"/>
      <c r="M38" s="464"/>
      <c r="N38" s="900">
        <f t="shared" si="6"/>
        <v>0</v>
      </c>
      <c r="O38" s="901">
        <f t="shared" si="1"/>
        <v>0</v>
      </c>
      <c r="P38" s="460"/>
      <c r="Q38" s="438">
        <f>IFERROR(LOOKUP(1,0/((成型機資料庫!$F$332:$F$361=J38)*(成型機資料庫!$G$332:$G$361=K38)),成型機資料庫!$K$332:$K$361),0)</f>
        <v>0</v>
      </c>
      <c r="R38" s="899">
        <f t="shared" si="2"/>
        <v>0</v>
      </c>
      <c r="S38" s="898">
        <f t="shared" si="3"/>
        <v>0</v>
      </c>
      <c r="T38" s="923">
        <f>IFERROR(LOOKUP(1,0/((成型機資料庫!$F$332:$F$361=J38)*(成型機資料庫!$G$332:$G$361=K38)),成型機資料庫!$I$332:$I$361),0)</f>
        <v>0</v>
      </c>
      <c r="U38" s="944">
        <f>IFERROR(LOOKUP(1,0/((成型機資料庫!$F$332:$F$361=J38)*(成型機資料庫!$G$332:$G$361=K38)),成型機資料庫!$J$332:$J$361),0)</f>
        <v>0</v>
      </c>
      <c r="V38" s="900">
        <f>IFERROR(LOOKUP(1,0/((成型機資料庫!$F$332:$F$361=J38)*(成型機資料庫!$G$332:$G$361=K38)),成型機資料庫!$L$332:$L$361),0)</f>
        <v>0</v>
      </c>
      <c r="W38" s="898">
        <f t="shared" si="4"/>
        <v>0</v>
      </c>
      <c r="X38" s="923">
        <f t="shared" si="7"/>
        <v>0</v>
      </c>
      <c r="Y38" s="898">
        <f t="shared" si="8"/>
        <v>0</v>
      </c>
      <c r="Z38" s="923"/>
      <c r="AA38" s="478">
        <f t="shared" si="5"/>
        <v>0</v>
      </c>
      <c r="AB38" s="438"/>
      <c r="AC38" s="482"/>
      <c r="AD38" s="464"/>
      <c r="AE38" s="438"/>
      <c r="AF38" s="438"/>
    </row>
    <row r="39" spans="1:32" s="433" customFormat="1" ht="15.75">
      <c r="A39" s="434">
        <v>113</v>
      </c>
      <c r="B39" s="434"/>
      <c r="C39" s="434">
        <v>25</v>
      </c>
      <c r="D39" s="581"/>
      <c r="E39" s="889" t="s">
        <v>0</v>
      </c>
      <c r="F39" s="435" t="s">
        <v>42</v>
      </c>
      <c r="G39" s="926"/>
      <c r="H39" s="464"/>
      <c r="I39" s="429"/>
      <c r="J39" s="429"/>
      <c r="K39" s="429"/>
      <c r="L39" s="464"/>
      <c r="M39" s="464"/>
      <c r="N39" s="900">
        <f t="shared" si="6"/>
        <v>0</v>
      </c>
      <c r="O39" s="901">
        <f t="shared" si="1"/>
        <v>0</v>
      </c>
      <c r="P39" s="460"/>
      <c r="Q39" s="438">
        <f>IFERROR(LOOKUP(1,0/((成型機資料庫!$F$332:$F$361=J39)*(成型機資料庫!$G$332:$G$361=K39)),成型機資料庫!$K$332:$K$361),0)</f>
        <v>0</v>
      </c>
      <c r="R39" s="899">
        <f t="shared" si="2"/>
        <v>0</v>
      </c>
      <c r="S39" s="898">
        <f t="shared" si="3"/>
        <v>0</v>
      </c>
      <c r="T39" s="923">
        <f>IFERROR(LOOKUP(1,0/((成型機資料庫!$F$332:$F$361=J39)*(成型機資料庫!$G$332:$G$361=K39)),成型機資料庫!$I$332:$I$361),0)</f>
        <v>0</v>
      </c>
      <c r="U39" s="944">
        <f>IFERROR(LOOKUP(1,0/((成型機資料庫!$F$332:$F$361=J39)*(成型機資料庫!$G$332:$G$361=K39)),成型機資料庫!$J$332:$J$361),0)</f>
        <v>0</v>
      </c>
      <c r="V39" s="900">
        <f>IFERROR(LOOKUP(1,0/((成型機資料庫!$F$332:$F$361=J39)*(成型機資料庫!$G$332:$G$361=K39)),成型機資料庫!$L$332:$L$361),0)</f>
        <v>0</v>
      </c>
      <c r="W39" s="898">
        <f t="shared" si="4"/>
        <v>0</v>
      </c>
      <c r="X39" s="923">
        <f t="shared" si="7"/>
        <v>0</v>
      </c>
      <c r="Y39" s="898">
        <f t="shared" si="8"/>
        <v>0</v>
      </c>
      <c r="Z39" s="923"/>
      <c r="AA39" s="478">
        <f t="shared" si="5"/>
        <v>0</v>
      </c>
      <c r="AB39" s="438"/>
      <c r="AC39" s="482"/>
      <c r="AD39" s="464"/>
      <c r="AE39" s="464"/>
      <c r="AF39" s="438"/>
    </row>
    <row r="40" spans="1:32" s="433" customFormat="1" ht="15.75">
      <c r="A40" s="434">
        <v>113</v>
      </c>
      <c r="B40" s="434"/>
      <c r="C40" s="434">
        <v>26</v>
      </c>
      <c r="D40" s="581"/>
      <c r="E40" s="889" t="s">
        <v>0</v>
      </c>
      <c r="F40" s="435" t="s">
        <v>42</v>
      </c>
      <c r="G40" s="926"/>
      <c r="H40" s="464"/>
      <c r="I40" s="429"/>
      <c r="J40" s="429"/>
      <c r="K40" s="429"/>
      <c r="L40" s="464"/>
      <c r="M40" s="464"/>
      <c r="N40" s="900">
        <f t="shared" si="6"/>
        <v>0</v>
      </c>
      <c r="O40" s="901">
        <f t="shared" si="1"/>
        <v>0</v>
      </c>
      <c r="P40" s="460"/>
      <c r="Q40" s="438">
        <f>IFERROR(LOOKUP(1,0/((成型機資料庫!$F$332:$F$361=J40)*(成型機資料庫!$G$332:$G$361=K40)),成型機資料庫!$K$332:$K$361),0)</f>
        <v>0</v>
      </c>
      <c r="R40" s="899">
        <f t="shared" si="2"/>
        <v>0</v>
      </c>
      <c r="S40" s="898">
        <f t="shared" si="3"/>
        <v>0</v>
      </c>
      <c r="T40" s="923">
        <f>IFERROR(LOOKUP(1,0/((成型機資料庫!$F$332:$F$361=J40)*(成型機資料庫!$G$332:$G$361=K40)),成型機資料庫!$I$332:$I$361),0)</f>
        <v>0</v>
      </c>
      <c r="U40" s="944">
        <f>IFERROR(LOOKUP(1,0/((成型機資料庫!$F$332:$F$361=J40)*(成型機資料庫!$G$332:$G$361=K40)),成型機資料庫!$J$332:$J$361),0)</f>
        <v>0</v>
      </c>
      <c r="V40" s="900">
        <f>IFERROR(LOOKUP(1,0/((成型機資料庫!$F$332:$F$361=J40)*(成型機資料庫!$G$332:$G$361=K40)),成型機資料庫!$L$332:$L$361),0)</f>
        <v>0</v>
      </c>
      <c r="W40" s="898">
        <f t="shared" si="4"/>
        <v>0</v>
      </c>
      <c r="X40" s="923">
        <f t="shared" si="7"/>
        <v>0</v>
      </c>
      <c r="Y40" s="898">
        <f t="shared" si="8"/>
        <v>0</v>
      </c>
      <c r="Z40" s="923"/>
      <c r="AA40" s="478">
        <f t="shared" si="5"/>
        <v>0</v>
      </c>
      <c r="AB40" s="438"/>
      <c r="AC40" s="482"/>
      <c r="AD40" s="438"/>
      <c r="AE40" s="464"/>
      <c r="AF40" s="438"/>
    </row>
    <row r="41" spans="1:32" s="433" customFormat="1" ht="15.75">
      <c r="A41" s="434">
        <v>113</v>
      </c>
      <c r="B41" s="434"/>
      <c r="C41" s="434">
        <v>27</v>
      </c>
      <c r="D41" s="581"/>
      <c r="E41" s="889" t="s">
        <v>0</v>
      </c>
      <c r="F41" s="435" t="s">
        <v>42</v>
      </c>
      <c r="G41" s="926"/>
      <c r="H41" s="464"/>
      <c r="I41" s="429"/>
      <c r="J41" s="429"/>
      <c r="K41" s="429"/>
      <c r="L41" s="464"/>
      <c r="M41" s="464"/>
      <c r="N41" s="900">
        <f t="shared" si="6"/>
        <v>0</v>
      </c>
      <c r="O41" s="901">
        <f t="shared" si="1"/>
        <v>0</v>
      </c>
      <c r="P41" s="460"/>
      <c r="Q41" s="438">
        <f>IFERROR(LOOKUP(1,0/((成型機資料庫!$F$332:$F$361=J41)*(成型機資料庫!$G$332:$G$361=K41)),成型機資料庫!$K$332:$K$361),0)</f>
        <v>0</v>
      </c>
      <c r="R41" s="899">
        <f t="shared" si="2"/>
        <v>0</v>
      </c>
      <c r="S41" s="898">
        <f t="shared" si="3"/>
        <v>0</v>
      </c>
      <c r="T41" s="923">
        <f>IFERROR(LOOKUP(1,0/((成型機資料庫!$F$332:$F$361=J41)*(成型機資料庫!$G$332:$G$361=K41)),成型機資料庫!$I$332:$I$361),0)</f>
        <v>0</v>
      </c>
      <c r="U41" s="944">
        <f>IFERROR(LOOKUP(1,0/((成型機資料庫!$F$332:$F$361=J41)*(成型機資料庫!$G$332:$G$361=K41)),成型機資料庫!$J$332:$J$361),0)</f>
        <v>0</v>
      </c>
      <c r="V41" s="900">
        <f>IFERROR(LOOKUP(1,0/((成型機資料庫!$F$332:$F$361=J41)*(成型機資料庫!$G$332:$G$361=K41)),成型機資料庫!$L$332:$L$361),0)</f>
        <v>0</v>
      </c>
      <c r="W41" s="898">
        <f t="shared" si="4"/>
        <v>0</v>
      </c>
      <c r="X41" s="923">
        <f t="shared" si="7"/>
        <v>0</v>
      </c>
      <c r="Y41" s="898">
        <f t="shared" si="8"/>
        <v>0</v>
      </c>
      <c r="Z41" s="923"/>
      <c r="AA41" s="478">
        <f t="shared" si="5"/>
        <v>0</v>
      </c>
      <c r="AB41" s="438"/>
      <c r="AC41" s="482"/>
      <c r="AD41" s="464"/>
      <c r="AE41" s="438"/>
      <c r="AF41" s="438"/>
    </row>
    <row r="42" spans="1:32" s="433" customFormat="1" ht="15.75">
      <c r="A42" s="434">
        <v>113</v>
      </c>
      <c r="B42" s="581"/>
      <c r="C42" s="581">
        <v>28</v>
      </c>
      <c r="D42" s="581"/>
      <c r="E42" s="889" t="s">
        <v>0</v>
      </c>
      <c r="F42" s="435" t="s">
        <v>42</v>
      </c>
      <c r="G42" s="926"/>
      <c r="H42" s="464"/>
      <c r="I42" s="429"/>
      <c r="J42" s="429"/>
      <c r="K42" s="429"/>
      <c r="L42" s="464"/>
      <c r="M42" s="464"/>
      <c r="N42" s="900">
        <f t="shared" si="6"/>
        <v>0</v>
      </c>
      <c r="O42" s="901">
        <f t="shared" si="1"/>
        <v>0</v>
      </c>
      <c r="P42" s="460"/>
      <c r="Q42" s="438">
        <f>IFERROR(LOOKUP(1,0/((成型機資料庫!$F$332:$F$361=J42)*(成型機資料庫!$G$332:$G$361=K42)),成型機資料庫!$K$332:$K$361),0)</f>
        <v>0</v>
      </c>
      <c r="R42" s="899">
        <f t="shared" si="2"/>
        <v>0</v>
      </c>
      <c r="S42" s="898">
        <f t="shared" si="3"/>
        <v>0</v>
      </c>
      <c r="T42" s="923">
        <f>IFERROR(LOOKUP(1,0/((成型機資料庫!$F$332:$F$361=J42)*(成型機資料庫!$G$332:$G$361=K42)),成型機資料庫!$I$332:$I$361),0)</f>
        <v>0</v>
      </c>
      <c r="U42" s="944">
        <f>IFERROR(LOOKUP(1,0/((成型機資料庫!$F$332:$F$361=J42)*(成型機資料庫!$G$332:$G$361=K42)),成型機資料庫!$J$332:$J$361),0)</f>
        <v>0</v>
      </c>
      <c r="V42" s="900">
        <f>IFERROR(LOOKUP(1,0/((成型機資料庫!$F$332:$F$361=J42)*(成型機資料庫!$G$332:$G$361=K42)),成型機資料庫!$L$332:$L$361),0)</f>
        <v>0</v>
      </c>
      <c r="W42" s="898">
        <f t="shared" si="4"/>
        <v>0</v>
      </c>
      <c r="X42" s="923">
        <f t="shared" si="7"/>
        <v>0</v>
      </c>
      <c r="Y42" s="898">
        <f t="shared" si="8"/>
        <v>0</v>
      </c>
      <c r="Z42" s="923"/>
      <c r="AA42" s="478">
        <f t="shared" si="5"/>
        <v>0</v>
      </c>
      <c r="AB42" s="438"/>
      <c r="AC42" s="482"/>
      <c r="AD42" s="464"/>
      <c r="AE42" s="438"/>
      <c r="AF42" s="438"/>
    </row>
    <row r="43" spans="1:32" s="433" customFormat="1" ht="15.75">
      <c r="A43" s="434">
        <v>113</v>
      </c>
      <c r="B43" s="581"/>
      <c r="C43" s="581">
        <v>29</v>
      </c>
      <c r="D43" s="581"/>
      <c r="E43" s="889" t="s">
        <v>0</v>
      </c>
      <c r="F43" s="435" t="s">
        <v>42</v>
      </c>
      <c r="G43" s="926"/>
      <c r="H43" s="464"/>
      <c r="I43" s="429"/>
      <c r="J43" s="429"/>
      <c r="K43" s="429"/>
      <c r="L43" s="464"/>
      <c r="M43" s="464"/>
      <c r="N43" s="900">
        <f t="shared" si="6"/>
        <v>0</v>
      </c>
      <c r="O43" s="901">
        <f t="shared" si="1"/>
        <v>0</v>
      </c>
      <c r="P43" s="460"/>
      <c r="Q43" s="438">
        <f>IFERROR(LOOKUP(1,0/((成型機資料庫!$F$332:$F$361=J43)*(成型機資料庫!$G$332:$G$361=K43)),成型機資料庫!$K$332:$K$361),0)</f>
        <v>0</v>
      </c>
      <c r="R43" s="899">
        <f t="shared" si="2"/>
        <v>0</v>
      </c>
      <c r="S43" s="898">
        <f t="shared" si="3"/>
        <v>0</v>
      </c>
      <c r="T43" s="923">
        <f>IFERROR(LOOKUP(1,0/((成型機資料庫!$F$332:$F$361=J43)*(成型機資料庫!$G$332:$G$361=K43)),成型機資料庫!$I$332:$I$361),0)</f>
        <v>0</v>
      </c>
      <c r="U43" s="944">
        <f>IFERROR(LOOKUP(1,0/((成型機資料庫!$F$332:$F$361=J43)*(成型機資料庫!$G$332:$G$361=K43)),成型機資料庫!$J$332:$J$361),0)</f>
        <v>0</v>
      </c>
      <c r="V43" s="900">
        <f>IFERROR(LOOKUP(1,0/((成型機資料庫!$F$332:$F$361=J43)*(成型機資料庫!$G$332:$G$361=K43)),成型機資料庫!$L$332:$L$361),0)</f>
        <v>0</v>
      </c>
      <c r="W43" s="898">
        <f t="shared" si="4"/>
        <v>0</v>
      </c>
      <c r="X43" s="923">
        <f t="shared" si="7"/>
        <v>0</v>
      </c>
      <c r="Y43" s="898">
        <f t="shared" si="8"/>
        <v>0</v>
      </c>
      <c r="Z43" s="923"/>
      <c r="AA43" s="478">
        <f t="shared" si="5"/>
        <v>0</v>
      </c>
      <c r="AB43" s="438"/>
      <c r="AC43" s="482"/>
      <c r="AD43" s="464"/>
      <c r="AE43" s="464"/>
      <c r="AF43" s="438"/>
    </row>
    <row r="44" spans="1:32" s="433" customFormat="1" ht="15.75">
      <c r="A44" s="434">
        <v>113</v>
      </c>
      <c r="B44" s="581"/>
      <c r="C44" s="581">
        <v>30</v>
      </c>
      <c r="D44" s="581"/>
      <c r="E44" s="889" t="s">
        <v>0</v>
      </c>
      <c r="F44" s="435" t="s">
        <v>42</v>
      </c>
      <c r="G44" s="926"/>
      <c r="H44" s="464"/>
      <c r="I44" s="429"/>
      <c r="J44" s="429"/>
      <c r="K44" s="429"/>
      <c r="L44" s="464"/>
      <c r="M44" s="464"/>
      <c r="N44" s="900">
        <f t="shared" si="6"/>
        <v>0</v>
      </c>
      <c r="O44" s="901">
        <f t="shared" si="1"/>
        <v>0</v>
      </c>
      <c r="P44" s="460"/>
      <c r="Q44" s="438">
        <f>IFERROR(LOOKUP(1,0/((成型機資料庫!$F$332:$F$361=J44)*(成型機資料庫!$G$332:$G$361=K44)),成型機資料庫!$K$332:$K$361),0)</f>
        <v>0</v>
      </c>
      <c r="R44" s="899">
        <f t="shared" si="2"/>
        <v>0</v>
      </c>
      <c r="S44" s="898">
        <f t="shared" si="3"/>
        <v>0</v>
      </c>
      <c r="T44" s="923">
        <f>IFERROR(LOOKUP(1,0/((成型機資料庫!$F$332:$F$361=J44)*(成型機資料庫!$G$332:$G$361=K44)),成型機資料庫!$I$332:$I$361),0)</f>
        <v>0</v>
      </c>
      <c r="U44" s="944">
        <f>IFERROR(LOOKUP(1,0/((成型機資料庫!$F$332:$F$361=J44)*(成型機資料庫!$G$332:$G$361=K44)),成型機資料庫!$J$332:$J$361),0)</f>
        <v>0</v>
      </c>
      <c r="V44" s="900">
        <f>IFERROR(LOOKUP(1,0/((成型機資料庫!$F$332:$F$361=J44)*(成型機資料庫!$G$332:$G$361=K44)),成型機資料庫!$L$332:$L$361),0)</f>
        <v>0</v>
      </c>
      <c r="W44" s="898">
        <f t="shared" si="4"/>
        <v>0</v>
      </c>
      <c r="X44" s="923">
        <f t="shared" si="7"/>
        <v>0</v>
      </c>
      <c r="Y44" s="898">
        <f t="shared" si="8"/>
        <v>0</v>
      </c>
      <c r="Z44" s="923"/>
      <c r="AA44" s="478">
        <f t="shared" si="5"/>
        <v>0</v>
      </c>
      <c r="AB44" s="438"/>
      <c r="AC44" s="482"/>
      <c r="AD44" s="464"/>
      <c r="AE44" s="438"/>
      <c r="AF44" s="438"/>
    </row>
    <row r="45" spans="1:32" s="433" customFormat="1" ht="15.75">
      <c r="A45" s="446"/>
      <c r="B45" s="456"/>
      <c r="C45" s="456"/>
      <c r="D45" s="456"/>
      <c r="E45" s="456"/>
      <c r="F45" s="448"/>
      <c r="G45" s="951"/>
      <c r="H45" s="452"/>
      <c r="I45" s="430"/>
      <c r="J45" s="430"/>
      <c r="K45" s="430"/>
      <c r="L45" s="452"/>
      <c r="M45" s="452"/>
      <c r="N45" s="945"/>
      <c r="O45" s="946"/>
      <c r="P45" s="868"/>
      <c r="Q45" s="467"/>
      <c r="R45" s="948"/>
      <c r="S45" s="936"/>
      <c r="T45" s="936"/>
      <c r="U45" s="936"/>
      <c r="V45" s="945"/>
      <c r="W45" s="936"/>
      <c r="X45" s="947"/>
      <c r="Y45" s="936"/>
      <c r="Z45" s="947"/>
      <c r="AA45" s="488"/>
      <c r="AB45" s="439"/>
      <c r="AC45" s="471"/>
      <c r="AD45" s="452"/>
      <c r="AE45" s="439"/>
      <c r="AF45" s="439"/>
    </row>
    <row r="46" spans="1:32" s="433" customFormat="1" ht="15.75">
      <c r="A46" s="446"/>
      <c r="B46" s="456"/>
      <c r="C46" s="456"/>
      <c r="D46" s="456"/>
      <c r="E46" s="456"/>
      <c r="F46" s="448"/>
      <c r="G46" s="951"/>
      <c r="H46" s="452"/>
      <c r="I46" s="430"/>
      <c r="J46" s="430"/>
      <c r="K46" s="430"/>
      <c r="L46" s="452"/>
      <c r="M46" s="452"/>
      <c r="N46" s="945"/>
      <c r="O46" s="946"/>
      <c r="P46" s="868"/>
      <c r="Q46" s="467"/>
      <c r="R46" s="948"/>
      <c r="S46" s="936"/>
      <c r="T46" s="936"/>
      <c r="U46" s="936"/>
      <c r="V46" s="945"/>
      <c r="W46" s="936"/>
      <c r="X46" s="947"/>
      <c r="Y46" s="936"/>
      <c r="Z46" s="947"/>
      <c r="AA46" s="488"/>
      <c r="AB46" s="439"/>
      <c r="AC46" s="471"/>
      <c r="AD46" s="452"/>
      <c r="AE46" s="439"/>
      <c r="AF46" s="439"/>
    </row>
    <row r="47" spans="1:32" s="433" customFormat="1" thickBot="1">
      <c r="A47" s="446"/>
      <c r="B47" s="446"/>
      <c r="C47" s="446"/>
      <c r="D47" s="446"/>
      <c r="E47" s="446"/>
      <c r="F47" s="448"/>
      <c r="G47" s="448"/>
      <c r="H47" s="430"/>
      <c r="I47" s="430"/>
      <c r="J47" s="430"/>
      <c r="K47" s="430"/>
      <c r="L47" s="439"/>
      <c r="M47" s="452"/>
      <c r="N47" s="452"/>
      <c r="O47" s="457"/>
      <c r="P47" s="466"/>
      <c r="Q47" s="467"/>
      <c r="R47" s="486"/>
      <c r="S47" s="457"/>
      <c r="T47" s="457"/>
      <c r="U47" s="457"/>
      <c r="V47" s="458"/>
      <c r="W47" s="487">
        <f>SUM(W15:W44)</f>
        <v>0</v>
      </c>
      <c r="X47" s="487"/>
      <c r="Y47" s="487"/>
      <c r="Z47" s="487"/>
      <c r="AA47" s="488"/>
      <c r="AB47" s="489"/>
      <c r="AC47" s="489"/>
      <c r="AD47" s="469" t="s">
        <v>46</v>
      </c>
      <c r="AE47" s="439"/>
      <c r="AF47" s="439"/>
    </row>
    <row r="48" spans="1:32" s="469" customFormat="1" ht="31.5">
      <c r="A48" s="479"/>
      <c r="B48" s="479"/>
      <c r="C48" s="479"/>
      <c r="D48" s="479"/>
      <c r="E48" s="479"/>
      <c r="F48" s="452"/>
      <c r="G48" s="524" t="s">
        <v>503</v>
      </c>
      <c r="H48" s="517"/>
      <c r="I48" s="518"/>
      <c r="L48" s="1842" t="s">
        <v>1348</v>
      </c>
      <c r="M48" s="525" t="s">
        <v>1294</v>
      </c>
      <c r="N48" s="525" t="s">
        <v>1295</v>
      </c>
      <c r="O48" s="526" t="s">
        <v>458</v>
      </c>
      <c r="P48" s="520"/>
      <c r="Q48" s="521"/>
      <c r="R48" s="524" t="s">
        <v>504</v>
      </c>
      <c r="S48" s="524" t="s">
        <v>455</v>
      </c>
      <c r="T48" s="521"/>
      <c r="U48" s="521"/>
      <c r="V48" s="524" t="s">
        <v>1293</v>
      </c>
      <c r="W48" s="524" t="s">
        <v>459</v>
      </c>
      <c r="X48" s="521"/>
      <c r="Y48" s="524" t="s">
        <v>1345</v>
      </c>
      <c r="Z48" s="524" t="s">
        <v>1350</v>
      </c>
      <c r="AA48" s="524" t="s">
        <v>1351</v>
      </c>
      <c r="AB48" s="524" t="s">
        <v>1353</v>
      </c>
      <c r="AC48" s="524" t="s">
        <v>1352</v>
      </c>
      <c r="AD48" s="469" t="s">
        <v>253</v>
      </c>
      <c r="AE48" s="452"/>
      <c r="AF48" s="452"/>
    </row>
    <row r="49" spans="1:56" thickBot="1">
      <c r="G49" s="522">
        <f>SUM(G15:G44)</f>
        <v>0</v>
      </c>
      <c r="I49" s="431"/>
      <c r="J49" s="518"/>
      <c r="K49" s="518"/>
      <c r="L49" s="1843"/>
      <c r="M49" s="522">
        <f>SUM(M15:M44)</f>
        <v>0</v>
      </c>
      <c r="N49" s="522">
        <f>SUM(N15:N44)</f>
        <v>0</v>
      </c>
      <c r="O49" s="902">
        <f>SUM(O15:O44)</f>
        <v>0</v>
      </c>
      <c r="P49" s="470"/>
      <c r="R49" s="924">
        <f>SUM(R15:R44)</f>
        <v>0</v>
      </c>
      <c r="S49" s="897" t="e">
        <f>(G49-R49)/G49</f>
        <v>#DIV/0!</v>
      </c>
      <c r="T49" s="446"/>
      <c r="U49" s="446"/>
      <c r="V49" s="686" t="e">
        <f>N49/W49</f>
        <v>#DIV/0!</v>
      </c>
      <c r="W49" s="516" t="e">
        <f>W47/Y49</f>
        <v>#DIV/0!</v>
      </c>
      <c r="X49" s="446"/>
      <c r="Y49" s="516"/>
      <c r="Z49" s="958">
        <f>SUM(Z15:Z44)</f>
        <v>0</v>
      </c>
      <c r="AA49" s="516">
        <f>SUM(AA15:AA44)</f>
        <v>0</v>
      </c>
      <c r="AB49" s="516">
        <f>Z49-AA49</f>
        <v>0</v>
      </c>
      <c r="AC49" s="896" t="e">
        <f>AA49/Z49</f>
        <v>#DIV/0!</v>
      </c>
    </row>
    <row r="50" spans="1:56">
      <c r="G50" s="453"/>
      <c r="M50" s="453"/>
      <c r="N50" s="453"/>
      <c r="O50"/>
      <c r="P50" s="470"/>
      <c r="R50"/>
      <c r="S50"/>
      <c r="T50"/>
      <c r="U50"/>
    </row>
    <row r="51" spans="1:56" ht="17.25" thickBot="1"/>
    <row r="52" spans="1:56" ht="15.75">
      <c r="A52" s="1824" t="s">
        <v>668</v>
      </c>
      <c r="B52" s="1824" t="s">
        <v>330</v>
      </c>
      <c r="C52" s="1826" t="s">
        <v>311</v>
      </c>
      <c r="D52" s="1828" t="s">
        <v>331</v>
      </c>
      <c r="E52" s="1828" t="s">
        <v>332</v>
      </c>
      <c r="F52" s="1830" t="s">
        <v>194</v>
      </c>
      <c r="G52" s="1830" t="s">
        <v>386</v>
      </c>
      <c r="H52" s="1832" t="s">
        <v>360</v>
      </c>
      <c r="I52" s="1832" t="s">
        <v>361</v>
      </c>
      <c r="J52" s="1832" t="s">
        <v>510</v>
      </c>
      <c r="K52" s="1832" t="s">
        <v>1320</v>
      </c>
      <c r="L52" s="1828" t="s">
        <v>362</v>
      </c>
      <c r="M52" s="1828" t="s">
        <v>514</v>
      </c>
      <c r="N52" s="1856" t="s">
        <v>511</v>
      </c>
      <c r="O52" s="1858" t="s">
        <v>457</v>
      </c>
      <c r="P52" s="1836" t="s">
        <v>379</v>
      </c>
      <c r="Q52" s="1828" t="s">
        <v>627</v>
      </c>
      <c r="R52" s="1852" t="s">
        <v>381</v>
      </c>
      <c r="S52" s="1854" t="s">
        <v>435</v>
      </c>
      <c r="T52" s="1834" t="s">
        <v>365</v>
      </c>
      <c r="U52" s="1836" t="s">
        <v>366</v>
      </c>
      <c r="V52" s="1844" t="s">
        <v>1286</v>
      </c>
      <c r="W52" s="1846" t="s">
        <v>201</v>
      </c>
      <c r="X52" s="1846" t="s">
        <v>1318</v>
      </c>
      <c r="Y52" s="1846" t="s">
        <v>1319</v>
      </c>
      <c r="Z52" s="1849" t="s">
        <v>1285</v>
      </c>
      <c r="AA52" s="1849" t="s">
        <v>339</v>
      </c>
      <c r="AB52" s="1860" t="s">
        <v>340</v>
      </c>
      <c r="AC52" s="1861"/>
      <c r="AD52" s="1862" t="s">
        <v>371</v>
      </c>
      <c r="AE52" s="1862" t="s">
        <v>383</v>
      </c>
      <c r="AF52" s="1840" t="s">
        <v>29</v>
      </c>
    </row>
    <row r="53" spans="1:56" s="447" customFormat="1" thickBot="1">
      <c r="A53" s="1825"/>
      <c r="B53" s="1825"/>
      <c r="C53" s="1827"/>
      <c r="D53" s="1829"/>
      <c r="E53" s="1829"/>
      <c r="F53" s="1831"/>
      <c r="G53" s="1831"/>
      <c r="H53" s="1833"/>
      <c r="I53" s="1833"/>
      <c r="J53" s="1833"/>
      <c r="K53" s="1838"/>
      <c r="L53" s="1829"/>
      <c r="M53" s="1839"/>
      <c r="N53" s="1857"/>
      <c r="O53" s="1859"/>
      <c r="P53" s="1837"/>
      <c r="Q53" s="1829"/>
      <c r="R53" s="1853"/>
      <c r="S53" s="1855"/>
      <c r="T53" s="1835"/>
      <c r="U53" s="1837"/>
      <c r="V53" s="1845"/>
      <c r="W53" s="1847"/>
      <c r="X53" s="1848"/>
      <c r="Y53" s="1848"/>
      <c r="Z53" s="1850"/>
      <c r="AA53" s="1851"/>
      <c r="AB53" s="491" t="s">
        <v>350</v>
      </c>
      <c r="AC53" s="491" t="s">
        <v>351</v>
      </c>
      <c r="AD53" s="1863"/>
      <c r="AE53" s="1863"/>
      <c r="AF53" s="1841"/>
      <c r="AG53" s="446"/>
      <c r="AH53" s="446"/>
      <c r="AU53" s="446"/>
      <c r="AV53" s="446"/>
      <c r="AW53" s="446"/>
      <c r="AX53" s="446"/>
      <c r="AY53" s="446"/>
      <c r="AZ53" s="446"/>
      <c r="BA53" s="446"/>
      <c r="BB53" s="446"/>
      <c r="BC53" s="446"/>
      <c r="BD53" s="446"/>
    </row>
    <row r="54" spans="1:56" s="433" customFormat="1" ht="15.75">
      <c r="A54" s="434">
        <v>113</v>
      </c>
      <c r="B54" s="434"/>
      <c r="C54" s="434">
        <v>1</v>
      </c>
      <c r="D54" s="581"/>
      <c r="E54" s="581" t="s">
        <v>43</v>
      </c>
      <c r="F54" s="435" t="s">
        <v>42</v>
      </c>
      <c r="G54" s="926"/>
      <c r="H54" s="464"/>
      <c r="I54" s="429"/>
      <c r="J54" s="429"/>
      <c r="K54" s="429"/>
      <c r="L54" s="464"/>
      <c r="M54" s="464"/>
      <c r="N54" s="900">
        <f>M54*Q54</f>
        <v>0</v>
      </c>
      <c r="O54" s="901">
        <f t="shared" ref="O54:O83" si="9">L54*M54</f>
        <v>0</v>
      </c>
      <c r="P54" s="460"/>
      <c r="Q54" s="438">
        <f>IFERROR(LOOKUP(1,0/((成型機資料庫!$F$332:$F$361=J54)*(成型機資料庫!$G$332:$G$361=K54)),成型機資料庫!$K$332:$K$361),0)</f>
        <v>0</v>
      </c>
      <c r="R54" s="899">
        <f t="shared" ref="R54:R83" si="10">M54*Q54*P54/1000</f>
        <v>0</v>
      </c>
      <c r="S54" s="898">
        <f t="shared" ref="S54:S83" si="11">IFERROR((G54-R54)/G54,0)</f>
        <v>0</v>
      </c>
      <c r="T54" s="923">
        <f>IFERROR(LOOKUP(1,0/((成型機資料庫!$F$332:$F$361=J54)*(成型機資料庫!$G$332:$G$361=K54)),成型機資料庫!$I$332:$I$361),0)</f>
        <v>0</v>
      </c>
      <c r="U54" s="944">
        <f>IFERROR(LOOKUP(1,0/((成型機資料庫!$F$332:$F$361=J54)*(成型機資料庫!$G$332:$G$361=K54)),成型機資料庫!$J$332:$J$361),0)</f>
        <v>0</v>
      </c>
      <c r="V54" s="900">
        <f>IFERROR(LOOKUP(1,0/((成型機資料庫!$F$332:$F$361=J54)*(成型機資料庫!$G$332:$G$361=K54)),成型機資料庫!$L$332:$L$361),0)</f>
        <v>0</v>
      </c>
      <c r="W54" s="898">
        <f t="shared" ref="W54:W83" si="12">IFERROR(M54/V54,0)</f>
        <v>0</v>
      </c>
      <c r="X54" s="923">
        <f>IFERROR(T54*U54*60*AA54/Q54,0)</f>
        <v>0</v>
      </c>
      <c r="Y54" s="898">
        <f>IFERROR(M54/X54,0)</f>
        <v>0</v>
      </c>
      <c r="Z54" s="923"/>
      <c r="AA54" s="478">
        <f t="shared" ref="AA54:AA83" si="13">AB54+AC54/60</f>
        <v>0</v>
      </c>
      <c r="AB54" s="438"/>
      <c r="AC54" s="482"/>
      <c r="AD54" s="464"/>
      <c r="AE54" s="438"/>
      <c r="AF54" s="438"/>
    </row>
    <row r="55" spans="1:56" s="433" customFormat="1" ht="15.75">
      <c r="A55" s="434">
        <v>113</v>
      </c>
      <c r="B55" s="581"/>
      <c r="C55" s="581">
        <v>2</v>
      </c>
      <c r="D55" s="581"/>
      <c r="E55" s="581" t="s">
        <v>43</v>
      </c>
      <c r="F55" s="435" t="s">
        <v>42</v>
      </c>
      <c r="G55" s="926"/>
      <c r="H55" s="464"/>
      <c r="I55" s="429"/>
      <c r="J55" s="429"/>
      <c r="K55" s="429"/>
      <c r="L55" s="464"/>
      <c r="M55" s="464"/>
      <c r="N55" s="900">
        <f t="shared" ref="N55:N83" si="14">M55*Q55</f>
        <v>0</v>
      </c>
      <c r="O55" s="901">
        <f t="shared" si="9"/>
        <v>0</v>
      </c>
      <c r="P55" s="460"/>
      <c r="Q55" s="438">
        <f>IFERROR(LOOKUP(1,0/((成型機資料庫!$F$332:$F$361=J55)*(成型機資料庫!$G$332:$G$361=K55)),成型機資料庫!$K$332:$K$361),0)</f>
        <v>0</v>
      </c>
      <c r="R55" s="899">
        <f t="shared" si="10"/>
        <v>0</v>
      </c>
      <c r="S55" s="898">
        <f t="shared" si="11"/>
        <v>0</v>
      </c>
      <c r="T55" s="923">
        <f>IFERROR(LOOKUP(1,0/((成型機資料庫!$F$332:$F$361=J55)*(成型機資料庫!$G$332:$G$361=K55)),成型機資料庫!$I$332:$I$361),0)</f>
        <v>0</v>
      </c>
      <c r="U55" s="944">
        <f>IFERROR(LOOKUP(1,0/((成型機資料庫!$F$332:$F$361=J55)*(成型機資料庫!$G$332:$G$361=K55)),成型機資料庫!$J$332:$J$361),0)</f>
        <v>0</v>
      </c>
      <c r="V55" s="900">
        <f>IFERROR(LOOKUP(1,0/((成型機資料庫!$F$332:$F$361=J55)*(成型機資料庫!$G$332:$G$361=K55)),成型機資料庫!$L$332:$L$361),0)</f>
        <v>0</v>
      </c>
      <c r="W55" s="898">
        <f t="shared" si="12"/>
        <v>0</v>
      </c>
      <c r="X55" s="923">
        <f t="shared" ref="X55:X83" si="15">IFERROR(T55*U55*60*AA55/Q55,0)</f>
        <v>0</v>
      </c>
      <c r="Y55" s="898">
        <f t="shared" ref="Y55:Y83" si="16">IFERROR(M55/X55,0)</f>
        <v>0</v>
      </c>
      <c r="Z55" s="923"/>
      <c r="AA55" s="478">
        <f t="shared" si="13"/>
        <v>0</v>
      </c>
      <c r="AB55" s="438"/>
      <c r="AC55" s="482"/>
      <c r="AD55" s="464"/>
      <c r="AE55" s="438"/>
      <c r="AF55" s="438"/>
    </row>
    <row r="56" spans="1:56" s="433" customFormat="1" ht="15.75">
      <c r="A56" s="434">
        <v>113</v>
      </c>
      <c r="B56" s="581"/>
      <c r="C56" s="581">
        <v>3</v>
      </c>
      <c r="D56" s="581"/>
      <c r="E56" s="581" t="s">
        <v>43</v>
      </c>
      <c r="F56" s="435" t="s">
        <v>42</v>
      </c>
      <c r="G56" s="926"/>
      <c r="H56" s="464"/>
      <c r="I56" s="429"/>
      <c r="J56" s="429"/>
      <c r="K56" s="429"/>
      <c r="L56" s="464"/>
      <c r="M56" s="464"/>
      <c r="N56" s="900">
        <f t="shared" si="14"/>
        <v>0</v>
      </c>
      <c r="O56" s="901">
        <f t="shared" si="9"/>
        <v>0</v>
      </c>
      <c r="P56" s="460"/>
      <c r="Q56" s="438">
        <f>IFERROR(LOOKUP(1,0/((成型機資料庫!$F$332:$F$361=J56)*(成型機資料庫!$G$332:$G$361=K56)),成型機資料庫!$K$332:$K$361),0)</f>
        <v>0</v>
      </c>
      <c r="R56" s="899">
        <f t="shared" si="10"/>
        <v>0</v>
      </c>
      <c r="S56" s="898">
        <f t="shared" si="11"/>
        <v>0</v>
      </c>
      <c r="T56" s="923">
        <f>IFERROR(LOOKUP(1,0/((成型機資料庫!$F$332:$F$361=J56)*(成型機資料庫!$G$332:$G$361=K56)),成型機資料庫!$I$332:$I$361),0)</f>
        <v>0</v>
      </c>
      <c r="U56" s="944">
        <f>IFERROR(LOOKUP(1,0/((成型機資料庫!$F$332:$F$361=J56)*(成型機資料庫!$G$332:$G$361=K56)),成型機資料庫!$J$332:$J$361),0)</f>
        <v>0</v>
      </c>
      <c r="V56" s="900">
        <f>IFERROR(LOOKUP(1,0/((成型機資料庫!$F$332:$F$361=J56)*(成型機資料庫!$G$332:$G$361=K56)),成型機資料庫!$L$332:$L$361),0)</f>
        <v>0</v>
      </c>
      <c r="W56" s="898">
        <f t="shared" si="12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3"/>
        <v>0</v>
      </c>
      <c r="AB56" s="438"/>
      <c r="AC56" s="482"/>
      <c r="AD56" s="438"/>
      <c r="AE56" s="438"/>
      <c r="AF56" s="438"/>
    </row>
    <row r="57" spans="1:56" s="433" customFormat="1" ht="15.75">
      <c r="A57" s="434">
        <v>113</v>
      </c>
      <c r="B57" s="581"/>
      <c r="C57" s="581">
        <v>4</v>
      </c>
      <c r="D57" s="581"/>
      <c r="E57" s="581" t="s">
        <v>43</v>
      </c>
      <c r="F57" s="435" t="s">
        <v>42</v>
      </c>
      <c r="G57" s="926"/>
      <c r="H57" s="464"/>
      <c r="I57" s="429"/>
      <c r="J57" s="429"/>
      <c r="K57" s="429"/>
      <c r="L57" s="464"/>
      <c r="M57" s="464"/>
      <c r="N57" s="900">
        <f t="shared" si="14"/>
        <v>0</v>
      </c>
      <c r="O57" s="901">
        <f t="shared" si="9"/>
        <v>0</v>
      </c>
      <c r="P57" s="460"/>
      <c r="Q57" s="438">
        <f>IFERROR(LOOKUP(1,0/((成型機資料庫!$F$332:$F$361=J57)*(成型機資料庫!$G$332:$G$361=K57)),成型機資料庫!$K$332:$K$361),0)</f>
        <v>0</v>
      </c>
      <c r="R57" s="899">
        <f t="shared" si="10"/>
        <v>0</v>
      </c>
      <c r="S57" s="898">
        <f t="shared" si="11"/>
        <v>0</v>
      </c>
      <c r="T57" s="923">
        <f>IFERROR(LOOKUP(1,0/((成型機資料庫!$F$332:$F$361=J57)*(成型機資料庫!$G$332:$G$361=K57)),成型機資料庫!$I$332:$I$361),0)</f>
        <v>0</v>
      </c>
      <c r="U57" s="944">
        <f>IFERROR(LOOKUP(1,0/((成型機資料庫!$F$332:$F$361=J57)*(成型機資料庫!$G$332:$G$361=K57)),成型機資料庫!$J$332:$J$361),0)</f>
        <v>0</v>
      </c>
      <c r="V57" s="900">
        <f>IFERROR(LOOKUP(1,0/((成型機資料庫!$F$332:$F$361=J57)*(成型機資料庫!$G$332:$G$361=K57)),成型機資料庫!$L$332:$L$361),0)</f>
        <v>0</v>
      </c>
      <c r="W57" s="898">
        <f t="shared" si="12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3"/>
        <v>0</v>
      </c>
      <c r="AB57" s="438"/>
      <c r="AC57" s="482"/>
      <c r="AD57" s="438"/>
      <c r="AE57" s="464"/>
      <c r="AF57" s="438"/>
    </row>
    <row r="58" spans="1:56" s="433" customFormat="1" ht="15.75">
      <c r="A58" s="434">
        <v>113</v>
      </c>
      <c r="B58" s="581"/>
      <c r="C58" s="581">
        <v>5</v>
      </c>
      <c r="D58" s="581"/>
      <c r="E58" s="581" t="s">
        <v>43</v>
      </c>
      <c r="F58" s="435" t="s">
        <v>42</v>
      </c>
      <c r="G58" s="926"/>
      <c r="H58" s="464"/>
      <c r="I58" s="429"/>
      <c r="J58" s="429"/>
      <c r="K58" s="429"/>
      <c r="L58" s="464"/>
      <c r="M58" s="464"/>
      <c r="N58" s="900">
        <f t="shared" si="14"/>
        <v>0</v>
      </c>
      <c r="O58" s="901">
        <f t="shared" si="9"/>
        <v>0</v>
      </c>
      <c r="P58" s="460"/>
      <c r="Q58" s="438">
        <f>IFERROR(LOOKUP(1,0/((成型機資料庫!$F$332:$F$361=J58)*(成型機資料庫!$G$332:$G$361=K58)),成型機資料庫!$K$332:$K$361),0)</f>
        <v>0</v>
      </c>
      <c r="R58" s="899">
        <f t="shared" si="10"/>
        <v>0</v>
      </c>
      <c r="S58" s="898">
        <f t="shared" si="11"/>
        <v>0</v>
      </c>
      <c r="T58" s="923">
        <f>IFERROR(LOOKUP(1,0/((成型機資料庫!$F$332:$F$361=J58)*(成型機資料庫!$G$332:$G$361=K58)),成型機資料庫!$I$332:$I$361),0)</f>
        <v>0</v>
      </c>
      <c r="U58" s="944">
        <f>IFERROR(LOOKUP(1,0/((成型機資料庫!$F$332:$F$361=J58)*(成型機資料庫!$G$332:$G$361=K58)),成型機資料庫!$J$332:$J$361),0)</f>
        <v>0</v>
      </c>
      <c r="V58" s="900">
        <f>IFERROR(LOOKUP(1,0/((成型機資料庫!$F$332:$F$361=J58)*(成型機資料庫!$G$332:$G$361=K58)),成型機資料庫!$L$332:$L$361),0)</f>
        <v>0</v>
      </c>
      <c r="W58" s="898">
        <f t="shared" si="12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3"/>
        <v>0</v>
      </c>
      <c r="AB58" s="438"/>
      <c r="AC58" s="482"/>
      <c r="AD58" s="438"/>
      <c r="AE58" s="438"/>
      <c r="AF58" s="438"/>
    </row>
    <row r="59" spans="1:56" s="433" customFormat="1" ht="15.75">
      <c r="A59" s="434">
        <v>113</v>
      </c>
      <c r="B59" s="581"/>
      <c r="C59" s="581">
        <v>6</v>
      </c>
      <c r="D59" s="581"/>
      <c r="E59" s="581" t="s">
        <v>43</v>
      </c>
      <c r="F59" s="435" t="s">
        <v>42</v>
      </c>
      <c r="G59" s="926"/>
      <c r="H59" s="464"/>
      <c r="I59" s="429"/>
      <c r="J59" s="429"/>
      <c r="K59" s="429"/>
      <c r="L59" s="464"/>
      <c r="M59" s="464"/>
      <c r="N59" s="900">
        <f t="shared" si="14"/>
        <v>0</v>
      </c>
      <c r="O59" s="901">
        <f t="shared" si="9"/>
        <v>0</v>
      </c>
      <c r="P59" s="460"/>
      <c r="Q59" s="438">
        <f>IFERROR(LOOKUP(1,0/((成型機資料庫!$F$332:$F$361=J59)*(成型機資料庫!$G$332:$G$361=K59)),成型機資料庫!$K$332:$K$361),0)</f>
        <v>0</v>
      </c>
      <c r="R59" s="899">
        <f t="shared" si="10"/>
        <v>0</v>
      </c>
      <c r="S59" s="898">
        <f t="shared" si="11"/>
        <v>0</v>
      </c>
      <c r="T59" s="923">
        <f>IFERROR(LOOKUP(1,0/((成型機資料庫!$F$332:$F$361=J59)*(成型機資料庫!$G$332:$G$361=K59)),成型機資料庫!$I$332:$I$361),0)</f>
        <v>0</v>
      </c>
      <c r="U59" s="944">
        <f>IFERROR(LOOKUP(1,0/((成型機資料庫!$F$332:$F$361=J59)*(成型機資料庫!$G$332:$G$361=K59)),成型機資料庫!$J$332:$J$361),0)</f>
        <v>0</v>
      </c>
      <c r="V59" s="900">
        <f>IFERROR(LOOKUP(1,0/((成型機資料庫!$F$332:$F$361=J59)*(成型機資料庫!$G$332:$G$361=K59)),成型機資料庫!$L$332:$L$361),0)</f>
        <v>0</v>
      </c>
      <c r="W59" s="898">
        <f t="shared" si="12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3"/>
        <v>0</v>
      </c>
      <c r="AB59" s="438"/>
      <c r="AC59" s="482"/>
      <c r="AD59" s="879"/>
      <c r="AE59" s="438"/>
      <c r="AF59" s="438"/>
    </row>
    <row r="60" spans="1:56" s="433" customFormat="1" ht="15.75">
      <c r="A60" s="434">
        <v>113</v>
      </c>
      <c r="B60" s="581"/>
      <c r="C60" s="581">
        <v>7</v>
      </c>
      <c r="D60" s="581"/>
      <c r="E60" s="581" t="s">
        <v>43</v>
      </c>
      <c r="F60" s="435" t="s">
        <v>42</v>
      </c>
      <c r="G60" s="927"/>
      <c r="H60" s="464"/>
      <c r="I60" s="429"/>
      <c r="J60" s="429"/>
      <c r="K60" s="429"/>
      <c r="L60" s="464"/>
      <c r="M60" s="464"/>
      <c r="N60" s="900">
        <f t="shared" si="14"/>
        <v>0</v>
      </c>
      <c r="O60" s="901">
        <f t="shared" si="9"/>
        <v>0</v>
      </c>
      <c r="P60" s="460"/>
      <c r="Q60" s="438">
        <f>IFERROR(LOOKUP(1,0/((成型機資料庫!$F$332:$F$361=J60)*(成型機資料庫!$G$332:$G$361=K60)),成型機資料庫!$K$332:$K$361),0)</f>
        <v>0</v>
      </c>
      <c r="R60" s="899">
        <f t="shared" si="10"/>
        <v>0</v>
      </c>
      <c r="S60" s="898">
        <f t="shared" si="11"/>
        <v>0</v>
      </c>
      <c r="T60" s="923">
        <f>IFERROR(LOOKUP(1,0/((成型機資料庫!$F$332:$F$361=J60)*(成型機資料庫!$G$332:$G$361=K60)),成型機資料庫!$I$332:$I$361),0)</f>
        <v>0</v>
      </c>
      <c r="U60" s="944">
        <f>IFERROR(LOOKUP(1,0/((成型機資料庫!$F$332:$F$361=J60)*(成型機資料庫!$G$332:$G$361=K60)),成型機資料庫!$J$332:$J$361),0)</f>
        <v>0</v>
      </c>
      <c r="V60" s="900">
        <f>IFERROR(LOOKUP(1,0/((成型機資料庫!$F$332:$F$361=J60)*(成型機資料庫!$G$332:$G$361=K60)),成型機資料庫!$L$332:$L$361),0)</f>
        <v>0</v>
      </c>
      <c r="W60" s="898">
        <f t="shared" si="12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3"/>
        <v>0</v>
      </c>
      <c r="AB60" s="438"/>
      <c r="AC60" s="482"/>
      <c r="AD60" s="464"/>
      <c r="AE60" s="438"/>
      <c r="AF60" s="438"/>
    </row>
    <row r="61" spans="1:56" s="433" customFormat="1" ht="15.75">
      <c r="A61" s="434">
        <v>113</v>
      </c>
      <c r="B61" s="581"/>
      <c r="C61" s="581">
        <v>8</v>
      </c>
      <c r="D61" s="581"/>
      <c r="E61" s="581" t="s">
        <v>43</v>
      </c>
      <c r="F61" s="435" t="s">
        <v>42</v>
      </c>
      <c r="G61" s="927"/>
      <c r="H61" s="464"/>
      <c r="I61" s="429"/>
      <c r="J61" s="429"/>
      <c r="K61" s="429"/>
      <c r="L61" s="464"/>
      <c r="M61" s="464"/>
      <c r="N61" s="900">
        <f t="shared" si="14"/>
        <v>0</v>
      </c>
      <c r="O61" s="901">
        <f t="shared" si="9"/>
        <v>0</v>
      </c>
      <c r="P61" s="460"/>
      <c r="Q61" s="438">
        <f>IFERROR(LOOKUP(1,0/((成型機資料庫!$F$332:$F$361=J61)*(成型機資料庫!$G$332:$G$361=K61)),成型機資料庫!$K$332:$K$361),0)</f>
        <v>0</v>
      </c>
      <c r="R61" s="899">
        <f t="shared" si="10"/>
        <v>0</v>
      </c>
      <c r="S61" s="898">
        <f t="shared" si="11"/>
        <v>0</v>
      </c>
      <c r="T61" s="923">
        <f>IFERROR(LOOKUP(1,0/((成型機資料庫!$F$332:$F$361=J61)*(成型機資料庫!$G$332:$G$361=K61)),成型機資料庫!$I$332:$I$361),0)</f>
        <v>0</v>
      </c>
      <c r="U61" s="944">
        <f>IFERROR(LOOKUP(1,0/((成型機資料庫!$F$332:$F$361=J61)*(成型機資料庫!$G$332:$G$361=K61)),成型機資料庫!$J$332:$J$361),0)</f>
        <v>0</v>
      </c>
      <c r="V61" s="900">
        <f>IFERROR(LOOKUP(1,0/((成型機資料庫!$F$332:$F$361=J61)*(成型機資料庫!$G$332:$G$361=K61)),成型機資料庫!$L$332:$L$361),0)</f>
        <v>0</v>
      </c>
      <c r="W61" s="898">
        <f t="shared" si="12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3"/>
        <v>0</v>
      </c>
      <c r="AB61" s="438"/>
      <c r="AC61" s="482"/>
      <c r="AD61" s="464"/>
      <c r="AE61" s="438"/>
      <c r="AF61" s="438"/>
    </row>
    <row r="62" spans="1:56" s="433" customFormat="1" ht="15.75">
      <c r="A62" s="434">
        <v>113</v>
      </c>
      <c r="B62" s="581"/>
      <c r="C62" s="581">
        <v>9</v>
      </c>
      <c r="D62" s="581"/>
      <c r="E62" s="581" t="s">
        <v>43</v>
      </c>
      <c r="F62" s="435" t="s">
        <v>42</v>
      </c>
      <c r="G62" s="926"/>
      <c r="H62" s="464"/>
      <c r="I62" s="429"/>
      <c r="J62" s="429"/>
      <c r="K62" s="429"/>
      <c r="L62" s="464"/>
      <c r="M62" s="464"/>
      <c r="N62" s="900">
        <f t="shared" si="14"/>
        <v>0</v>
      </c>
      <c r="O62" s="901">
        <f t="shared" si="9"/>
        <v>0</v>
      </c>
      <c r="P62" s="460"/>
      <c r="Q62" s="438">
        <f>IFERROR(LOOKUP(1,0/((成型機資料庫!$F$332:$F$361=J62)*(成型機資料庫!$G$332:$G$361=K62)),成型機資料庫!$K$332:$K$361),0)</f>
        <v>0</v>
      </c>
      <c r="R62" s="899">
        <f t="shared" si="10"/>
        <v>0</v>
      </c>
      <c r="S62" s="898">
        <f t="shared" si="11"/>
        <v>0</v>
      </c>
      <c r="T62" s="923">
        <f>IFERROR(LOOKUP(1,0/((成型機資料庫!$F$332:$F$361=J62)*(成型機資料庫!$G$332:$G$361=K62)),成型機資料庫!$I$332:$I$361),0)</f>
        <v>0</v>
      </c>
      <c r="U62" s="944">
        <f>IFERROR(LOOKUP(1,0/((成型機資料庫!$F$332:$F$361=J62)*(成型機資料庫!$G$332:$G$361=K62)),成型機資料庫!$J$332:$J$361),0)</f>
        <v>0</v>
      </c>
      <c r="V62" s="900">
        <f>IFERROR(LOOKUP(1,0/((成型機資料庫!$F$332:$F$361=J62)*(成型機資料庫!$G$332:$G$361=K62)),成型機資料庫!$L$332:$L$361),0)</f>
        <v>0</v>
      </c>
      <c r="W62" s="898">
        <f t="shared" si="12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3"/>
        <v>0</v>
      </c>
      <c r="AB62" s="438"/>
      <c r="AC62" s="482"/>
      <c r="AD62" s="464"/>
      <c r="AE62" s="438"/>
      <c r="AF62" s="438"/>
    </row>
    <row r="63" spans="1:56" s="433" customFormat="1" ht="15.75">
      <c r="A63" s="434">
        <v>113</v>
      </c>
      <c r="B63" s="581"/>
      <c r="C63" s="581">
        <v>10</v>
      </c>
      <c r="D63" s="581"/>
      <c r="E63" s="581" t="s">
        <v>43</v>
      </c>
      <c r="F63" s="435" t="s">
        <v>42</v>
      </c>
      <c r="G63" s="926"/>
      <c r="H63" s="464"/>
      <c r="I63" s="429"/>
      <c r="J63" s="429"/>
      <c r="K63" s="429"/>
      <c r="L63" s="464"/>
      <c r="M63" s="464"/>
      <c r="N63" s="900">
        <f t="shared" si="14"/>
        <v>0</v>
      </c>
      <c r="O63" s="901">
        <f t="shared" si="9"/>
        <v>0</v>
      </c>
      <c r="P63" s="460"/>
      <c r="Q63" s="438">
        <f>IFERROR(LOOKUP(1,0/((成型機資料庫!$F$332:$F$361=J63)*(成型機資料庫!$G$332:$G$361=K63)),成型機資料庫!$K$332:$K$361),0)</f>
        <v>0</v>
      </c>
      <c r="R63" s="899">
        <f t="shared" si="10"/>
        <v>0</v>
      </c>
      <c r="S63" s="898">
        <f t="shared" si="11"/>
        <v>0</v>
      </c>
      <c r="T63" s="923">
        <f>IFERROR(LOOKUP(1,0/((成型機資料庫!$F$332:$F$361=J63)*(成型機資料庫!$G$332:$G$361=K63)),成型機資料庫!$I$332:$I$361),0)</f>
        <v>0</v>
      </c>
      <c r="U63" s="944">
        <f>IFERROR(LOOKUP(1,0/((成型機資料庫!$F$332:$F$361=J63)*(成型機資料庫!$G$332:$G$361=K63)),成型機資料庫!$J$332:$J$361),0)</f>
        <v>0</v>
      </c>
      <c r="V63" s="900">
        <f>IFERROR(LOOKUP(1,0/((成型機資料庫!$F$332:$F$361=J63)*(成型機資料庫!$G$332:$G$361=K63)),成型機資料庫!$L$332:$L$361),0)</f>
        <v>0</v>
      </c>
      <c r="W63" s="898">
        <f t="shared" si="12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3"/>
        <v>0</v>
      </c>
      <c r="AB63" s="438"/>
      <c r="AC63" s="482"/>
      <c r="AD63" s="438"/>
      <c r="AE63" s="438"/>
      <c r="AF63" s="438"/>
    </row>
    <row r="64" spans="1:56" s="433" customFormat="1" ht="15.75">
      <c r="A64" s="434">
        <v>113</v>
      </c>
      <c r="B64" s="581"/>
      <c r="C64" s="581">
        <v>11</v>
      </c>
      <c r="D64" s="581"/>
      <c r="E64" s="581" t="s">
        <v>43</v>
      </c>
      <c r="F64" s="435" t="s">
        <v>42</v>
      </c>
      <c r="G64" s="926"/>
      <c r="H64" s="464"/>
      <c r="I64" s="429"/>
      <c r="J64" s="429"/>
      <c r="K64" s="429"/>
      <c r="L64" s="464"/>
      <c r="M64" s="464"/>
      <c r="N64" s="900">
        <f t="shared" si="14"/>
        <v>0</v>
      </c>
      <c r="O64" s="901">
        <f t="shared" si="9"/>
        <v>0</v>
      </c>
      <c r="P64" s="460"/>
      <c r="Q64" s="438">
        <f>IFERROR(LOOKUP(1,0/((成型機資料庫!$F$332:$F$361=J64)*(成型機資料庫!$G$332:$G$361=K64)),成型機資料庫!$K$332:$K$361),0)</f>
        <v>0</v>
      </c>
      <c r="R64" s="899">
        <f t="shared" si="10"/>
        <v>0</v>
      </c>
      <c r="S64" s="898">
        <f t="shared" si="11"/>
        <v>0</v>
      </c>
      <c r="T64" s="923">
        <f>IFERROR(LOOKUP(1,0/((成型機資料庫!$F$332:$F$361=J64)*(成型機資料庫!$G$332:$G$361=K64)),成型機資料庫!$I$332:$I$361),0)</f>
        <v>0</v>
      </c>
      <c r="U64" s="944">
        <f>IFERROR(LOOKUP(1,0/((成型機資料庫!$F$332:$F$361=J64)*(成型機資料庫!$G$332:$G$361=K64)),成型機資料庫!$J$332:$J$361),0)</f>
        <v>0</v>
      </c>
      <c r="V64" s="900">
        <f>IFERROR(LOOKUP(1,0/((成型機資料庫!$F$332:$F$361=J64)*(成型機資料庫!$G$332:$G$361=K64)),成型機資料庫!$L$332:$L$361),0)</f>
        <v>0</v>
      </c>
      <c r="W64" s="898">
        <f t="shared" si="12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3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581"/>
      <c r="C65" s="581">
        <v>12</v>
      </c>
      <c r="D65" s="581"/>
      <c r="E65" s="581" t="s">
        <v>43</v>
      </c>
      <c r="F65" s="435" t="s">
        <v>42</v>
      </c>
      <c r="G65" s="926"/>
      <c r="H65" s="464"/>
      <c r="I65" s="429"/>
      <c r="J65" s="429"/>
      <c r="K65" s="429"/>
      <c r="L65" s="464"/>
      <c r="M65" s="464"/>
      <c r="N65" s="900">
        <f t="shared" si="14"/>
        <v>0</v>
      </c>
      <c r="O65" s="901">
        <f t="shared" si="9"/>
        <v>0</v>
      </c>
      <c r="P65" s="460"/>
      <c r="Q65" s="438">
        <f>IFERROR(LOOKUP(1,0/((成型機資料庫!$F$332:$F$361=J65)*(成型機資料庫!$G$332:$G$361=K65)),成型機資料庫!$K$332:$K$361),0)</f>
        <v>0</v>
      </c>
      <c r="R65" s="899">
        <f t="shared" si="10"/>
        <v>0</v>
      </c>
      <c r="S65" s="898">
        <f t="shared" si="11"/>
        <v>0</v>
      </c>
      <c r="T65" s="923">
        <f>IFERROR(LOOKUP(1,0/((成型機資料庫!$F$332:$F$361=J65)*(成型機資料庫!$G$332:$G$361=K65)),成型機資料庫!$I$332:$I$361),0)</f>
        <v>0</v>
      </c>
      <c r="U65" s="944">
        <f>IFERROR(LOOKUP(1,0/((成型機資料庫!$F$332:$F$361=J65)*(成型機資料庫!$G$332:$G$361=K65)),成型機資料庫!$J$332:$J$361),0)</f>
        <v>0</v>
      </c>
      <c r="V65" s="900">
        <f>IFERROR(LOOKUP(1,0/((成型機資料庫!$F$332:$F$361=J65)*(成型機資料庫!$G$332:$G$361=K65)),成型機資料庫!$L$332:$L$361),0)</f>
        <v>0</v>
      </c>
      <c r="W65" s="898">
        <f t="shared" si="12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3"/>
        <v>0</v>
      </c>
      <c r="AB65" s="438"/>
      <c r="AC65" s="482"/>
      <c r="AD65" s="438"/>
      <c r="AE65" s="438"/>
      <c r="AF65" s="438"/>
    </row>
    <row r="66" spans="1:32" s="433" customFormat="1" ht="15.75">
      <c r="A66" s="434">
        <v>113</v>
      </c>
      <c r="B66" s="581"/>
      <c r="C66" s="581">
        <v>13</v>
      </c>
      <c r="D66" s="581"/>
      <c r="E66" s="581" t="s">
        <v>43</v>
      </c>
      <c r="F66" s="435" t="s">
        <v>42</v>
      </c>
      <c r="G66" s="926"/>
      <c r="H66" s="464"/>
      <c r="I66" s="429"/>
      <c r="J66" s="429"/>
      <c r="K66" s="429"/>
      <c r="L66" s="464"/>
      <c r="M66" s="464"/>
      <c r="N66" s="900">
        <f t="shared" si="14"/>
        <v>0</v>
      </c>
      <c r="O66" s="901">
        <f t="shared" si="9"/>
        <v>0</v>
      </c>
      <c r="P66" s="460"/>
      <c r="Q66" s="438">
        <f>IFERROR(LOOKUP(1,0/((成型機資料庫!$F$332:$F$361=J66)*(成型機資料庫!$G$332:$G$361=K66)),成型機資料庫!$K$332:$K$361),0)</f>
        <v>0</v>
      </c>
      <c r="R66" s="899">
        <f t="shared" si="10"/>
        <v>0</v>
      </c>
      <c r="S66" s="898">
        <f t="shared" si="11"/>
        <v>0</v>
      </c>
      <c r="T66" s="923">
        <f>IFERROR(LOOKUP(1,0/((成型機資料庫!$F$332:$F$361=J66)*(成型機資料庫!$G$332:$G$361=K66)),成型機資料庫!$I$332:$I$361),0)</f>
        <v>0</v>
      </c>
      <c r="U66" s="944">
        <f>IFERROR(LOOKUP(1,0/((成型機資料庫!$F$332:$F$361=J66)*(成型機資料庫!$G$332:$G$361=K66)),成型機資料庫!$J$332:$J$361),0)</f>
        <v>0</v>
      </c>
      <c r="V66" s="900">
        <f>IFERROR(LOOKUP(1,0/((成型機資料庫!$F$332:$F$361=J66)*(成型機資料庫!$G$332:$G$361=K66)),成型機資料庫!$L$332:$L$361),0)</f>
        <v>0</v>
      </c>
      <c r="W66" s="898">
        <f t="shared" si="12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3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581"/>
      <c r="C67" s="581">
        <v>14</v>
      </c>
      <c r="D67" s="581"/>
      <c r="E67" s="581" t="s">
        <v>43</v>
      </c>
      <c r="F67" s="435" t="s">
        <v>42</v>
      </c>
      <c r="G67" s="926"/>
      <c r="H67" s="464"/>
      <c r="I67" s="429"/>
      <c r="J67" s="429"/>
      <c r="K67" s="429"/>
      <c r="L67" s="464"/>
      <c r="M67" s="464"/>
      <c r="N67" s="900">
        <f t="shared" si="14"/>
        <v>0</v>
      </c>
      <c r="O67" s="901">
        <f t="shared" si="9"/>
        <v>0</v>
      </c>
      <c r="P67" s="460"/>
      <c r="Q67" s="438">
        <f>IFERROR(LOOKUP(1,0/((成型機資料庫!$F$332:$F$361=J67)*(成型機資料庫!$G$332:$G$361=K67)),成型機資料庫!$K$332:$K$361),0)</f>
        <v>0</v>
      </c>
      <c r="R67" s="899">
        <f t="shared" si="10"/>
        <v>0</v>
      </c>
      <c r="S67" s="898">
        <f t="shared" si="11"/>
        <v>0</v>
      </c>
      <c r="T67" s="923">
        <f>IFERROR(LOOKUP(1,0/((成型機資料庫!$F$332:$F$361=J67)*(成型機資料庫!$G$332:$G$361=K67)),成型機資料庫!$I$332:$I$361),0)</f>
        <v>0</v>
      </c>
      <c r="U67" s="944">
        <f>IFERROR(LOOKUP(1,0/((成型機資料庫!$F$332:$F$361=J67)*(成型機資料庫!$G$332:$G$361=K67)),成型機資料庫!$J$332:$J$361),0)</f>
        <v>0</v>
      </c>
      <c r="V67" s="900">
        <f>IFERROR(LOOKUP(1,0/((成型機資料庫!$F$332:$F$361=J67)*(成型機資料庫!$G$332:$G$361=K67)),成型機資料庫!$L$332:$L$361),0)</f>
        <v>0</v>
      </c>
      <c r="W67" s="898">
        <f t="shared" si="12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3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581"/>
      <c r="C68" s="581">
        <v>15</v>
      </c>
      <c r="D68" s="581"/>
      <c r="E68" s="581" t="s">
        <v>43</v>
      </c>
      <c r="F68" s="435" t="s">
        <v>42</v>
      </c>
      <c r="G68" s="927"/>
      <c r="H68" s="464"/>
      <c r="I68" s="429"/>
      <c r="J68" s="429"/>
      <c r="K68" s="429"/>
      <c r="L68" s="464"/>
      <c r="M68" s="464"/>
      <c r="N68" s="900">
        <f t="shared" si="14"/>
        <v>0</v>
      </c>
      <c r="O68" s="901">
        <f t="shared" si="9"/>
        <v>0</v>
      </c>
      <c r="P68" s="460"/>
      <c r="Q68" s="438">
        <f>IFERROR(LOOKUP(1,0/((成型機資料庫!$F$332:$F$361=J68)*(成型機資料庫!$G$332:$G$361=K68)),成型機資料庫!$K$332:$K$361),0)</f>
        <v>0</v>
      </c>
      <c r="R68" s="899">
        <f t="shared" si="10"/>
        <v>0</v>
      </c>
      <c r="S68" s="898">
        <f t="shared" si="11"/>
        <v>0</v>
      </c>
      <c r="T68" s="923">
        <f>IFERROR(LOOKUP(1,0/((成型機資料庫!$F$332:$F$361=J68)*(成型機資料庫!$G$332:$G$361=K68)),成型機資料庫!$I$332:$I$361),0)</f>
        <v>0</v>
      </c>
      <c r="U68" s="944">
        <f>IFERROR(LOOKUP(1,0/((成型機資料庫!$F$332:$F$361=J68)*(成型機資料庫!$G$332:$G$361=K68)),成型機資料庫!$J$332:$J$361),0)</f>
        <v>0</v>
      </c>
      <c r="V68" s="900">
        <f>IFERROR(LOOKUP(1,0/((成型機資料庫!$F$332:$F$361=J68)*(成型機資料庫!$G$332:$G$361=K68)),成型機資料庫!$L$332:$L$361),0)</f>
        <v>0</v>
      </c>
      <c r="W68" s="898">
        <f t="shared" si="12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3"/>
        <v>0</v>
      </c>
      <c r="AB68" s="438"/>
      <c r="AC68" s="482"/>
      <c r="AD68" s="438"/>
      <c r="AE68" s="438"/>
      <c r="AF68" s="438"/>
    </row>
    <row r="69" spans="1:32" s="433" customFormat="1" ht="15.75">
      <c r="A69" s="434">
        <v>113</v>
      </c>
      <c r="B69" s="581"/>
      <c r="C69" s="581">
        <v>16</v>
      </c>
      <c r="D69" s="581"/>
      <c r="E69" s="581" t="s">
        <v>43</v>
      </c>
      <c r="F69" s="435" t="s">
        <v>42</v>
      </c>
      <c r="G69" s="927"/>
      <c r="H69" s="464"/>
      <c r="I69" s="429"/>
      <c r="J69" s="429"/>
      <c r="K69" s="429"/>
      <c r="L69" s="464"/>
      <c r="M69" s="464"/>
      <c r="N69" s="900">
        <f t="shared" si="14"/>
        <v>0</v>
      </c>
      <c r="O69" s="901">
        <f t="shared" si="9"/>
        <v>0</v>
      </c>
      <c r="P69" s="460"/>
      <c r="Q69" s="438">
        <f>IFERROR(LOOKUP(1,0/((成型機資料庫!$F$332:$F$361=J69)*(成型機資料庫!$G$332:$G$361=K69)),成型機資料庫!$K$332:$K$361),0)</f>
        <v>0</v>
      </c>
      <c r="R69" s="899">
        <f t="shared" si="10"/>
        <v>0</v>
      </c>
      <c r="S69" s="898">
        <f t="shared" si="11"/>
        <v>0</v>
      </c>
      <c r="T69" s="923">
        <f>IFERROR(LOOKUP(1,0/((成型機資料庫!$F$332:$F$361=J69)*(成型機資料庫!$G$332:$G$361=K69)),成型機資料庫!$I$332:$I$361),0)</f>
        <v>0</v>
      </c>
      <c r="U69" s="944">
        <f>IFERROR(LOOKUP(1,0/((成型機資料庫!$F$332:$F$361=J69)*(成型機資料庫!$G$332:$G$361=K69)),成型機資料庫!$J$332:$J$361),0)</f>
        <v>0</v>
      </c>
      <c r="V69" s="900">
        <f>IFERROR(LOOKUP(1,0/((成型機資料庫!$F$332:$F$361=J69)*(成型機資料庫!$G$332:$G$361=K69)),成型機資料庫!$L$332:$L$361),0)</f>
        <v>0</v>
      </c>
      <c r="W69" s="898">
        <f t="shared" si="12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3"/>
        <v>0</v>
      </c>
      <c r="AB69" s="438"/>
      <c r="AC69" s="482"/>
      <c r="AD69" s="464"/>
      <c r="AE69" s="464"/>
      <c r="AF69" s="438"/>
    </row>
    <row r="70" spans="1:32" s="433" customFormat="1" ht="15.75">
      <c r="A70" s="434">
        <v>113</v>
      </c>
      <c r="B70" s="581"/>
      <c r="C70" s="581">
        <v>17</v>
      </c>
      <c r="D70" s="581"/>
      <c r="E70" s="581" t="s">
        <v>43</v>
      </c>
      <c r="F70" s="435" t="s">
        <v>42</v>
      </c>
      <c r="G70" s="927"/>
      <c r="H70" s="464"/>
      <c r="I70" s="429"/>
      <c r="J70" s="429"/>
      <c r="K70" s="429"/>
      <c r="L70" s="464"/>
      <c r="M70" s="464"/>
      <c r="N70" s="900">
        <f t="shared" si="14"/>
        <v>0</v>
      </c>
      <c r="O70" s="901">
        <f t="shared" si="9"/>
        <v>0</v>
      </c>
      <c r="P70" s="460"/>
      <c r="Q70" s="438">
        <f>IFERROR(LOOKUP(1,0/((成型機資料庫!$F$332:$F$361=J70)*(成型機資料庫!$G$332:$G$361=K70)),成型機資料庫!$K$332:$K$361),0)</f>
        <v>0</v>
      </c>
      <c r="R70" s="899">
        <f t="shared" si="10"/>
        <v>0</v>
      </c>
      <c r="S70" s="898">
        <f t="shared" si="11"/>
        <v>0</v>
      </c>
      <c r="T70" s="923">
        <f>IFERROR(LOOKUP(1,0/((成型機資料庫!$F$332:$F$361=J70)*(成型機資料庫!$G$332:$G$361=K70)),成型機資料庫!$I$332:$I$361),0)</f>
        <v>0</v>
      </c>
      <c r="U70" s="944">
        <f>IFERROR(LOOKUP(1,0/((成型機資料庫!$F$332:$F$361=J70)*(成型機資料庫!$G$332:$G$361=K70)),成型機資料庫!$J$332:$J$361),0)</f>
        <v>0</v>
      </c>
      <c r="V70" s="900">
        <f>IFERROR(LOOKUP(1,0/((成型機資料庫!$F$332:$F$361=J70)*(成型機資料庫!$G$332:$G$361=K70)),成型機資料庫!$L$332:$L$361),0)</f>
        <v>0</v>
      </c>
      <c r="W70" s="898">
        <f t="shared" si="12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3"/>
        <v>0</v>
      </c>
      <c r="AB70" s="438"/>
      <c r="AC70" s="482"/>
      <c r="AD70" s="464"/>
      <c r="AE70" s="438"/>
      <c r="AF70" s="438"/>
    </row>
    <row r="71" spans="1:32" s="433" customFormat="1" ht="15.75">
      <c r="A71" s="434">
        <v>113</v>
      </c>
      <c r="B71" s="434"/>
      <c r="C71" s="434">
        <v>18</v>
      </c>
      <c r="D71" s="581"/>
      <c r="E71" s="581" t="s">
        <v>43</v>
      </c>
      <c r="F71" s="435" t="s">
        <v>42</v>
      </c>
      <c r="G71" s="926"/>
      <c r="H71" s="464"/>
      <c r="I71" s="429"/>
      <c r="J71" s="429"/>
      <c r="K71" s="429"/>
      <c r="L71" s="464"/>
      <c r="M71" s="464"/>
      <c r="N71" s="900">
        <f t="shared" si="14"/>
        <v>0</v>
      </c>
      <c r="O71" s="901">
        <f t="shared" si="9"/>
        <v>0</v>
      </c>
      <c r="P71" s="460"/>
      <c r="Q71" s="438">
        <f>IFERROR(LOOKUP(1,0/((成型機資料庫!$F$332:$F$361=J71)*(成型機資料庫!$G$332:$G$361=K71)),成型機資料庫!$K$332:$K$361),0)</f>
        <v>0</v>
      </c>
      <c r="R71" s="899">
        <f t="shared" si="10"/>
        <v>0</v>
      </c>
      <c r="S71" s="898">
        <f t="shared" si="11"/>
        <v>0</v>
      </c>
      <c r="T71" s="923">
        <f>IFERROR(LOOKUP(1,0/((成型機資料庫!$F$332:$F$361=J71)*(成型機資料庫!$G$332:$G$361=K71)),成型機資料庫!$I$332:$I$361),0)</f>
        <v>0</v>
      </c>
      <c r="U71" s="944">
        <f>IFERROR(LOOKUP(1,0/((成型機資料庫!$F$332:$F$361=J71)*(成型機資料庫!$G$332:$G$361=K71)),成型機資料庫!$J$332:$J$361),0)</f>
        <v>0</v>
      </c>
      <c r="V71" s="900">
        <f>IFERROR(LOOKUP(1,0/((成型機資料庫!$F$332:$F$361=J71)*(成型機資料庫!$G$332:$G$361=K71)),成型機資料庫!$L$332:$L$361),0)</f>
        <v>0</v>
      </c>
      <c r="W71" s="898">
        <f t="shared" si="12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3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19</v>
      </c>
      <c r="D72" s="581"/>
      <c r="E72" s="581" t="s">
        <v>43</v>
      </c>
      <c r="F72" s="435" t="s">
        <v>42</v>
      </c>
      <c r="G72" s="926"/>
      <c r="H72" s="464"/>
      <c r="I72" s="429"/>
      <c r="J72" s="429"/>
      <c r="K72" s="429"/>
      <c r="L72" s="464"/>
      <c r="M72" s="464"/>
      <c r="N72" s="900">
        <f t="shared" si="14"/>
        <v>0</v>
      </c>
      <c r="O72" s="901">
        <f t="shared" si="9"/>
        <v>0</v>
      </c>
      <c r="P72" s="460"/>
      <c r="Q72" s="438">
        <f>IFERROR(LOOKUP(1,0/((成型機資料庫!$F$332:$F$361=J72)*(成型機資料庫!$G$332:$G$361=K72)),成型機資料庫!$K$332:$K$361),0)</f>
        <v>0</v>
      </c>
      <c r="R72" s="899">
        <f t="shared" si="10"/>
        <v>0</v>
      </c>
      <c r="S72" s="898">
        <f t="shared" si="11"/>
        <v>0</v>
      </c>
      <c r="T72" s="923">
        <f>IFERROR(LOOKUP(1,0/((成型機資料庫!$F$332:$F$361=J72)*(成型機資料庫!$G$332:$G$361=K72)),成型機資料庫!$I$332:$I$361),0)</f>
        <v>0</v>
      </c>
      <c r="U72" s="944">
        <f>IFERROR(LOOKUP(1,0/((成型機資料庫!$F$332:$F$361=J72)*(成型機資料庫!$G$332:$G$361=K72)),成型機資料庫!$J$332:$J$361),0)</f>
        <v>0</v>
      </c>
      <c r="V72" s="900">
        <f>IFERROR(LOOKUP(1,0/((成型機資料庫!$F$332:$F$361=J72)*(成型機資料庫!$G$332:$G$361=K72)),成型機資料庫!$L$332:$L$361),0)</f>
        <v>0</v>
      </c>
      <c r="W72" s="898">
        <f t="shared" si="12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3"/>
        <v>0</v>
      </c>
      <c r="AB72" s="438"/>
      <c r="AC72" s="482"/>
      <c r="AD72" s="464"/>
      <c r="AE72" s="438"/>
      <c r="AF72" s="438"/>
    </row>
    <row r="73" spans="1:32" s="433" customFormat="1" ht="15.75">
      <c r="A73" s="434">
        <v>113</v>
      </c>
      <c r="B73" s="434"/>
      <c r="C73" s="434">
        <v>20</v>
      </c>
      <c r="D73" s="581"/>
      <c r="E73" s="581" t="s">
        <v>43</v>
      </c>
      <c r="F73" s="435" t="s">
        <v>42</v>
      </c>
      <c r="G73" s="926"/>
      <c r="H73" s="464"/>
      <c r="I73" s="429"/>
      <c r="J73" s="429"/>
      <c r="K73" s="429"/>
      <c r="L73" s="464"/>
      <c r="M73" s="464"/>
      <c r="N73" s="900">
        <f t="shared" si="14"/>
        <v>0</v>
      </c>
      <c r="O73" s="901">
        <f t="shared" si="9"/>
        <v>0</v>
      </c>
      <c r="P73" s="460"/>
      <c r="Q73" s="438">
        <f>IFERROR(LOOKUP(1,0/((成型機資料庫!$F$332:$F$361=J73)*(成型機資料庫!$G$332:$G$361=K73)),成型機資料庫!$K$332:$K$361),0)</f>
        <v>0</v>
      </c>
      <c r="R73" s="899">
        <f t="shared" si="10"/>
        <v>0</v>
      </c>
      <c r="S73" s="898">
        <f t="shared" si="11"/>
        <v>0</v>
      </c>
      <c r="T73" s="923">
        <f>IFERROR(LOOKUP(1,0/((成型機資料庫!$F$332:$F$361=J73)*(成型機資料庫!$G$332:$G$361=K73)),成型機資料庫!$I$332:$I$361),0)</f>
        <v>0</v>
      </c>
      <c r="U73" s="944">
        <f>IFERROR(LOOKUP(1,0/((成型機資料庫!$F$332:$F$361=J73)*(成型機資料庫!$G$332:$G$361=K73)),成型機資料庫!$J$332:$J$361),0)</f>
        <v>0</v>
      </c>
      <c r="V73" s="900">
        <f>IFERROR(LOOKUP(1,0/((成型機資料庫!$F$332:$F$361=J73)*(成型機資料庫!$G$332:$G$361=K73)),成型機資料庫!$L$332:$L$361),0)</f>
        <v>0</v>
      </c>
      <c r="W73" s="898">
        <f t="shared" si="12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3"/>
        <v>0</v>
      </c>
      <c r="AB73" s="438"/>
      <c r="AC73" s="482"/>
      <c r="AD73" s="464"/>
      <c r="AE73" s="438"/>
      <c r="AF73" s="438"/>
    </row>
    <row r="74" spans="1:32" s="433" customFormat="1" ht="15.75">
      <c r="A74" s="434">
        <v>113</v>
      </c>
      <c r="B74" s="434"/>
      <c r="C74" s="434">
        <v>21</v>
      </c>
      <c r="D74" s="581"/>
      <c r="E74" s="581" t="s">
        <v>43</v>
      </c>
      <c r="F74" s="435" t="s">
        <v>42</v>
      </c>
      <c r="G74" s="926"/>
      <c r="H74" s="464"/>
      <c r="I74" s="429"/>
      <c r="J74" s="429"/>
      <c r="K74" s="429"/>
      <c r="L74" s="464"/>
      <c r="M74" s="464"/>
      <c r="N74" s="900">
        <f t="shared" si="14"/>
        <v>0</v>
      </c>
      <c r="O74" s="901">
        <f t="shared" si="9"/>
        <v>0</v>
      </c>
      <c r="P74" s="460"/>
      <c r="Q74" s="438">
        <f>IFERROR(LOOKUP(1,0/((成型機資料庫!$F$332:$F$361=J74)*(成型機資料庫!$G$332:$G$361=K74)),成型機資料庫!$K$332:$K$361),0)</f>
        <v>0</v>
      </c>
      <c r="R74" s="899">
        <f t="shared" si="10"/>
        <v>0</v>
      </c>
      <c r="S74" s="898">
        <f t="shared" si="11"/>
        <v>0</v>
      </c>
      <c r="T74" s="923">
        <f>IFERROR(LOOKUP(1,0/((成型機資料庫!$F$332:$F$361=J74)*(成型機資料庫!$G$332:$G$361=K74)),成型機資料庫!$I$332:$I$361),0)</f>
        <v>0</v>
      </c>
      <c r="U74" s="944">
        <f>IFERROR(LOOKUP(1,0/((成型機資料庫!$F$332:$F$361=J74)*(成型機資料庫!$G$332:$G$361=K74)),成型機資料庫!$J$332:$J$361),0)</f>
        <v>0</v>
      </c>
      <c r="V74" s="900">
        <f>IFERROR(LOOKUP(1,0/((成型機資料庫!$F$332:$F$361=J74)*(成型機資料庫!$G$332:$G$361=K74)),成型機資料庫!$L$332:$L$361),0)</f>
        <v>0</v>
      </c>
      <c r="W74" s="898">
        <f t="shared" si="12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3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434"/>
      <c r="C75" s="434">
        <v>22</v>
      </c>
      <c r="D75" s="581"/>
      <c r="E75" s="581" t="s">
        <v>43</v>
      </c>
      <c r="F75" s="435" t="s">
        <v>42</v>
      </c>
      <c r="G75" s="927"/>
      <c r="H75" s="464"/>
      <c r="I75" s="429"/>
      <c r="J75" s="429"/>
      <c r="K75" s="429"/>
      <c r="L75" s="464"/>
      <c r="M75" s="464"/>
      <c r="N75" s="900">
        <f t="shared" si="14"/>
        <v>0</v>
      </c>
      <c r="O75" s="901">
        <f t="shared" si="9"/>
        <v>0</v>
      </c>
      <c r="P75" s="460"/>
      <c r="Q75" s="438">
        <f>IFERROR(LOOKUP(1,0/((成型機資料庫!$F$332:$F$361=J75)*(成型機資料庫!$G$332:$G$361=K75)),成型機資料庫!$K$332:$K$361),0)</f>
        <v>0</v>
      </c>
      <c r="R75" s="899">
        <f t="shared" si="10"/>
        <v>0</v>
      </c>
      <c r="S75" s="898">
        <f t="shared" si="11"/>
        <v>0</v>
      </c>
      <c r="T75" s="923">
        <f>IFERROR(LOOKUP(1,0/((成型機資料庫!$F$332:$F$361=J75)*(成型機資料庫!$G$332:$G$361=K75)),成型機資料庫!$I$332:$I$361),0)</f>
        <v>0</v>
      </c>
      <c r="U75" s="944">
        <f>IFERROR(LOOKUP(1,0/((成型機資料庫!$F$332:$F$361=J75)*(成型機資料庫!$G$332:$G$361=K75)),成型機資料庫!$J$332:$J$361),0)</f>
        <v>0</v>
      </c>
      <c r="V75" s="900">
        <f>IFERROR(LOOKUP(1,0/((成型機資料庫!$F$332:$F$361=J75)*(成型機資料庫!$G$332:$G$361=K75)),成型機資料庫!$L$332:$L$361),0)</f>
        <v>0</v>
      </c>
      <c r="W75" s="898">
        <f t="shared" si="12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3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434"/>
      <c r="C76" s="434">
        <v>23</v>
      </c>
      <c r="D76" s="581"/>
      <c r="E76" s="581" t="s">
        <v>43</v>
      </c>
      <c r="F76" s="435" t="s">
        <v>42</v>
      </c>
      <c r="G76" s="926"/>
      <c r="H76" s="464"/>
      <c r="I76" s="429"/>
      <c r="J76" s="429"/>
      <c r="K76" s="429"/>
      <c r="L76" s="464"/>
      <c r="M76" s="464"/>
      <c r="N76" s="900">
        <f t="shared" si="14"/>
        <v>0</v>
      </c>
      <c r="O76" s="901">
        <f t="shared" si="9"/>
        <v>0</v>
      </c>
      <c r="P76" s="460"/>
      <c r="Q76" s="438">
        <f>IFERROR(LOOKUP(1,0/((成型機資料庫!$F$332:$F$361=J76)*(成型機資料庫!$G$332:$G$361=K76)),成型機資料庫!$K$332:$K$361),0)</f>
        <v>0</v>
      </c>
      <c r="R76" s="899">
        <f t="shared" si="10"/>
        <v>0</v>
      </c>
      <c r="S76" s="898">
        <f t="shared" si="11"/>
        <v>0</v>
      </c>
      <c r="T76" s="923">
        <f>IFERROR(LOOKUP(1,0/((成型機資料庫!$F$332:$F$361=J76)*(成型機資料庫!$G$332:$G$361=K76)),成型機資料庫!$I$332:$I$361),0)</f>
        <v>0</v>
      </c>
      <c r="U76" s="944">
        <f>IFERROR(LOOKUP(1,0/((成型機資料庫!$F$332:$F$361=J76)*(成型機資料庫!$G$332:$G$361=K76)),成型機資料庫!$J$332:$J$361),0)</f>
        <v>0</v>
      </c>
      <c r="V76" s="900">
        <f>IFERROR(LOOKUP(1,0/((成型機資料庫!$F$332:$F$361=J76)*(成型機資料庫!$G$332:$G$361=K76)),成型機資料庫!$L$332:$L$361),0)</f>
        <v>0</v>
      </c>
      <c r="W76" s="898">
        <f t="shared" si="12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3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434"/>
      <c r="C77" s="434">
        <v>24</v>
      </c>
      <c r="D77" s="581"/>
      <c r="E77" s="581" t="s">
        <v>43</v>
      </c>
      <c r="F77" s="435" t="s">
        <v>42</v>
      </c>
      <c r="G77" s="926"/>
      <c r="H77" s="464"/>
      <c r="I77" s="429"/>
      <c r="J77" s="429"/>
      <c r="K77" s="429"/>
      <c r="L77" s="464"/>
      <c r="M77" s="464"/>
      <c r="N77" s="900">
        <f t="shared" si="14"/>
        <v>0</v>
      </c>
      <c r="O77" s="901">
        <f t="shared" si="9"/>
        <v>0</v>
      </c>
      <c r="P77" s="460"/>
      <c r="Q77" s="438">
        <f>IFERROR(LOOKUP(1,0/((成型機資料庫!$F$332:$F$361=J77)*(成型機資料庫!$G$332:$G$361=K77)),成型機資料庫!$K$332:$K$361),0)</f>
        <v>0</v>
      </c>
      <c r="R77" s="899">
        <f t="shared" si="10"/>
        <v>0</v>
      </c>
      <c r="S77" s="898">
        <f t="shared" si="11"/>
        <v>0</v>
      </c>
      <c r="T77" s="923">
        <f>IFERROR(LOOKUP(1,0/((成型機資料庫!$F$332:$F$361=J77)*(成型機資料庫!$G$332:$G$361=K77)),成型機資料庫!$I$332:$I$361),0)</f>
        <v>0</v>
      </c>
      <c r="U77" s="944">
        <f>IFERROR(LOOKUP(1,0/((成型機資料庫!$F$332:$F$361=J77)*(成型機資料庫!$G$332:$G$361=K77)),成型機資料庫!$J$332:$J$361),0)</f>
        <v>0</v>
      </c>
      <c r="V77" s="900">
        <f>IFERROR(LOOKUP(1,0/((成型機資料庫!$F$332:$F$361=J77)*(成型機資料庫!$G$332:$G$361=K77)),成型機資料庫!$L$332:$L$361),0)</f>
        <v>0</v>
      </c>
      <c r="W77" s="898">
        <f t="shared" si="12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3"/>
        <v>0</v>
      </c>
      <c r="AB77" s="438"/>
      <c r="AC77" s="482"/>
      <c r="AD77" s="464"/>
      <c r="AE77" s="438"/>
      <c r="AF77" s="438"/>
    </row>
    <row r="78" spans="1:32" s="433" customFormat="1" ht="15.75">
      <c r="A78" s="434">
        <v>113</v>
      </c>
      <c r="B78" s="434"/>
      <c r="C78" s="434">
        <v>25</v>
      </c>
      <c r="D78" s="581"/>
      <c r="E78" s="581" t="s">
        <v>43</v>
      </c>
      <c r="F78" s="435" t="s">
        <v>42</v>
      </c>
      <c r="G78" s="926"/>
      <c r="H78" s="464"/>
      <c r="I78" s="429"/>
      <c r="J78" s="429"/>
      <c r="K78" s="429"/>
      <c r="L78" s="464"/>
      <c r="M78" s="464"/>
      <c r="N78" s="900">
        <f t="shared" si="14"/>
        <v>0</v>
      </c>
      <c r="O78" s="901">
        <f t="shared" si="9"/>
        <v>0</v>
      </c>
      <c r="P78" s="460"/>
      <c r="Q78" s="438">
        <f>IFERROR(LOOKUP(1,0/((成型機資料庫!$F$332:$F$361=J78)*(成型機資料庫!$G$332:$G$361=K78)),成型機資料庫!$K$332:$K$361),0)</f>
        <v>0</v>
      </c>
      <c r="R78" s="899">
        <f t="shared" si="10"/>
        <v>0</v>
      </c>
      <c r="S78" s="898">
        <f t="shared" si="11"/>
        <v>0</v>
      </c>
      <c r="T78" s="923">
        <f>IFERROR(LOOKUP(1,0/((成型機資料庫!$F$332:$F$361=J78)*(成型機資料庫!$G$332:$G$361=K78)),成型機資料庫!$I$332:$I$361),0)</f>
        <v>0</v>
      </c>
      <c r="U78" s="944">
        <f>IFERROR(LOOKUP(1,0/((成型機資料庫!$F$332:$F$361=J78)*(成型機資料庫!$G$332:$G$361=K78)),成型機資料庫!$J$332:$J$361),0)</f>
        <v>0</v>
      </c>
      <c r="V78" s="900">
        <f>IFERROR(LOOKUP(1,0/((成型機資料庫!$F$332:$F$361=J78)*(成型機資料庫!$G$332:$G$361=K78)),成型機資料庫!$L$332:$L$361),0)</f>
        <v>0</v>
      </c>
      <c r="W78" s="898">
        <f t="shared" si="12"/>
        <v>0</v>
      </c>
      <c r="X78" s="923">
        <f t="shared" si="15"/>
        <v>0</v>
      </c>
      <c r="Y78" s="898">
        <f t="shared" si="16"/>
        <v>0</v>
      </c>
      <c r="Z78" s="923"/>
      <c r="AA78" s="478">
        <f t="shared" si="13"/>
        <v>0</v>
      </c>
      <c r="AB78" s="438"/>
      <c r="AC78" s="482"/>
      <c r="AD78" s="464"/>
      <c r="AE78" s="464"/>
      <c r="AF78" s="438"/>
    </row>
    <row r="79" spans="1:32" s="433" customFormat="1" ht="15.75">
      <c r="A79" s="434">
        <v>113</v>
      </c>
      <c r="B79" s="434"/>
      <c r="C79" s="434">
        <v>26</v>
      </c>
      <c r="D79" s="581"/>
      <c r="E79" s="581" t="s">
        <v>43</v>
      </c>
      <c r="F79" s="435" t="s">
        <v>42</v>
      </c>
      <c r="G79" s="926"/>
      <c r="H79" s="464"/>
      <c r="I79" s="429"/>
      <c r="J79" s="429"/>
      <c r="K79" s="429"/>
      <c r="L79" s="464"/>
      <c r="M79" s="464"/>
      <c r="N79" s="900">
        <f t="shared" si="14"/>
        <v>0</v>
      </c>
      <c r="O79" s="901">
        <f t="shared" si="9"/>
        <v>0</v>
      </c>
      <c r="P79" s="460"/>
      <c r="Q79" s="438">
        <f>IFERROR(LOOKUP(1,0/((成型機資料庫!$F$332:$F$361=J79)*(成型機資料庫!$G$332:$G$361=K79)),成型機資料庫!$K$332:$K$361),0)</f>
        <v>0</v>
      </c>
      <c r="R79" s="899">
        <f t="shared" si="10"/>
        <v>0</v>
      </c>
      <c r="S79" s="898">
        <f t="shared" si="11"/>
        <v>0</v>
      </c>
      <c r="T79" s="923">
        <f>IFERROR(LOOKUP(1,0/((成型機資料庫!$F$332:$F$361=J79)*(成型機資料庫!$G$332:$G$361=K79)),成型機資料庫!$I$332:$I$361),0)</f>
        <v>0</v>
      </c>
      <c r="U79" s="944">
        <f>IFERROR(LOOKUP(1,0/((成型機資料庫!$F$332:$F$361=J79)*(成型機資料庫!$G$332:$G$361=K79)),成型機資料庫!$J$332:$J$361),0)</f>
        <v>0</v>
      </c>
      <c r="V79" s="900">
        <f>IFERROR(LOOKUP(1,0/((成型機資料庫!$F$332:$F$361=J79)*(成型機資料庫!$G$332:$G$361=K79)),成型機資料庫!$L$332:$L$361),0)</f>
        <v>0</v>
      </c>
      <c r="W79" s="898">
        <f t="shared" si="12"/>
        <v>0</v>
      </c>
      <c r="X79" s="923">
        <f t="shared" si="15"/>
        <v>0</v>
      </c>
      <c r="Y79" s="898">
        <f t="shared" si="16"/>
        <v>0</v>
      </c>
      <c r="Z79" s="923"/>
      <c r="AA79" s="478">
        <f t="shared" si="13"/>
        <v>0</v>
      </c>
      <c r="AB79" s="438"/>
      <c r="AC79" s="482"/>
      <c r="AD79" s="438"/>
      <c r="AE79" s="464"/>
      <c r="AF79" s="438"/>
    </row>
    <row r="80" spans="1:32" s="433" customFormat="1" ht="15.75">
      <c r="A80" s="434">
        <v>113</v>
      </c>
      <c r="B80" s="434"/>
      <c r="C80" s="434">
        <v>27</v>
      </c>
      <c r="D80" s="581"/>
      <c r="E80" s="581" t="s">
        <v>43</v>
      </c>
      <c r="F80" s="435" t="s">
        <v>42</v>
      </c>
      <c r="G80" s="926"/>
      <c r="H80" s="464"/>
      <c r="I80" s="429"/>
      <c r="J80" s="429"/>
      <c r="K80" s="429"/>
      <c r="L80" s="464"/>
      <c r="M80" s="464"/>
      <c r="N80" s="900">
        <f t="shared" si="14"/>
        <v>0</v>
      </c>
      <c r="O80" s="901">
        <f t="shared" si="9"/>
        <v>0</v>
      </c>
      <c r="P80" s="460"/>
      <c r="Q80" s="438">
        <f>IFERROR(LOOKUP(1,0/((成型機資料庫!$F$332:$F$361=J80)*(成型機資料庫!$G$332:$G$361=K80)),成型機資料庫!$K$332:$K$361),0)</f>
        <v>0</v>
      </c>
      <c r="R80" s="899">
        <f t="shared" si="10"/>
        <v>0</v>
      </c>
      <c r="S80" s="898">
        <f t="shared" si="11"/>
        <v>0</v>
      </c>
      <c r="T80" s="923">
        <f>IFERROR(LOOKUP(1,0/((成型機資料庫!$F$332:$F$361=J80)*(成型機資料庫!$G$332:$G$361=K80)),成型機資料庫!$I$332:$I$361),0)</f>
        <v>0</v>
      </c>
      <c r="U80" s="944">
        <f>IFERROR(LOOKUP(1,0/((成型機資料庫!$F$332:$F$361=J80)*(成型機資料庫!$G$332:$G$361=K80)),成型機資料庫!$J$332:$J$361),0)</f>
        <v>0</v>
      </c>
      <c r="V80" s="900">
        <f>IFERROR(LOOKUP(1,0/((成型機資料庫!$F$332:$F$361=J80)*(成型機資料庫!$G$332:$G$361=K80)),成型機資料庫!$L$332:$L$361),0)</f>
        <v>0</v>
      </c>
      <c r="W80" s="898">
        <f t="shared" si="12"/>
        <v>0</v>
      </c>
      <c r="X80" s="923">
        <f t="shared" si="15"/>
        <v>0</v>
      </c>
      <c r="Y80" s="898">
        <f t="shared" si="16"/>
        <v>0</v>
      </c>
      <c r="Z80" s="923"/>
      <c r="AA80" s="478">
        <f t="shared" si="13"/>
        <v>0</v>
      </c>
      <c r="AB80" s="438"/>
      <c r="AC80" s="482"/>
      <c r="AD80" s="464"/>
      <c r="AE80" s="438"/>
      <c r="AF80" s="438"/>
    </row>
    <row r="81" spans="1:32" s="433" customFormat="1" ht="15.75">
      <c r="A81" s="434">
        <v>113</v>
      </c>
      <c r="B81" s="581"/>
      <c r="C81" s="581">
        <v>28</v>
      </c>
      <c r="D81" s="581"/>
      <c r="E81" s="581" t="s">
        <v>43</v>
      </c>
      <c r="F81" s="435" t="s">
        <v>42</v>
      </c>
      <c r="G81" s="926"/>
      <c r="H81" s="464"/>
      <c r="I81" s="429"/>
      <c r="J81" s="429"/>
      <c r="K81" s="429"/>
      <c r="L81" s="464"/>
      <c r="M81" s="464"/>
      <c r="N81" s="900">
        <f t="shared" si="14"/>
        <v>0</v>
      </c>
      <c r="O81" s="901">
        <f t="shared" si="9"/>
        <v>0</v>
      </c>
      <c r="P81" s="460"/>
      <c r="Q81" s="438">
        <f>IFERROR(LOOKUP(1,0/((成型機資料庫!$F$332:$F$361=J81)*(成型機資料庫!$G$332:$G$361=K81)),成型機資料庫!$K$332:$K$361),0)</f>
        <v>0</v>
      </c>
      <c r="R81" s="899">
        <f t="shared" si="10"/>
        <v>0</v>
      </c>
      <c r="S81" s="898">
        <f t="shared" si="11"/>
        <v>0</v>
      </c>
      <c r="T81" s="923">
        <f>IFERROR(LOOKUP(1,0/((成型機資料庫!$F$332:$F$361=J81)*(成型機資料庫!$G$332:$G$361=K81)),成型機資料庫!$I$332:$I$361),0)</f>
        <v>0</v>
      </c>
      <c r="U81" s="944">
        <f>IFERROR(LOOKUP(1,0/((成型機資料庫!$F$332:$F$361=J81)*(成型機資料庫!$G$332:$G$361=K81)),成型機資料庫!$J$332:$J$361),0)</f>
        <v>0</v>
      </c>
      <c r="V81" s="900">
        <f>IFERROR(LOOKUP(1,0/((成型機資料庫!$F$332:$F$361=J81)*(成型機資料庫!$G$332:$G$361=K81)),成型機資料庫!$L$332:$L$361),0)</f>
        <v>0</v>
      </c>
      <c r="W81" s="898">
        <f t="shared" si="12"/>
        <v>0</v>
      </c>
      <c r="X81" s="923">
        <f t="shared" si="15"/>
        <v>0</v>
      </c>
      <c r="Y81" s="898">
        <f t="shared" si="16"/>
        <v>0</v>
      </c>
      <c r="Z81" s="923"/>
      <c r="AA81" s="478">
        <f t="shared" si="13"/>
        <v>0</v>
      </c>
      <c r="AB81" s="438"/>
      <c r="AC81" s="482"/>
      <c r="AD81" s="464"/>
      <c r="AE81" s="438"/>
      <c r="AF81" s="438"/>
    </row>
    <row r="82" spans="1:32" s="433" customFormat="1" ht="15.75">
      <c r="A82" s="434">
        <v>113</v>
      </c>
      <c r="B82" s="581"/>
      <c r="C82" s="581">
        <v>29</v>
      </c>
      <c r="D82" s="581"/>
      <c r="E82" s="581" t="s">
        <v>43</v>
      </c>
      <c r="F82" s="435" t="s">
        <v>42</v>
      </c>
      <c r="G82" s="926"/>
      <c r="H82" s="464"/>
      <c r="I82" s="429"/>
      <c r="J82" s="429"/>
      <c r="K82" s="429"/>
      <c r="L82" s="464"/>
      <c r="M82" s="464"/>
      <c r="N82" s="900">
        <f t="shared" si="14"/>
        <v>0</v>
      </c>
      <c r="O82" s="901">
        <f t="shared" si="9"/>
        <v>0</v>
      </c>
      <c r="P82" s="460"/>
      <c r="Q82" s="438">
        <f>IFERROR(LOOKUP(1,0/((成型機資料庫!$F$332:$F$361=J82)*(成型機資料庫!$G$332:$G$361=K82)),成型機資料庫!$K$332:$K$361),0)</f>
        <v>0</v>
      </c>
      <c r="R82" s="899">
        <f t="shared" si="10"/>
        <v>0</v>
      </c>
      <c r="S82" s="898">
        <f t="shared" si="11"/>
        <v>0</v>
      </c>
      <c r="T82" s="923">
        <f>IFERROR(LOOKUP(1,0/((成型機資料庫!$F$332:$F$361=J82)*(成型機資料庫!$G$332:$G$361=K82)),成型機資料庫!$I$332:$I$361),0)</f>
        <v>0</v>
      </c>
      <c r="U82" s="944">
        <f>IFERROR(LOOKUP(1,0/((成型機資料庫!$F$332:$F$361=J82)*(成型機資料庫!$G$332:$G$361=K82)),成型機資料庫!$J$332:$J$361),0)</f>
        <v>0</v>
      </c>
      <c r="V82" s="900">
        <f>IFERROR(LOOKUP(1,0/((成型機資料庫!$F$332:$F$361=J82)*(成型機資料庫!$G$332:$G$361=K82)),成型機資料庫!$L$332:$L$361),0)</f>
        <v>0</v>
      </c>
      <c r="W82" s="898">
        <f t="shared" si="12"/>
        <v>0</v>
      </c>
      <c r="X82" s="923">
        <f t="shared" si="15"/>
        <v>0</v>
      </c>
      <c r="Y82" s="898">
        <f t="shared" si="16"/>
        <v>0</v>
      </c>
      <c r="Z82" s="923"/>
      <c r="AA82" s="478">
        <f t="shared" si="13"/>
        <v>0</v>
      </c>
      <c r="AB82" s="438"/>
      <c r="AC82" s="482"/>
      <c r="AD82" s="464"/>
      <c r="AE82" s="464"/>
      <c r="AF82" s="438"/>
    </row>
    <row r="83" spans="1:32" s="433" customFormat="1" ht="15.75">
      <c r="A83" s="434">
        <v>113</v>
      </c>
      <c r="B83" s="581"/>
      <c r="C83" s="581">
        <v>30</v>
      </c>
      <c r="D83" s="581"/>
      <c r="E83" s="581" t="s">
        <v>43</v>
      </c>
      <c r="F83" s="435" t="s">
        <v>42</v>
      </c>
      <c r="G83" s="926"/>
      <c r="H83" s="464"/>
      <c r="I83" s="429"/>
      <c r="J83" s="429"/>
      <c r="K83" s="429"/>
      <c r="L83" s="464"/>
      <c r="M83" s="464"/>
      <c r="N83" s="900">
        <f t="shared" si="14"/>
        <v>0</v>
      </c>
      <c r="O83" s="901">
        <f t="shared" si="9"/>
        <v>0</v>
      </c>
      <c r="P83" s="460"/>
      <c r="Q83" s="438">
        <f>IFERROR(LOOKUP(1,0/((成型機資料庫!$F$332:$F$361=J83)*(成型機資料庫!$G$332:$G$361=K83)),成型機資料庫!$K$332:$K$361),0)</f>
        <v>0</v>
      </c>
      <c r="R83" s="899">
        <f t="shared" si="10"/>
        <v>0</v>
      </c>
      <c r="S83" s="898">
        <f t="shared" si="11"/>
        <v>0</v>
      </c>
      <c r="T83" s="923">
        <f>IFERROR(LOOKUP(1,0/((成型機資料庫!$F$332:$F$361=J83)*(成型機資料庫!$G$332:$G$361=K83)),成型機資料庫!$I$332:$I$361),0)</f>
        <v>0</v>
      </c>
      <c r="U83" s="944">
        <f>IFERROR(LOOKUP(1,0/((成型機資料庫!$F$332:$F$361=J83)*(成型機資料庫!$G$332:$G$361=K83)),成型機資料庫!$J$332:$J$361),0)</f>
        <v>0</v>
      </c>
      <c r="V83" s="900">
        <f>IFERROR(LOOKUP(1,0/((成型機資料庫!$F$332:$F$361=J83)*(成型機資料庫!$G$332:$G$361=K83)),成型機資料庫!$L$332:$L$361),0)</f>
        <v>0</v>
      </c>
      <c r="W83" s="898">
        <f t="shared" si="12"/>
        <v>0</v>
      </c>
      <c r="X83" s="923">
        <f t="shared" si="15"/>
        <v>0</v>
      </c>
      <c r="Y83" s="898">
        <f t="shared" si="16"/>
        <v>0</v>
      </c>
      <c r="Z83" s="923"/>
      <c r="AA83" s="478">
        <f t="shared" si="13"/>
        <v>0</v>
      </c>
      <c r="AB83" s="438"/>
      <c r="AC83" s="482"/>
      <c r="AD83" s="464"/>
      <c r="AE83" s="438"/>
      <c r="AF83" s="438"/>
    </row>
    <row r="84" spans="1:32" s="433" customFormat="1" ht="15.75">
      <c r="A84" s="446"/>
      <c r="B84" s="456"/>
      <c r="C84" s="456"/>
      <c r="D84" s="456"/>
      <c r="E84" s="456"/>
      <c r="F84" s="448"/>
      <c r="G84" s="951"/>
      <c r="H84" s="452"/>
      <c r="I84" s="430"/>
      <c r="J84" s="469"/>
      <c r="K84" s="469"/>
      <c r="L84" s="452"/>
      <c r="M84" s="452"/>
      <c r="N84" s="945"/>
      <c r="O84" s="946"/>
      <c r="P84" s="868"/>
      <c r="Q84" s="467"/>
      <c r="R84" s="948"/>
      <c r="S84" s="936"/>
      <c r="T84" s="936"/>
      <c r="U84" s="936"/>
      <c r="V84" s="945"/>
      <c r="W84" s="936"/>
      <c r="X84" s="947"/>
      <c r="Y84" s="936"/>
      <c r="Z84" s="947"/>
      <c r="AA84" s="488"/>
      <c r="AB84" s="439"/>
      <c r="AC84" s="471"/>
      <c r="AD84" s="452"/>
      <c r="AE84" s="439"/>
      <c r="AF84" s="439"/>
    </row>
    <row r="85" spans="1:32" s="433" customFormat="1" ht="15.75">
      <c r="A85" s="446"/>
      <c r="B85" s="456"/>
      <c r="C85" s="456"/>
      <c r="D85" s="456"/>
      <c r="E85" s="456"/>
      <c r="F85" s="448"/>
      <c r="G85" s="951"/>
      <c r="H85" s="452"/>
      <c r="I85" s="430"/>
      <c r="J85" s="469"/>
      <c r="K85" s="469"/>
      <c r="L85" s="452"/>
      <c r="M85" s="452"/>
      <c r="N85" s="945"/>
      <c r="O85" s="946"/>
      <c r="P85" s="868"/>
      <c r="Q85" s="467"/>
      <c r="R85" s="948"/>
      <c r="S85" s="936"/>
      <c r="T85" s="936"/>
      <c r="U85" s="936"/>
      <c r="V85" s="945"/>
      <c r="W85" s="936"/>
      <c r="X85" s="947"/>
      <c r="Y85" s="936"/>
      <c r="Z85" s="947"/>
      <c r="AA85" s="488"/>
      <c r="AB85" s="439"/>
      <c r="AC85" s="471"/>
      <c r="AD85" s="452"/>
      <c r="AE85" s="439"/>
      <c r="AF85" s="439"/>
    </row>
    <row r="86" spans="1:32" s="433" customFormat="1" thickBot="1">
      <c r="A86" s="446"/>
      <c r="B86" s="446"/>
      <c r="C86" s="446"/>
      <c r="D86" s="446"/>
      <c r="E86" s="446"/>
      <c r="F86" s="448"/>
      <c r="G86" s="448"/>
      <c r="H86" s="430"/>
      <c r="I86" s="430"/>
      <c r="J86" s="430"/>
      <c r="K86" s="430"/>
      <c r="L86" s="439"/>
      <c r="M86" s="452"/>
      <c r="N86" s="452"/>
      <c r="O86" s="457"/>
      <c r="P86" s="466"/>
      <c r="Q86" s="467"/>
      <c r="R86" s="486"/>
      <c r="S86" s="457"/>
      <c r="T86" s="457"/>
      <c r="U86" s="457"/>
      <c r="V86" s="458"/>
      <c r="W86" s="487">
        <f>SUM(W54:W83)</f>
        <v>0</v>
      </c>
      <c r="X86" s="487"/>
      <c r="Y86" s="487"/>
      <c r="Z86" s="487"/>
      <c r="AA86" s="488"/>
      <c r="AB86" s="489"/>
      <c r="AC86" s="489"/>
      <c r="AD86" s="469" t="s">
        <v>46</v>
      </c>
      <c r="AE86" s="439"/>
      <c r="AF86" s="439"/>
    </row>
    <row r="87" spans="1:32" s="469" customFormat="1" ht="31.5">
      <c r="A87" s="479"/>
      <c r="B87" s="479"/>
      <c r="C87" s="479"/>
      <c r="D87" s="479"/>
      <c r="E87" s="479"/>
      <c r="F87" s="452"/>
      <c r="G87" s="524" t="s">
        <v>503</v>
      </c>
      <c r="H87" s="517"/>
      <c r="I87" s="518"/>
      <c r="L87" s="1842" t="s">
        <v>1349</v>
      </c>
      <c r="M87" s="525" t="s">
        <v>1294</v>
      </c>
      <c r="N87" s="525" t="s">
        <v>1295</v>
      </c>
      <c r="O87" s="526" t="s">
        <v>458</v>
      </c>
      <c r="P87" s="520"/>
      <c r="Q87" s="521"/>
      <c r="R87" s="524" t="s">
        <v>504</v>
      </c>
      <c r="S87" s="524" t="s">
        <v>455</v>
      </c>
      <c r="T87" s="521"/>
      <c r="U87" s="521"/>
      <c r="V87" s="524" t="s">
        <v>1293</v>
      </c>
      <c r="W87" s="524" t="s">
        <v>459</v>
      </c>
      <c r="X87" s="521"/>
      <c r="Y87" s="524" t="s">
        <v>1345</v>
      </c>
      <c r="Z87" s="524" t="s">
        <v>1350</v>
      </c>
      <c r="AA87" s="524" t="s">
        <v>1351</v>
      </c>
      <c r="AB87" s="524" t="s">
        <v>1353</v>
      </c>
      <c r="AC87" s="524" t="s">
        <v>1352</v>
      </c>
      <c r="AD87" s="469" t="s">
        <v>253</v>
      </c>
      <c r="AE87" s="452"/>
      <c r="AF87" s="452"/>
    </row>
    <row r="88" spans="1:32" thickBot="1">
      <c r="G88" s="522">
        <f>SUM(G54:G83)</f>
        <v>0</v>
      </c>
      <c r="I88" s="431"/>
      <c r="J88" s="518"/>
      <c r="K88" s="518"/>
      <c r="L88" s="1843"/>
      <c r="M88" s="522">
        <f>SUM(M54:M83)</f>
        <v>0</v>
      </c>
      <c r="N88" s="522">
        <f>SUM(N54:N83)</f>
        <v>0</v>
      </c>
      <c r="O88" s="902">
        <f>SUM(O54:O83)</f>
        <v>0</v>
      </c>
      <c r="P88" s="470"/>
      <c r="R88" s="924">
        <f>SUM(R54:R83)</f>
        <v>0</v>
      </c>
      <c r="S88" s="897" t="e">
        <f>(G88-R88)/G88</f>
        <v>#DIV/0!</v>
      </c>
      <c r="T88" s="446"/>
      <c r="U88" s="446"/>
      <c r="V88" s="686" t="e">
        <f>N88/W88</f>
        <v>#DIV/0!</v>
      </c>
      <c r="W88" s="516" t="e">
        <f>W86/Y88</f>
        <v>#DIV/0!</v>
      </c>
      <c r="X88" s="446"/>
      <c r="Y88" s="516"/>
      <c r="Z88" s="958">
        <f>SUM(Z54:Z83)</f>
        <v>0</v>
      </c>
      <c r="AA88" s="516">
        <f>SUM(AA54:AA83)</f>
        <v>0</v>
      </c>
      <c r="AB88" s="516">
        <f>Z88-AA88</f>
        <v>0</v>
      </c>
      <c r="AC88" s="896" t="e">
        <f>AA88/Z88</f>
        <v>#DIV/0!</v>
      </c>
    </row>
    <row r="89" spans="1:32">
      <c r="O89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AF52:AF53"/>
    <mergeCell ref="L87:L88"/>
    <mergeCell ref="X52:X53"/>
    <mergeCell ref="Y52:Y53"/>
    <mergeCell ref="Z52:Z53"/>
    <mergeCell ref="AA52:AA53"/>
    <mergeCell ref="AB52:AC52"/>
    <mergeCell ref="AD52:AD53"/>
    <mergeCell ref="R52:R53"/>
    <mergeCell ref="S52:S53"/>
    <mergeCell ref="T52:T53"/>
    <mergeCell ref="U52:U53"/>
    <mergeCell ref="V52:V53"/>
    <mergeCell ref="W52:W53"/>
    <mergeCell ref="L52:L53"/>
    <mergeCell ref="P52:P53"/>
    <mergeCell ref="AE2:AE3"/>
    <mergeCell ref="M52:M53"/>
    <mergeCell ref="N52:N53"/>
    <mergeCell ref="O52:O53"/>
    <mergeCell ref="Q52:Q53"/>
    <mergeCell ref="AE52:AE53"/>
    <mergeCell ref="AF2:AF3"/>
    <mergeCell ref="L48:L49"/>
    <mergeCell ref="V2:V3"/>
    <mergeCell ref="W2:W3"/>
    <mergeCell ref="X2:X3"/>
    <mergeCell ref="Y2:Y3"/>
    <mergeCell ref="Z2:Z3"/>
    <mergeCell ref="AA2:AA3"/>
    <mergeCell ref="P2:P3"/>
    <mergeCell ref="Q2:Q3"/>
    <mergeCell ref="R2:R3"/>
    <mergeCell ref="S2:S3"/>
    <mergeCell ref="N2:N3"/>
    <mergeCell ref="O2:O3"/>
    <mergeCell ref="AB2:AC2"/>
    <mergeCell ref="AD2:AD3"/>
    <mergeCell ref="A52:A53"/>
    <mergeCell ref="B52:B53"/>
    <mergeCell ref="C52:C53"/>
    <mergeCell ref="D52:D53"/>
    <mergeCell ref="E52:E53"/>
    <mergeCell ref="K52:K53"/>
    <mergeCell ref="F52:F53"/>
    <mergeCell ref="G52:G53"/>
    <mergeCell ref="H52:H53"/>
    <mergeCell ref="I52:I53"/>
    <mergeCell ref="J52:J53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T2:T3"/>
    <mergeCell ref="U2:U3"/>
    <mergeCell ref="J2:J3"/>
    <mergeCell ref="K2:K3"/>
    <mergeCell ref="L2:L3"/>
    <mergeCell ref="M2:M3"/>
  </mergeCells>
  <phoneticPr fontId="26" type="noConversion"/>
  <conditionalFormatting sqref="G1:G65535">
    <cfRule type="cellIs" dxfId="266" priority="1" stopIfTrue="1" operator="equal">
      <formula>"未開機"</formula>
    </cfRule>
  </conditionalFormatting>
  <conditionalFormatting sqref="R54:U85 Z54:Z85">
    <cfRule type="expression" dxfId="265" priority="18" stopIfTrue="1">
      <formula>R54=0</formula>
    </cfRule>
  </conditionalFormatting>
  <conditionalFormatting sqref="W15:W46">
    <cfRule type="expression" dxfId="264" priority="30" stopIfTrue="1">
      <formula>W15=0</formula>
    </cfRule>
    <cfRule type="expression" dxfId="263" priority="34" stopIfTrue="1">
      <formula>W15=0</formula>
    </cfRule>
    <cfRule type="cellIs" dxfId="262" priority="33" stopIfTrue="1" operator="between">
      <formula>0.7</formula>
      <formula>0.85</formula>
    </cfRule>
    <cfRule type="cellIs" dxfId="261" priority="32" stopIfTrue="1" operator="between">
      <formula>0.851</formula>
      <formula>1</formula>
    </cfRule>
    <cfRule type="cellIs" dxfId="260" priority="31" stopIfTrue="1" operator="lessThan">
      <formula>0.7</formula>
    </cfRule>
  </conditionalFormatting>
  <conditionalFormatting sqref="W54:W85">
    <cfRule type="expression" dxfId="259" priority="13" stopIfTrue="1">
      <formula>W54=0</formula>
    </cfRule>
    <cfRule type="cellIs" dxfId="258" priority="14" stopIfTrue="1" operator="lessThan">
      <formula>0.7</formula>
    </cfRule>
    <cfRule type="cellIs" dxfId="257" priority="15" stopIfTrue="1" operator="between">
      <formula>0.851</formula>
      <formula>1</formula>
    </cfRule>
    <cfRule type="cellIs" dxfId="256" priority="16" stopIfTrue="1" operator="between">
      <formula>0.7</formula>
      <formula>0.85</formula>
    </cfRule>
    <cfRule type="expression" dxfId="255" priority="17" stopIfTrue="1">
      <formula>W54=0</formula>
    </cfRule>
  </conditionalFormatting>
  <conditionalFormatting sqref="W4:Y13 S4:U4 S5:T11 U5:U44 S12:S13 T12:T44 R15:S44 Z15:Z46 R45:U46">
    <cfRule type="expression" dxfId="254" priority="39" stopIfTrue="1">
      <formula>R4=0</formula>
    </cfRule>
  </conditionalFormatting>
  <conditionalFormatting sqref="W4:Y13">
    <cfRule type="expression" dxfId="253" priority="35" stopIfTrue="1">
      <formula>W4=0</formula>
    </cfRule>
    <cfRule type="cellIs" dxfId="252" priority="36" stopIfTrue="1" operator="lessThan">
      <formula>0.7</formula>
    </cfRule>
    <cfRule type="cellIs" dxfId="251" priority="37" stopIfTrue="1" operator="between">
      <formula>0.851</formula>
      <formula>1</formula>
    </cfRule>
    <cfRule type="cellIs" dxfId="250" priority="38" stopIfTrue="1" operator="between">
      <formula>0.7</formula>
      <formula>0.85</formula>
    </cfRule>
  </conditionalFormatting>
  <conditionalFormatting sqref="X16:X46">
    <cfRule type="cellIs" dxfId="249" priority="21" stopIfTrue="1" operator="between">
      <formula>0.851</formula>
      <formula>1</formula>
    </cfRule>
    <cfRule type="cellIs" dxfId="248" priority="22" stopIfTrue="1" operator="between">
      <formula>0.7</formula>
      <formula>0.85</formula>
    </cfRule>
    <cfRule type="expression" dxfId="247" priority="23" stopIfTrue="1">
      <formula>X16=0</formula>
    </cfRule>
    <cfRule type="expression" dxfId="246" priority="19" stopIfTrue="1">
      <formula>X16=0</formula>
    </cfRule>
    <cfRule type="cellIs" dxfId="245" priority="20" stopIfTrue="1" operator="lessThan">
      <formula>0.7</formula>
    </cfRule>
  </conditionalFormatting>
  <conditionalFormatting sqref="X55:X85">
    <cfRule type="expression" dxfId="244" priority="2" stopIfTrue="1">
      <formula>X55=0</formula>
    </cfRule>
    <cfRule type="cellIs" dxfId="243" priority="3" stopIfTrue="1" operator="lessThan">
      <formula>0.7</formula>
    </cfRule>
    <cfRule type="cellIs" dxfId="242" priority="4" stopIfTrue="1" operator="between">
      <formula>0.851</formula>
      <formula>1</formula>
    </cfRule>
    <cfRule type="cellIs" dxfId="241" priority="5" stopIfTrue="1" operator="between">
      <formula>0.7</formula>
      <formula>0.85</formula>
    </cfRule>
    <cfRule type="expression" dxfId="240" priority="6" stopIfTrue="1">
      <formula>X55=0</formula>
    </cfRule>
  </conditionalFormatting>
  <conditionalFormatting sqref="X15:Y15 Y16:Y46">
    <cfRule type="expression" dxfId="239" priority="25" stopIfTrue="1">
      <formula>X15=0</formula>
    </cfRule>
    <cfRule type="cellIs" dxfId="238" priority="26" stopIfTrue="1" operator="lessThan">
      <formula>0.7</formula>
    </cfRule>
    <cfRule type="cellIs" dxfId="237" priority="27" stopIfTrue="1" operator="between">
      <formula>0.851</formula>
      <formula>1</formula>
    </cfRule>
    <cfRule type="cellIs" dxfId="236" priority="28" stopIfTrue="1" operator="between">
      <formula>0.7</formula>
      <formula>0.85</formula>
    </cfRule>
    <cfRule type="expression" dxfId="235" priority="29" stopIfTrue="1">
      <formula>X15=0</formula>
    </cfRule>
  </conditionalFormatting>
  <conditionalFormatting sqref="X54:Y54 Y55:Y85">
    <cfRule type="expression" dxfId="234" priority="8" stopIfTrue="1">
      <formula>X54=0</formula>
    </cfRule>
    <cfRule type="expression" dxfId="233" priority="12" stopIfTrue="1">
      <formula>X54=0</formula>
    </cfRule>
    <cfRule type="cellIs" dxfId="232" priority="11" stopIfTrue="1" operator="between">
      <formula>0.7</formula>
      <formula>0.85</formula>
    </cfRule>
    <cfRule type="cellIs" dxfId="231" priority="10" stopIfTrue="1" operator="between">
      <formula>0.851</formula>
      <formula>1</formula>
    </cfRule>
    <cfRule type="cellIs" dxfId="230" priority="9" stopIfTrue="1" operator="lessThan">
      <formula>0.7</formula>
    </cfRule>
  </conditionalFormatting>
  <conditionalFormatting sqref="Y15:Y46">
    <cfRule type="cellIs" dxfId="229" priority="24" stopIfTrue="1" operator="greaterThan">
      <formula>1</formula>
    </cfRule>
  </conditionalFormatting>
  <conditionalFormatting sqref="Y54:Y85">
    <cfRule type="cellIs" dxfId="228" priority="7" stopIfTrue="1" operator="greaterThan">
      <formula>1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3D6A42-44CA-462B-9B78-B151A6C87382}">
          <x14:formula1>
            <xm:f>規格清單!$G$42:$G$51</xm:f>
          </x14:formula1>
          <xm:sqref>J4:J44 J54:J83</xm:sqref>
        </x14:dataValidation>
        <x14:dataValidation type="list" allowBlank="1" showInputMessage="1" showErrorMessage="1" xr:uid="{27EB9168-47DB-4F95-A7D3-9C18F3335AE5}">
          <x14:formula1>
            <xm:f>成型機資料庫!$A$9:$A$11</xm:f>
          </x14:formula1>
          <xm:sqref>K4:K44 K54:K83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D83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1354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996</v>
      </c>
      <c r="I4" s="429" t="s">
        <v>1288</v>
      </c>
      <c r="J4" s="429" t="s">
        <v>1401</v>
      </c>
      <c r="K4" s="429" t="s">
        <v>1301</v>
      </c>
      <c r="L4" s="464">
        <v>750</v>
      </c>
      <c r="M4" s="464"/>
      <c r="N4" s="464"/>
      <c r="O4" s="443">
        <f>L4*M4</f>
        <v>0</v>
      </c>
      <c r="P4" s="461">
        <v>11.5</v>
      </c>
      <c r="Q4" s="438">
        <f>IFERROR(LOOKUP(1,0/((成型機資料庫!$F$362:$F$373=J4)*(成型機資料庫!$G$362:$G$373=K4)),成型機資料庫!$K$362:$K$373),0)</f>
        <v>1000</v>
      </c>
      <c r="R4" s="477">
        <f>M4*Q4*P4/1000</f>
        <v>0</v>
      </c>
      <c r="S4" s="898">
        <f>IFERROR((G4-R4)/G4,0)</f>
        <v>0</v>
      </c>
      <c r="T4" s="923">
        <f>IFERROR(LOOKUP(1,0/((成型機資料庫!$F$362:$F$373=J4)*(成型機資料庫!$G$362:$G$373=K4)),成型機資料庫!$I$362:$I$373),0)</f>
        <v>33</v>
      </c>
      <c r="U4" s="944">
        <f>IFERROR(LOOKUP(1,0/((成型機資料庫!$F$362:$F$373=J4)*(成型機資料庫!$G$362:$G$373=K4)),成型機資料庫!$J$362:$J$373),0)</f>
        <v>23.3</v>
      </c>
      <c r="V4" s="900">
        <f>IFERROR(LOOKUP(1,0/((成型機資料庫!$F$362:$F$373=J4)*(成型機資料庫!$G$362:$G$373=K4)),成型機資料庫!$L$362:$L$373),0)</f>
        <v>507.47399999999999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438</v>
      </c>
      <c r="I5" s="429" t="s">
        <v>490</v>
      </c>
      <c r="J5" s="429" t="s">
        <v>1402</v>
      </c>
      <c r="K5" s="429" t="s">
        <v>1301</v>
      </c>
      <c r="L5" s="464">
        <v>750</v>
      </c>
      <c r="M5" s="464"/>
      <c r="N5" s="464"/>
      <c r="O5" s="443">
        <f>L5*M5</f>
        <v>0</v>
      </c>
      <c r="P5" s="461">
        <v>13.9</v>
      </c>
      <c r="Q5" s="438">
        <f>IFERROR(LOOKUP(1,0/((成型機資料庫!$F$362:$F$373=J5)*(成型機資料庫!$G$362:$G$373=K5)),成型機資料庫!$K$362:$K$373),0)</f>
        <v>1000</v>
      </c>
      <c r="R5" s="477">
        <f>M5*Q5*P5/1000</f>
        <v>0</v>
      </c>
      <c r="S5" s="898">
        <f>IFERROR((G5-R5)/G5,0)</f>
        <v>0</v>
      </c>
      <c r="T5" s="923">
        <f>IFERROR(LOOKUP(1,0/((成型機資料庫!$F$362:$F$373=J5)*(成型機資料庫!$G$362:$G$373=K5)),成型機資料庫!$I$362:$I$373),0)</f>
        <v>33</v>
      </c>
      <c r="U5" s="944">
        <f>IFERROR(LOOKUP(1,0/((成型機資料庫!$F$362:$F$373=J5)*(成型機資料庫!$G$362:$G$373=K5)),成型機資料庫!$J$362:$J$373),0)</f>
        <v>23.3</v>
      </c>
      <c r="V5" s="900">
        <f>IFERROR(LOOKUP(1,0/((成型機資料庫!$F$362:$F$373=J5)*(成型機資料庫!$G$362:$G$373=K5)),成型機資料庫!$L$362:$L$373),0)</f>
        <v>507.47399999999999</v>
      </c>
      <c r="W5" s="898">
        <f>IFERROR(M5/V5,0)</f>
        <v>0</v>
      </c>
      <c r="X5" s="898"/>
      <c r="Y5" s="898"/>
      <c r="Z5" s="485"/>
      <c r="AA5" s="478">
        <f>AB5+AC5/60</f>
        <v>0</v>
      </c>
      <c r="AB5" s="438">
        <v>0</v>
      </c>
      <c r="AC5" s="482">
        <v>0</v>
      </c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438</v>
      </c>
      <c r="I6" s="429" t="s">
        <v>1289</v>
      </c>
      <c r="J6" s="429" t="s">
        <v>1403</v>
      </c>
      <c r="K6" s="429" t="s">
        <v>1301</v>
      </c>
      <c r="L6" s="464">
        <v>820</v>
      </c>
      <c r="M6" s="464"/>
      <c r="N6" s="464"/>
      <c r="O6" s="443">
        <f>L6*M6</f>
        <v>0</v>
      </c>
      <c r="P6" s="461">
        <v>15.1</v>
      </c>
      <c r="Q6" s="438">
        <f>IFERROR(LOOKUP(1,0/((成型機資料庫!$F$362:$F$373=J6)*(成型機資料庫!$G$362:$G$373=K6)),成型機資料庫!$K$362:$K$373),0)</f>
        <v>1000</v>
      </c>
      <c r="R6" s="477">
        <f>M6*Q6*P6/1000</f>
        <v>0</v>
      </c>
      <c r="S6" s="898">
        <f>IFERROR((G6-R6)/G6,0)</f>
        <v>0</v>
      </c>
      <c r="T6" s="923">
        <f>IFERROR(LOOKUP(1,0/((成型機資料庫!$F$362:$F$373=J6)*(成型機資料庫!$G$362:$G$373=K6)),成型機資料庫!$I$362:$I$373),0)</f>
        <v>33</v>
      </c>
      <c r="U6" s="944">
        <f>IFERROR(LOOKUP(1,0/((成型機資料庫!$F$362:$F$373=J6)*(成型機資料庫!$G$362:$G$373=K6)),成型機資料庫!$J$362:$J$373),0)</f>
        <v>23.3</v>
      </c>
      <c r="V6" s="900">
        <f>IFERROR(LOOKUP(1,0/((成型機資料庫!$F$362:$F$373=J6)*(成型機資料庫!$G$362:$G$373=K6)),成型機資料庫!$L$362:$L$373),0)</f>
        <v>507.47399999999999</v>
      </c>
      <c r="W6" s="898">
        <f>IFERROR(M6/V6,0)</f>
        <v>0</v>
      </c>
      <c r="X6" s="898"/>
      <c r="Y6" s="898"/>
      <c r="Z6" s="485"/>
      <c r="AA6" s="478">
        <f>AB6+AC6/60</f>
        <v>0</v>
      </c>
      <c r="AB6" s="438">
        <v>0</v>
      </c>
      <c r="AC6" s="482">
        <v>0</v>
      </c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438</v>
      </c>
      <c r="I7" s="429" t="s">
        <v>1287</v>
      </c>
      <c r="J7" s="429" t="s">
        <v>1404</v>
      </c>
      <c r="K7" s="429" t="s">
        <v>1301</v>
      </c>
      <c r="L7" s="464">
        <v>528</v>
      </c>
      <c r="M7" s="464"/>
      <c r="N7" s="464"/>
      <c r="O7" s="443">
        <f>L7*M7</f>
        <v>0</v>
      </c>
      <c r="P7" s="461">
        <v>16.3</v>
      </c>
      <c r="Q7" s="438">
        <f>IFERROR(LOOKUP(1,0/((成型機資料庫!$F$362:$F$373=J7)*(成型機資料庫!$G$362:$G$373=K7)),成型機資料庫!$K$362:$K$373),0)</f>
        <v>1000</v>
      </c>
      <c r="R7" s="477">
        <f>M7*Q7*P7/1000</f>
        <v>0</v>
      </c>
      <c r="S7" s="898">
        <f>IFERROR((G7-R7)/G7,0)</f>
        <v>0</v>
      </c>
      <c r="T7" s="923">
        <f>IFERROR(LOOKUP(1,0/((成型機資料庫!$F$362:$F$373=J7)*(成型機資料庫!$G$362:$G$373=K7)),成型機資料庫!$I$362:$I$373),0)</f>
        <v>33</v>
      </c>
      <c r="U7" s="944">
        <f>IFERROR(LOOKUP(1,0/((成型機資料庫!$F$362:$F$373=J7)*(成型機資料庫!$G$362:$G$373=K7)),成型機資料庫!$J$362:$J$373),0)</f>
        <v>23.3</v>
      </c>
      <c r="V7" s="900">
        <f>IFERROR(LOOKUP(1,0/((成型機資料庫!$F$362:$F$373=J7)*(成型機資料庫!$G$362:$G$373=K7)),成型機資料庫!$L$362:$L$373),0)</f>
        <v>507.47399999999999</v>
      </c>
      <c r="W7" s="898">
        <f>IFERROR(M7/V7,0)</f>
        <v>0</v>
      </c>
      <c r="X7" s="898"/>
      <c r="Y7" s="898"/>
      <c r="Z7" s="485"/>
      <c r="AA7" s="478">
        <f>AB7+AC7/60</f>
        <v>0</v>
      </c>
      <c r="AB7" s="438">
        <v>0</v>
      </c>
      <c r="AC7" s="482">
        <v>0</v>
      </c>
      <c r="AD7" s="536"/>
      <c r="AE7" s="438"/>
      <c r="AF7" s="438"/>
    </row>
    <row r="8" spans="1:56" s="439" customFormat="1" thickBot="1">
      <c r="A8" s="496"/>
      <c r="B8" s="496"/>
      <c r="C8" s="496"/>
      <c r="D8" s="496"/>
      <c r="E8" s="496"/>
      <c r="F8" s="497"/>
      <c r="G8" s="500"/>
      <c r="H8" s="500"/>
      <c r="I8" s="498"/>
      <c r="J8" s="498"/>
      <c r="K8" s="498"/>
      <c r="L8" s="500"/>
      <c r="M8" s="500"/>
      <c r="N8" s="500"/>
      <c r="O8" s="501"/>
      <c r="P8" s="528"/>
      <c r="Q8" s="499">
        <f>IFERROR(LOOKUP(1,0/((成型機資料庫!$F$362:$F$373=J8)*(成型機資料庫!$G$362:$G$373=K8)),成型機資料庫!$K$362:$K$373),0)</f>
        <v>0</v>
      </c>
      <c r="R8" s="502"/>
      <c r="S8" s="503"/>
      <c r="T8" s="989">
        <f>IFERROR(LOOKUP(1,0/((成型機資料庫!$F$362:$F$373=J8)*(成型機資料庫!$G$362:$G$373=K8)),成型機資料庫!$I$362:$I$373),0)</f>
        <v>0</v>
      </c>
      <c r="U8" s="990">
        <f>IFERROR(LOOKUP(1,0/((成型機資料庫!$F$362:$F$373=J8)*(成型機資料庫!$G$362:$G$373=K8)),成型機資料庫!$J$362:$J$373),0)</f>
        <v>0</v>
      </c>
      <c r="V8" s="991">
        <f>IFERROR(LOOKUP(1,0/((成型機資料庫!$F$362:$F$373=J8)*(成型機資料庫!$G$362:$G$373=K8)),成型機資料庫!$L$362:$L$373),0)</f>
        <v>0</v>
      </c>
      <c r="W8" s="507"/>
      <c r="X8" s="507"/>
      <c r="Y8" s="507"/>
      <c r="Z8" s="507"/>
      <c r="AA8" s="508"/>
      <c r="AB8" s="499"/>
      <c r="AC8" s="509"/>
      <c r="AD8" s="529"/>
      <c r="AE8" s="499"/>
      <c r="AF8" s="499"/>
    </row>
    <row r="9" spans="1:56" s="433" customFormat="1" ht="15.75">
      <c r="A9" s="935">
        <v>113</v>
      </c>
      <c r="B9" s="935"/>
      <c r="C9" s="935">
        <v>1</v>
      </c>
      <c r="D9" s="889"/>
      <c r="E9" s="889" t="s">
        <v>0</v>
      </c>
      <c r="F9" s="963" t="s">
        <v>42</v>
      </c>
      <c r="G9" s="999"/>
      <c r="H9" s="532"/>
      <c r="I9" s="964"/>
      <c r="J9" s="964"/>
      <c r="K9" s="964"/>
      <c r="L9" s="532"/>
      <c r="M9" s="532"/>
      <c r="N9" s="927">
        <f>M9*Q9</f>
        <v>0</v>
      </c>
      <c r="O9" s="995">
        <f t="shared" ref="O9:O38" si="0">L9*M9</f>
        <v>0</v>
      </c>
      <c r="P9" s="1000"/>
      <c r="Q9" s="480">
        <f>IFERROR(LOOKUP(1,0/((成型機資料庫!$F$362:$F$373=J9)*(成型機資料庫!$G$362:$G$373=K9)),成型機資料庫!$K$362:$K$373),0)</f>
        <v>0</v>
      </c>
      <c r="R9" s="997">
        <f t="shared" ref="R9:R38" si="1">M9*Q9*P9/1000</f>
        <v>0</v>
      </c>
      <c r="S9" s="996">
        <f t="shared" ref="S9:S24" si="2">IFERROR((G9-R9)/G9,0)</f>
        <v>0</v>
      </c>
      <c r="T9" s="987">
        <f>IFERROR(LOOKUP(1,0/((成型機資料庫!$F$362:$F$373=J9)*(成型機資料庫!$G$362:$G$373=K9)),成型機資料庫!$I$362:$I$373),0)</f>
        <v>0</v>
      </c>
      <c r="U9" s="988">
        <f>IFERROR(LOOKUP(1,0/((成型機資料庫!$F$362:$F$373=J9)*(成型機資料庫!$G$362:$G$373=K9)),成型機資料庫!$J$362:$J$373),0)</f>
        <v>0</v>
      </c>
      <c r="V9" s="927">
        <f>IFERROR(LOOKUP(1,0/((成型機資料庫!$F$362:$F$373=J9)*(成型機資料庫!$G$362:$G$373=K9)),成型機資料庫!$L$362:$L$373),0)</f>
        <v>0</v>
      </c>
      <c r="W9" s="996">
        <f t="shared" ref="W9:W38" si="3">IFERROR(M9/V9,0)</f>
        <v>0</v>
      </c>
      <c r="X9" s="987">
        <f>IFERROR(T9*U9*60*AA9/Q9,0)</f>
        <v>0</v>
      </c>
      <c r="Y9" s="996">
        <f>IFERROR(M9/X9,0)</f>
        <v>0</v>
      </c>
      <c r="Z9" s="987"/>
      <c r="AA9" s="495">
        <f t="shared" ref="AA9:AA38" si="4">AB9+AC9/60</f>
        <v>0</v>
      </c>
      <c r="AB9" s="480"/>
      <c r="AC9" s="968"/>
      <c r="AD9" s="532"/>
      <c r="AE9" s="480"/>
      <c r="AF9" s="480"/>
    </row>
    <row r="10" spans="1:56" s="433" customFormat="1" ht="15.75">
      <c r="A10" s="434">
        <v>113</v>
      </c>
      <c r="B10" s="581"/>
      <c r="C10" s="581">
        <v>2</v>
      </c>
      <c r="D10" s="581"/>
      <c r="E10" s="581" t="s">
        <v>0</v>
      </c>
      <c r="F10" s="435" t="s">
        <v>42</v>
      </c>
      <c r="G10" s="926"/>
      <c r="H10" s="464"/>
      <c r="I10" s="429"/>
      <c r="J10" s="429"/>
      <c r="K10" s="429"/>
      <c r="L10" s="464"/>
      <c r="M10" s="464"/>
      <c r="N10" s="900">
        <f t="shared" ref="N10:N38" si="5">M10*Q10</f>
        <v>0</v>
      </c>
      <c r="O10" s="901">
        <f t="shared" si="0"/>
        <v>0</v>
      </c>
      <c r="P10" s="460"/>
      <c r="Q10" s="438">
        <f>IFERROR(LOOKUP(1,0/((成型機資料庫!$F$362:$F$373=J10)*(成型機資料庫!$G$362:$G$373=K10)),成型機資料庫!$K$362:$K$373),0)</f>
        <v>0</v>
      </c>
      <c r="R10" s="899">
        <f t="shared" si="1"/>
        <v>0</v>
      </c>
      <c r="S10" s="898">
        <f t="shared" si="2"/>
        <v>0</v>
      </c>
      <c r="T10" s="923">
        <f>IFERROR(LOOKUP(1,0/((成型機資料庫!$F$362:$F$373=J10)*(成型機資料庫!$G$362:$G$373=K10)),成型機資料庫!$I$362:$I$373),0)</f>
        <v>0</v>
      </c>
      <c r="U10" s="944">
        <f>IFERROR(LOOKUP(1,0/((成型機資料庫!$F$362:$F$373=J10)*(成型機資料庫!$G$362:$G$373=K10)),成型機資料庫!$J$362:$J$373),0)</f>
        <v>0</v>
      </c>
      <c r="V10" s="900">
        <f>IFERROR(LOOKUP(1,0/((成型機資料庫!$F$362:$F$373=J10)*(成型機資料庫!$G$362:$G$373=K10)),成型機資料庫!$L$362:$L$373),0)</f>
        <v>0</v>
      </c>
      <c r="W10" s="898">
        <f t="shared" si="3"/>
        <v>0</v>
      </c>
      <c r="X10" s="923">
        <f t="shared" ref="X10:X38" si="6">IFERROR(T10*U10*60*AA10/Q10,0)</f>
        <v>0</v>
      </c>
      <c r="Y10" s="898">
        <f t="shared" ref="Y10:Y38" si="7">IFERROR(M10/X10,0)</f>
        <v>0</v>
      </c>
      <c r="Z10" s="923"/>
      <c r="AA10" s="478">
        <f t="shared" si="4"/>
        <v>0</v>
      </c>
      <c r="AB10" s="438"/>
      <c r="AC10" s="482"/>
      <c r="AD10" s="464"/>
      <c r="AE10" s="438"/>
      <c r="AF10" s="438"/>
    </row>
    <row r="11" spans="1:56" s="433" customFormat="1" ht="15.75">
      <c r="A11" s="434">
        <v>113</v>
      </c>
      <c r="B11" s="581"/>
      <c r="C11" s="581">
        <v>3</v>
      </c>
      <c r="D11" s="581"/>
      <c r="E11" s="581" t="s">
        <v>0</v>
      </c>
      <c r="F11" s="435" t="s">
        <v>42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0"/>
        <v>0</v>
      </c>
      <c r="P11" s="460"/>
      <c r="Q11" s="438">
        <f>IFERROR(LOOKUP(1,0/((成型機資料庫!$F$362:$F$373=J11)*(成型機資料庫!$G$362:$G$373=K11)),成型機資料庫!$K$362:$K$373),0)</f>
        <v>0</v>
      </c>
      <c r="R11" s="899">
        <f t="shared" si="1"/>
        <v>0</v>
      </c>
      <c r="S11" s="898">
        <f t="shared" si="2"/>
        <v>0</v>
      </c>
      <c r="T11" s="923">
        <f>IFERROR(LOOKUP(1,0/((成型機資料庫!$F$362:$F$373=J11)*(成型機資料庫!$G$362:$G$373=K11)),成型機資料庫!$I$362:$I$373),0)</f>
        <v>0</v>
      </c>
      <c r="U11" s="944">
        <f>IFERROR(LOOKUP(1,0/((成型機資料庫!$F$362:$F$373=J11)*(成型機資料庫!$G$362:$G$373=K11)),成型機資料庫!$J$362:$J$373),0)</f>
        <v>0</v>
      </c>
      <c r="V11" s="900">
        <f>IFERROR(LOOKUP(1,0/((成型機資料庫!$F$362:$F$373=J11)*(成型機資料庫!$G$362:$G$373=K11)),成型機資料庫!$L$362:$L$373),0)</f>
        <v>0</v>
      </c>
      <c r="W11" s="898">
        <f t="shared" si="3"/>
        <v>0</v>
      </c>
      <c r="X11" s="923">
        <f t="shared" si="6"/>
        <v>0</v>
      </c>
      <c r="Y11" s="898">
        <f t="shared" si="7"/>
        <v>0</v>
      </c>
      <c r="Z11" s="923"/>
      <c r="AA11" s="478">
        <f t="shared" si="4"/>
        <v>0</v>
      </c>
      <c r="AB11" s="438"/>
      <c r="AC11" s="482"/>
      <c r="AD11" s="438"/>
      <c r="AE11" s="438"/>
      <c r="AF11" s="438"/>
    </row>
    <row r="12" spans="1:56" s="433" customFormat="1" ht="15.75">
      <c r="A12" s="434">
        <v>113</v>
      </c>
      <c r="B12" s="581"/>
      <c r="C12" s="581">
        <v>4</v>
      </c>
      <c r="D12" s="581"/>
      <c r="E12" s="581" t="s">
        <v>0</v>
      </c>
      <c r="F12" s="435" t="s">
        <v>42</v>
      </c>
      <c r="G12" s="926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0"/>
        <v>0</v>
      </c>
      <c r="P12" s="460"/>
      <c r="Q12" s="438">
        <f>IFERROR(LOOKUP(1,0/((成型機資料庫!$F$362:$F$373=J12)*(成型機資料庫!$G$362:$G$373=K12)),成型機資料庫!$K$362:$K$373),0)</f>
        <v>0</v>
      </c>
      <c r="R12" s="899">
        <f t="shared" si="1"/>
        <v>0</v>
      </c>
      <c r="S12" s="898">
        <f t="shared" si="2"/>
        <v>0</v>
      </c>
      <c r="T12" s="923">
        <f>IFERROR(LOOKUP(1,0/((成型機資料庫!$F$362:$F$373=J12)*(成型機資料庫!$G$362:$G$373=K12)),成型機資料庫!$I$362:$I$373),0)</f>
        <v>0</v>
      </c>
      <c r="U12" s="944">
        <f>IFERROR(LOOKUP(1,0/((成型機資料庫!$F$362:$F$373=J12)*(成型機資料庫!$G$362:$G$373=K12)),成型機資料庫!$J$362:$J$373),0)</f>
        <v>0</v>
      </c>
      <c r="V12" s="900">
        <f>IFERROR(LOOKUP(1,0/((成型機資料庫!$F$362:$F$373=J12)*(成型機資料庫!$G$362:$G$373=K12)),成型機資料庫!$L$362:$L$373),0)</f>
        <v>0</v>
      </c>
      <c r="W12" s="898">
        <f t="shared" si="3"/>
        <v>0</v>
      </c>
      <c r="X12" s="923">
        <f t="shared" si="6"/>
        <v>0</v>
      </c>
      <c r="Y12" s="898">
        <f t="shared" si="7"/>
        <v>0</v>
      </c>
      <c r="Z12" s="923"/>
      <c r="AA12" s="478">
        <f t="shared" si="4"/>
        <v>0</v>
      </c>
      <c r="AB12" s="438"/>
      <c r="AC12" s="482"/>
      <c r="AD12" s="438"/>
      <c r="AE12" s="464"/>
      <c r="AF12" s="438"/>
    </row>
    <row r="13" spans="1:56" s="433" customFormat="1" ht="15.75">
      <c r="A13" s="434">
        <v>113</v>
      </c>
      <c r="B13" s="581"/>
      <c r="C13" s="581">
        <v>5</v>
      </c>
      <c r="D13" s="581"/>
      <c r="E13" s="889" t="s">
        <v>0</v>
      </c>
      <c r="F13" s="435" t="s">
        <v>42</v>
      </c>
      <c r="G13" s="926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0"/>
        <v>0</v>
      </c>
      <c r="P13" s="460"/>
      <c r="Q13" s="438">
        <f>IFERROR(LOOKUP(1,0/((成型機資料庫!$F$362:$F$373=J13)*(成型機資料庫!$G$362:$G$373=K13)),成型機資料庫!$K$362:$K$373),0)</f>
        <v>0</v>
      </c>
      <c r="R13" s="899">
        <f t="shared" si="1"/>
        <v>0</v>
      </c>
      <c r="S13" s="898">
        <f t="shared" si="2"/>
        <v>0</v>
      </c>
      <c r="T13" s="923">
        <f>IFERROR(LOOKUP(1,0/((成型機資料庫!$F$362:$F$373=J13)*(成型機資料庫!$G$362:$G$373=K13)),成型機資料庫!$I$362:$I$373),0)</f>
        <v>0</v>
      </c>
      <c r="U13" s="944">
        <f>IFERROR(LOOKUP(1,0/((成型機資料庫!$F$362:$F$373=J13)*(成型機資料庫!$G$362:$G$373=K13)),成型機資料庫!$J$362:$J$373),0)</f>
        <v>0</v>
      </c>
      <c r="V13" s="900">
        <f>IFERROR(LOOKUP(1,0/((成型機資料庫!$F$362:$F$373=J13)*(成型機資料庫!$G$362:$G$373=K13)),成型機資料庫!$L$362:$L$373),0)</f>
        <v>0</v>
      </c>
      <c r="W13" s="898">
        <f t="shared" si="3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4"/>
        <v>0</v>
      </c>
      <c r="AB13" s="438"/>
      <c r="AC13" s="482"/>
      <c r="AD13" s="438"/>
      <c r="AE13" s="438"/>
      <c r="AF13" s="438"/>
    </row>
    <row r="14" spans="1:56" s="433" customFormat="1" ht="15.75">
      <c r="A14" s="434">
        <v>113</v>
      </c>
      <c r="B14" s="581"/>
      <c r="C14" s="581">
        <v>6</v>
      </c>
      <c r="D14" s="581"/>
      <c r="E14" s="889" t="s">
        <v>0</v>
      </c>
      <c r="F14" s="435" t="s">
        <v>42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0"/>
        <v>0</v>
      </c>
      <c r="P14" s="460"/>
      <c r="Q14" s="438">
        <f>IFERROR(LOOKUP(1,0/((成型機資料庫!$F$362:$F$373=J14)*(成型機資料庫!$G$362:$G$373=K14)),成型機資料庫!$K$362:$K$373),0)</f>
        <v>0</v>
      </c>
      <c r="R14" s="899">
        <f t="shared" si="1"/>
        <v>0</v>
      </c>
      <c r="S14" s="898">
        <f t="shared" si="2"/>
        <v>0</v>
      </c>
      <c r="T14" s="923">
        <f>IFERROR(LOOKUP(1,0/((成型機資料庫!$F$362:$F$373=J14)*(成型機資料庫!$G$362:$G$373=K14)),成型機資料庫!$I$362:$I$373),0)</f>
        <v>0</v>
      </c>
      <c r="U14" s="944">
        <f>IFERROR(LOOKUP(1,0/((成型機資料庫!$F$362:$F$373=J14)*(成型機資料庫!$G$362:$G$373=K14)),成型機資料庫!$J$362:$J$373),0)</f>
        <v>0</v>
      </c>
      <c r="V14" s="900">
        <f>IFERROR(LOOKUP(1,0/((成型機資料庫!$F$362:$F$373=J14)*(成型機資料庫!$G$362:$G$373=K14)),成型機資料庫!$L$362:$L$373),0)</f>
        <v>0</v>
      </c>
      <c r="W14" s="898">
        <f t="shared" si="3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4"/>
        <v>0</v>
      </c>
      <c r="AB14" s="438"/>
      <c r="AC14" s="482"/>
      <c r="AD14" s="879"/>
      <c r="AE14" s="438"/>
      <c r="AF14" s="438"/>
    </row>
    <row r="15" spans="1:56" s="433" customFormat="1" ht="15.75">
      <c r="A15" s="434">
        <v>113</v>
      </c>
      <c r="B15" s="581"/>
      <c r="C15" s="581">
        <v>7</v>
      </c>
      <c r="D15" s="581"/>
      <c r="E15" s="889" t="s">
        <v>0</v>
      </c>
      <c r="F15" s="435" t="s">
        <v>42</v>
      </c>
      <c r="G15" s="927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0"/>
        <v>0</v>
      </c>
      <c r="P15" s="460"/>
      <c r="Q15" s="438">
        <f>IFERROR(LOOKUP(1,0/((成型機資料庫!$F$362:$F$373=J15)*(成型機資料庫!$G$362:$G$373=K15)),成型機資料庫!$K$362:$K$373),0)</f>
        <v>0</v>
      </c>
      <c r="R15" s="899">
        <f t="shared" si="1"/>
        <v>0</v>
      </c>
      <c r="S15" s="898">
        <f t="shared" si="2"/>
        <v>0</v>
      </c>
      <c r="T15" s="923">
        <f>IFERROR(LOOKUP(1,0/((成型機資料庫!$F$362:$F$373=J15)*(成型機資料庫!$G$362:$G$373=K15)),成型機資料庫!$I$362:$I$373),0)</f>
        <v>0</v>
      </c>
      <c r="U15" s="944">
        <f>IFERROR(LOOKUP(1,0/((成型機資料庫!$F$362:$F$373=J15)*(成型機資料庫!$G$362:$G$373=K15)),成型機資料庫!$J$362:$J$373),0)</f>
        <v>0</v>
      </c>
      <c r="V15" s="900">
        <f>IFERROR(LOOKUP(1,0/((成型機資料庫!$F$362:$F$373=J15)*(成型機資料庫!$G$362:$G$373=K15)),成型機資料庫!$L$362:$L$373),0)</f>
        <v>0</v>
      </c>
      <c r="W15" s="898">
        <f t="shared" si="3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4"/>
        <v>0</v>
      </c>
      <c r="AB15" s="438"/>
      <c r="AC15" s="482"/>
      <c r="AD15" s="464"/>
      <c r="AE15" s="438"/>
      <c r="AF15" s="438"/>
    </row>
    <row r="16" spans="1:56" s="433" customFormat="1" ht="15.75">
      <c r="A16" s="434">
        <v>113</v>
      </c>
      <c r="B16" s="581"/>
      <c r="C16" s="581">
        <v>8</v>
      </c>
      <c r="D16" s="581"/>
      <c r="E16" s="889" t="s">
        <v>0</v>
      </c>
      <c r="F16" s="435" t="s">
        <v>42</v>
      </c>
      <c r="G16" s="927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0"/>
        <v>0</v>
      </c>
      <c r="P16" s="460"/>
      <c r="Q16" s="438">
        <f>IFERROR(LOOKUP(1,0/((成型機資料庫!$F$362:$F$373=J16)*(成型機資料庫!$G$362:$G$373=K16)),成型機資料庫!$K$362:$K$373),0)</f>
        <v>0</v>
      </c>
      <c r="R16" s="899">
        <f t="shared" si="1"/>
        <v>0</v>
      </c>
      <c r="S16" s="898">
        <f t="shared" si="2"/>
        <v>0</v>
      </c>
      <c r="T16" s="923">
        <f>IFERROR(LOOKUP(1,0/((成型機資料庫!$F$362:$F$373=J16)*(成型機資料庫!$G$362:$G$373=K16)),成型機資料庫!$I$362:$I$373),0)</f>
        <v>0</v>
      </c>
      <c r="U16" s="944">
        <f>IFERROR(LOOKUP(1,0/((成型機資料庫!$F$362:$F$373=J16)*(成型機資料庫!$G$362:$G$373=K16)),成型機資料庫!$J$362:$J$373),0)</f>
        <v>0</v>
      </c>
      <c r="V16" s="900">
        <f>IFERROR(LOOKUP(1,0/((成型機資料庫!$F$362:$F$373=J16)*(成型機資料庫!$G$362:$G$373=K16)),成型機資料庫!$L$362:$L$373),0)</f>
        <v>0</v>
      </c>
      <c r="W16" s="898">
        <f t="shared" si="3"/>
        <v>0</v>
      </c>
      <c r="X16" s="923">
        <f t="shared" si="6"/>
        <v>0</v>
      </c>
      <c r="Y16" s="898">
        <f t="shared" si="7"/>
        <v>0</v>
      </c>
      <c r="Z16" s="923"/>
      <c r="AA16" s="478">
        <f t="shared" si="4"/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9</v>
      </c>
      <c r="D17" s="581"/>
      <c r="E17" s="889" t="s">
        <v>0</v>
      </c>
      <c r="F17" s="435" t="s">
        <v>42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0"/>
        <v>0</v>
      </c>
      <c r="P17" s="460"/>
      <c r="Q17" s="438">
        <f>IFERROR(LOOKUP(1,0/((成型機資料庫!$F$362:$F$373=J17)*(成型機資料庫!$G$362:$G$373=K17)),成型機資料庫!$K$362:$K$373),0)</f>
        <v>0</v>
      </c>
      <c r="R17" s="899">
        <f t="shared" si="1"/>
        <v>0</v>
      </c>
      <c r="S17" s="898">
        <f t="shared" si="2"/>
        <v>0</v>
      </c>
      <c r="T17" s="923">
        <f>IFERROR(LOOKUP(1,0/((成型機資料庫!$F$362:$F$373=J17)*(成型機資料庫!$G$362:$G$373=K17)),成型機資料庫!$I$362:$I$373),0)</f>
        <v>0</v>
      </c>
      <c r="U17" s="944">
        <f>IFERROR(LOOKUP(1,0/((成型機資料庫!$F$362:$F$373=J17)*(成型機資料庫!$G$362:$G$373=K17)),成型機資料庫!$J$362:$J$373),0)</f>
        <v>0</v>
      </c>
      <c r="V17" s="900">
        <f>IFERROR(LOOKUP(1,0/((成型機資料庫!$F$362:$F$373=J17)*(成型機資料庫!$G$362:$G$373=K17)),成型機資料庫!$L$362:$L$373),0)</f>
        <v>0</v>
      </c>
      <c r="W17" s="898">
        <f t="shared" si="3"/>
        <v>0</v>
      </c>
      <c r="X17" s="923">
        <f t="shared" si="6"/>
        <v>0</v>
      </c>
      <c r="Y17" s="898">
        <f t="shared" si="7"/>
        <v>0</v>
      </c>
      <c r="Z17" s="923"/>
      <c r="AA17" s="478">
        <f t="shared" si="4"/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10</v>
      </c>
      <c r="D18" s="581"/>
      <c r="E18" s="889" t="s">
        <v>0</v>
      </c>
      <c r="F18" s="435" t="s">
        <v>42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0"/>
        <v>0</v>
      </c>
      <c r="P18" s="460"/>
      <c r="Q18" s="438">
        <f>IFERROR(LOOKUP(1,0/((成型機資料庫!$F$362:$F$373=J18)*(成型機資料庫!$G$362:$G$373=K18)),成型機資料庫!$K$362:$K$373),0)</f>
        <v>0</v>
      </c>
      <c r="R18" s="899">
        <f t="shared" si="1"/>
        <v>0</v>
      </c>
      <c r="S18" s="898">
        <f t="shared" si="2"/>
        <v>0</v>
      </c>
      <c r="T18" s="923">
        <f>IFERROR(LOOKUP(1,0/((成型機資料庫!$F$362:$F$373=J18)*(成型機資料庫!$G$362:$G$373=K18)),成型機資料庫!$I$362:$I$373),0)</f>
        <v>0</v>
      </c>
      <c r="U18" s="944">
        <f>IFERROR(LOOKUP(1,0/((成型機資料庫!$F$362:$F$373=J18)*(成型機資料庫!$G$362:$G$373=K18)),成型機資料庫!$J$362:$J$373),0)</f>
        <v>0</v>
      </c>
      <c r="V18" s="900">
        <f>IFERROR(LOOKUP(1,0/((成型機資料庫!$F$362:$F$373=J18)*(成型機資料庫!$G$362:$G$373=K18)),成型機資料庫!$L$362:$L$373),0)</f>
        <v>0</v>
      </c>
      <c r="W18" s="898">
        <f t="shared" si="3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4"/>
        <v>0</v>
      </c>
      <c r="AB18" s="438"/>
      <c r="AC18" s="482"/>
      <c r="AD18" s="438"/>
      <c r="AE18" s="438"/>
      <c r="AF18" s="438"/>
    </row>
    <row r="19" spans="1:32" s="433" customFormat="1" ht="15.75">
      <c r="A19" s="434">
        <v>113</v>
      </c>
      <c r="B19" s="581"/>
      <c r="C19" s="581">
        <v>11</v>
      </c>
      <c r="D19" s="581"/>
      <c r="E19" s="581" t="s">
        <v>0</v>
      </c>
      <c r="F19" s="435" t="s">
        <v>42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0"/>
        <v>0</v>
      </c>
      <c r="P19" s="460"/>
      <c r="Q19" s="438">
        <f>IFERROR(LOOKUP(1,0/((成型機資料庫!$F$362:$F$373=J19)*(成型機資料庫!$G$362:$G$373=K19)),成型機資料庫!$K$362:$K$373),0)</f>
        <v>0</v>
      </c>
      <c r="R19" s="899">
        <f t="shared" si="1"/>
        <v>0</v>
      </c>
      <c r="S19" s="898">
        <f t="shared" si="2"/>
        <v>0</v>
      </c>
      <c r="T19" s="923">
        <f>IFERROR(LOOKUP(1,0/((成型機資料庫!$F$362:$F$373=J19)*(成型機資料庫!$G$362:$G$373=K19)),成型機資料庫!$I$362:$I$373),0)</f>
        <v>0</v>
      </c>
      <c r="U19" s="944">
        <f>IFERROR(LOOKUP(1,0/((成型機資料庫!$F$362:$F$373=J19)*(成型機資料庫!$G$362:$G$373=K19)),成型機資料庫!$J$362:$J$373),0)</f>
        <v>0</v>
      </c>
      <c r="V19" s="900">
        <f>IFERROR(LOOKUP(1,0/((成型機資料庫!$F$362:$F$373=J19)*(成型機資料庫!$G$362:$G$373=K19)),成型機資料庫!$L$362:$L$373),0)</f>
        <v>0</v>
      </c>
      <c r="W19" s="898">
        <f t="shared" si="3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4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12</v>
      </c>
      <c r="D20" s="581"/>
      <c r="E20" s="889" t="s">
        <v>0</v>
      </c>
      <c r="F20" s="435" t="s">
        <v>42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0"/>
        <v>0</v>
      </c>
      <c r="P20" s="460"/>
      <c r="Q20" s="438">
        <f>IFERROR(LOOKUP(1,0/((成型機資料庫!$F$362:$F$373=J20)*(成型機資料庫!$G$362:$G$373=K20)),成型機資料庫!$K$362:$K$373),0)</f>
        <v>0</v>
      </c>
      <c r="R20" s="899">
        <f t="shared" si="1"/>
        <v>0</v>
      </c>
      <c r="S20" s="898">
        <f t="shared" si="2"/>
        <v>0</v>
      </c>
      <c r="T20" s="923">
        <f>IFERROR(LOOKUP(1,0/((成型機資料庫!$F$362:$F$373=J20)*(成型機資料庫!$G$362:$G$373=K20)),成型機資料庫!$I$362:$I$373),0)</f>
        <v>0</v>
      </c>
      <c r="U20" s="944">
        <f>IFERROR(LOOKUP(1,0/((成型機資料庫!$F$362:$F$373=J20)*(成型機資料庫!$G$362:$G$373=K20)),成型機資料庫!$J$362:$J$373),0)</f>
        <v>0</v>
      </c>
      <c r="V20" s="900">
        <f>IFERROR(LOOKUP(1,0/((成型機資料庫!$F$362:$F$373=J20)*(成型機資料庫!$G$362:$G$373=K20)),成型機資料庫!$L$362:$L$373),0)</f>
        <v>0</v>
      </c>
      <c r="W20" s="898">
        <f t="shared" si="3"/>
        <v>0</v>
      </c>
      <c r="X20" s="923">
        <f t="shared" si="6"/>
        <v>0</v>
      </c>
      <c r="Y20" s="898">
        <f t="shared" si="7"/>
        <v>0</v>
      </c>
      <c r="Z20" s="923"/>
      <c r="AA20" s="478">
        <f t="shared" si="4"/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13</v>
      </c>
      <c r="D21" s="581"/>
      <c r="E21" s="889" t="s">
        <v>0</v>
      </c>
      <c r="F21" s="435" t="s">
        <v>42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0"/>
        <v>0</v>
      </c>
      <c r="P21" s="460"/>
      <c r="Q21" s="438">
        <f>IFERROR(LOOKUP(1,0/((成型機資料庫!$F$362:$F$373=J21)*(成型機資料庫!$G$362:$G$373=K21)),成型機資料庫!$K$362:$K$373),0)</f>
        <v>0</v>
      </c>
      <c r="R21" s="899">
        <f t="shared" si="1"/>
        <v>0</v>
      </c>
      <c r="S21" s="898">
        <f t="shared" si="2"/>
        <v>0</v>
      </c>
      <c r="T21" s="923">
        <f>IFERROR(LOOKUP(1,0/((成型機資料庫!$F$362:$F$373=J21)*(成型機資料庫!$G$362:$G$373=K21)),成型機資料庫!$I$362:$I$373),0)</f>
        <v>0</v>
      </c>
      <c r="U21" s="944">
        <f>IFERROR(LOOKUP(1,0/((成型機資料庫!$F$362:$F$373=J21)*(成型機資料庫!$G$362:$G$373=K21)),成型機資料庫!$J$362:$J$373),0)</f>
        <v>0</v>
      </c>
      <c r="V21" s="900">
        <f>IFERROR(LOOKUP(1,0/((成型機資料庫!$F$362:$F$373=J21)*(成型機資料庫!$G$362:$G$373=K21)),成型機資料庫!$L$362:$L$373),0)</f>
        <v>0</v>
      </c>
      <c r="W21" s="898">
        <f t="shared" si="3"/>
        <v>0</v>
      </c>
      <c r="X21" s="923">
        <f t="shared" si="6"/>
        <v>0</v>
      </c>
      <c r="Y21" s="898">
        <f t="shared" si="7"/>
        <v>0</v>
      </c>
      <c r="Z21" s="923"/>
      <c r="AA21" s="478">
        <f t="shared" si="4"/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14</v>
      </c>
      <c r="D22" s="581"/>
      <c r="E22" s="889" t="s">
        <v>0</v>
      </c>
      <c r="F22" s="435" t="s">
        <v>42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0"/>
        <v>0</v>
      </c>
      <c r="P22" s="460"/>
      <c r="Q22" s="438">
        <f>IFERROR(LOOKUP(1,0/((成型機資料庫!$F$362:$F$373=J22)*(成型機資料庫!$G$362:$G$373=K22)),成型機資料庫!$K$362:$K$373),0)</f>
        <v>0</v>
      </c>
      <c r="R22" s="899">
        <f t="shared" si="1"/>
        <v>0</v>
      </c>
      <c r="S22" s="898">
        <f t="shared" si="2"/>
        <v>0</v>
      </c>
      <c r="T22" s="923">
        <f>IFERROR(LOOKUP(1,0/((成型機資料庫!$F$362:$F$373=J22)*(成型機資料庫!$G$362:$G$373=K22)),成型機資料庫!$I$362:$I$373),0)</f>
        <v>0</v>
      </c>
      <c r="U22" s="944">
        <f>IFERROR(LOOKUP(1,0/((成型機資料庫!$F$362:$F$373=J22)*(成型機資料庫!$G$362:$G$373=K22)),成型機資料庫!$J$362:$J$373),0)</f>
        <v>0</v>
      </c>
      <c r="V22" s="900">
        <f>IFERROR(LOOKUP(1,0/((成型機資料庫!$F$362:$F$373=J22)*(成型機資料庫!$G$362:$G$373=K22)),成型機資料庫!$L$362:$L$373),0)</f>
        <v>0</v>
      </c>
      <c r="W22" s="898">
        <f t="shared" si="3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4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15</v>
      </c>
      <c r="D23" s="581"/>
      <c r="E23" s="889" t="s">
        <v>0</v>
      </c>
      <c r="F23" s="435" t="s">
        <v>42</v>
      </c>
      <c r="G23" s="927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0"/>
        <v>0</v>
      </c>
      <c r="P23" s="460"/>
      <c r="Q23" s="438">
        <f>IFERROR(LOOKUP(1,0/((成型機資料庫!$F$362:$F$373=J23)*(成型機資料庫!$G$362:$G$373=K23)),成型機資料庫!$K$362:$K$373),0)</f>
        <v>0</v>
      </c>
      <c r="R23" s="899">
        <f t="shared" si="1"/>
        <v>0</v>
      </c>
      <c r="S23" s="898">
        <f t="shared" si="2"/>
        <v>0</v>
      </c>
      <c r="T23" s="923">
        <f>IFERROR(LOOKUP(1,0/((成型機資料庫!$F$362:$F$373=J23)*(成型機資料庫!$G$362:$G$373=K23)),成型機資料庫!$I$362:$I$373),0)</f>
        <v>0</v>
      </c>
      <c r="U23" s="944">
        <f>IFERROR(LOOKUP(1,0/((成型機資料庫!$F$362:$F$373=J23)*(成型機資料庫!$G$362:$G$373=K23)),成型機資料庫!$J$362:$J$373),0)</f>
        <v>0</v>
      </c>
      <c r="V23" s="900">
        <f>IFERROR(LOOKUP(1,0/((成型機資料庫!$F$362:$F$373=J23)*(成型機資料庫!$G$362:$G$373=K23)),成型機資料庫!$L$362:$L$373),0)</f>
        <v>0</v>
      </c>
      <c r="W23" s="898">
        <f t="shared" si="3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4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16</v>
      </c>
      <c r="D24" s="581"/>
      <c r="E24" s="889" t="s">
        <v>0</v>
      </c>
      <c r="F24" s="435" t="s">
        <v>42</v>
      </c>
      <c r="G24" s="927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0"/>
        <v>0</v>
      </c>
      <c r="P24" s="460"/>
      <c r="Q24" s="438">
        <f>IFERROR(LOOKUP(1,0/((成型機資料庫!$F$362:$F$373=J24)*(成型機資料庫!$G$362:$G$373=K24)),成型機資料庫!$K$362:$K$373),0)</f>
        <v>0</v>
      </c>
      <c r="R24" s="899">
        <f t="shared" si="1"/>
        <v>0</v>
      </c>
      <c r="S24" s="898">
        <f t="shared" si="2"/>
        <v>0</v>
      </c>
      <c r="T24" s="923">
        <f>IFERROR(LOOKUP(1,0/((成型機資料庫!$F$362:$F$373=J24)*(成型機資料庫!$G$362:$G$373=K24)),成型機資料庫!$I$362:$I$373),0)</f>
        <v>0</v>
      </c>
      <c r="U24" s="944">
        <f>IFERROR(LOOKUP(1,0/((成型機資料庫!$F$362:$F$373=J24)*(成型機資料庫!$G$362:$G$373=K24)),成型機資料庫!$J$362:$J$373),0)</f>
        <v>0</v>
      </c>
      <c r="V24" s="900">
        <f>IFERROR(LOOKUP(1,0/((成型機資料庫!$F$362:$F$373=J24)*(成型機資料庫!$G$362:$G$373=K24)),成型機資料庫!$L$362:$L$373),0)</f>
        <v>0</v>
      </c>
      <c r="W24" s="898">
        <f t="shared" si="3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4"/>
        <v>0</v>
      </c>
      <c r="AB24" s="438"/>
      <c r="AC24" s="482"/>
      <c r="AD24" s="464"/>
      <c r="AE24" s="464"/>
      <c r="AF24" s="438"/>
    </row>
    <row r="25" spans="1:32" s="433" customFormat="1" ht="15.75">
      <c r="A25" s="434">
        <v>113</v>
      </c>
      <c r="B25" s="581"/>
      <c r="C25" s="581">
        <v>17</v>
      </c>
      <c r="D25" s="581"/>
      <c r="E25" s="889" t="s">
        <v>0</v>
      </c>
      <c r="F25" s="435" t="s">
        <v>42</v>
      </c>
      <c r="G25" s="927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si="0"/>
        <v>0</v>
      </c>
      <c r="P25" s="460"/>
      <c r="Q25" s="438">
        <f>IFERROR(LOOKUP(1,0/((成型機資料庫!$F$362:$F$373=J25)*(成型機資料庫!$G$362:$G$373=K25)),成型機資料庫!$K$362:$K$373),0)</f>
        <v>0</v>
      </c>
      <c r="R25" s="899">
        <f t="shared" si="1"/>
        <v>0</v>
      </c>
      <c r="S25" s="898">
        <f t="shared" ref="S25:S38" si="8">IFERROR((G25-R25)/G25,0)</f>
        <v>0</v>
      </c>
      <c r="T25" s="923">
        <f>IFERROR(LOOKUP(1,0/((成型機資料庫!$F$362:$F$373=J25)*(成型機資料庫!$G$362:$G$373=K25)),成型機資料庫!$I$362:$I$373),0)</f>
        <v>0</v>
      </c>
      <c r="U25" s="944">
        <f>IFERROR(LOOKUP(1,0/((成型機資料庫!$F$362:$F$373=J25)*(成型機資料庫!$G$362:$G$373=K25)),成型機資料庫!$J$362:$J$373),0)</f>
        <v>0</v>
      </c>
      <c r="V25" s="900">
        <f>IFERROR(LOOKUP(1,0/((成型機資料庫!$F$362:$F$373=J25)*(成型機資料庫!$G$362:$G$373=K25)),成型機資料庫!$L$362:$L$373),0)</f>
        <v>0</v>
      </c>
      <c r="W25" s="898">
        <f t="shared" si="3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4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18</v>
      </c>
      <c r="D26" s="581"/>
      <c r="E26" s="889" t="s">
        <v>0</v>
      </c>
      <c r="F26" s="435" t="s">
        <v>42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0"/>
        <v>0</v>
      </c>
      <c r="P26" s="460"/>
      <c r="Q26" s="438">
        <f>IFERROR(LOOKUP(1,0/((成型機資料庫!$F$362:$F$373=J26)*(成型機資料庫!$G$362:$G$373=K26)),成型機資料庫!$K$362:$K$373),0)</f>
        <v>0</v>
      </c>
      <c r="R26" s="899">
        <f t="shared" si="1"/>
        <v>0</v>
      </c>
      <c r="S26" s="898">
        <f t="shared" si="8"/>
        <v>0</v>
      </c>
      <c r="T26" s="923">
        <f>IFERROR(LOOKUP(1,0/((成型機資料庫!$F$362:$F$373=J26)*(成型機資料庫!$G$362:$G$373=K26)),成型機資料庫!$I$362:$I$373),0)</f>
        <v>0</v>
      </c>
      <c r="U26" s="944">
        <f>IFERROR(LOOKUP(1,0/((成型機資料庫!$F$362:$F$373=J26)*(成型機資料庫!$G$362:$G$373=K26)),成型機資料庫!$J$362:$J$373),0)</f>
        <v>0</v>
      </c>
      <c r="V26" s="900">
        <f>IFERROR(LOOKUP(1,0/((成型機資料庫!$F$362:$F$373=J26)*(成型機資料庫!$G$362:$G$373=K26)),成型機資料庫!$L$362:$L$373),0)</f>
        <v>0</v>
      </c>
      <c r="W26" s="898">
        <f t="shared" si="3"/>
        <v>0</v>
      </c>
      <c r="X26" s="923">
        <f t="shared" si="6"/>
        <v>0</v>
      </c>
      <c r="Y26" s="898">
        <f t="shared" si="7"/>
        <v>0</v>
      </c>
      <c r="Z26" s="923"/>
      <c r="AA26" s="478">
        <f t="shared" si="4"/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19</v>
      </c>
      <c r="D27" s="581"/>
      <c r="E27" s="889" t="s">
        <v>0</v>
      </c>
      <c r="F27" s="435" t="s">
        <v>42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0"/>
        <v>0</v>
      </c>
      <c r="P27" s="460"/>
      <c r="Q27" s="438">
        <f>IFERROR(LOOKUP(1,0/((成型機資料庫!$F$362:$F$373=J27)*(成型機資料庫!$G$362:$G$373=K27)),成型機資料庫!$K$362:$K$373),0)</f>
        <v>0</v>
      </c>
      <c r="R27" s="899">
        <f t="shared" si="1"/>
        <v>0</v>
      </c>
      <c r="S27" s="898">
        <f t="shared" si="8"/>
        <v>0</v>
      </c>
      <c r="T27" s="923">
        <f>IFERROR(LOOKUP(1,0/((成型機資料庫!$F$362:$F$373=J27)*(成型機資料庫!$G$362:$G$373=K27)),成型機資料庫!$I$362:$I$373),0)</f>
        <v>0</v>
      </c>
      <c r="U27" s="944">
        <f>IFERROR(LOOKUP(1,0/((成型機資料庫!$F$362:$F$373=J27)*(成型機資料庫!$G$362:$G$373=K27)),成型機資料庫!$J$362:$J$373),0)</f>
        <v>0</v>
      </c>
      <c r="V27" s="900">
        <f>IFERROR(LOOKUP(1,0/((成型機資料庫!$F$362:$F$373=J27)*(成型機資料庫!$G$362:$G$373=K27)),成型機資料庫!$L$362:$L$373),0)</f>
        <v>0</v>
      </c>
      <c r="W27" s="898">
        <f t="shared" si="3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4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20</v>
      </c>
      <c r="D28" s="581"/>
      <c r="E28" s="889" t="s">
        <v>0</v>
      </c>
      <c r="F28" s="435" t="s">
        <v>42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0"/>
        <v>0</v>
      </c>
      <c r="P28" s="460"/>
      <c r="Q28" s="438">
        <f>IFERROR(LOOKUP(1,0/((成型機資料庫!$F$362:$F$373=J28)*(成型機資料庫!$G$362:$G$373=K28)),成型機資料庫!$K$362:$K$373),0)</f>
        <v>0</v>
      </c>
      <c r="R28" s="899">
        <f t="shared" si="1"/>
        <v>0</v>
      </c>
      <c r="S28" s="898">
        <f t="shared" si="8"/>
        <v>0</v>
      </c>
      <c r="T28" s="923">
        <f>IFERROR(LOOKUP(1,0/((成型機資料庫!$F$362:$F$373=J28)*(成型機資料庫!$G$362:$G$373=K28)),成型機資料庫!$I$362:$I$373),0)</f>
        <v>0</v>
      </c>
      <c r="U28" s="944">
        <f>IFERROR(LOOKUP(1,0/((成型機資料庫!$F$362:$F$373=J28)*(成型機資料庫!$G$362:$G$373=K28)),成型機資料庫!$J$362:$J$373),0)</f>
        <v>0</v>
      </c>
      <c r="V28" s="900">
        <f>IFERROR(LOOKUP(1,0/((成型機資料庫!$F$362:$F$373=J28)*(成型機資料庫!$G$362:$G$373=K28)),成型機資料庫!$L$362:$L$373),0)</f>
        <v>0</v>
      </c>
      <c r="W28" s="898">
        <f t="shared" si="3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4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21</v>
      </c>
      <c r="D29" s="581"/>
      <c r="E29" s="889" t="s">
        <v>0</v>
      </c>
      <c r="F29" s="435" t="s">
        <v>42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0"/>
        <v>0</v>
      </c>
      <c r="P29" s="460"/>
      <c r="Q29" s="438">
        <f>IFERROR(LOOKUP(1,0/((成型機資料庫!$F$362:$F$373=J29)*(成型機資料庫!$G$362:$G$373=K29)),成型機資料庫!$K$362:$K$373),0)</f>
        <v>0</v>
      </c>
      <c r="R29" s="899">
        <f t="shared" si="1"/>
        <v>0</v>
      </c>
      <c r="S29" s="898">
        <f t="shared" si="8"/>
        <v>0</v>
      </c>
      <c r="T29" s="923">
        <f>IFERROR(LOOKUP(1,0/((成型機資料庫!$F$362:$F$373=J29)*(成型機資料庫!$G$362:$G$373=K29)),成型機資料庫!$I$362:$I$373),0)</f>
        <v>0</v>
      </c>
      <c r="U29" s="944">
        <f>IFERROR(LOOKUP(1,0/((成型機資料庫!$F$362:$F$373=J29)*(成型機資料庫!$G$362:$G$373=K29)),成型機資料庫!$J$362:$J$373),0)</f>
        <v>0</v>
      </c>
      <c r="V29" s="900">
        <f>IFERROR(LOOKUP(1,0/((成型機資料庫!$F$362:$F$373=J29)*(成型機資料庫!$G$362:$G$373=K29)),成型機資料庫!$L$362:$L$373),0)</f>
        <v>0</v>
      </c>
      <c r="W29" s="898">
        <f t="shared" si="3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4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22</v>
      </c>
      <c r="D30" s="581"/>
      <c r="E30" s="889" t="s">
        <v>0</v>
      </c>
      <c r="F30" s="435" t="s">
        <v>42</v>
      </c>
      <c r="G30" s="927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0"/>
        <v>0</v>
      </c>
      <c r="P30" s="460"/>
      <c r="Q30" s="438">
        <f>IFERROR(LOOKUP(1,0/((成型機資料庫!$F$362:$F$373=J30)*(成型機資料庫!$G$362:$G$373=K30)),成型機資料庫!$K$362:$K$373),0)</f>
        <v>0</v>
      </c>
      <c r="R30" s="899">
        <f t="shared" si="1"/>
        <v>0</v>
      </c>
      <c r="S30" s="898">
        <f t="shared" si="8"/>
        <v>0</v>
      </c>
      <c r="T30" s="923">
        <f>IFERROR(LOOKUP(1,0/((成型機資料庫!$F$362:$F$373=J30)*(成型機資料庫!$G$362:$G$373=K30)),成型機資料庫!$I$362:$I$373),0)</f>
        <v>0</v>
      </c>
      <c r="U30" s="944">
        <f>IFERROR(LOOKUP(1,0/((成型機資料庫!$F$362:$F$373=J30)*(成型機資料庫!$G$362:$G$373=K30)),成型機資料庫!$J$362:$J$373),0)</f>
        <v>0</v>
      </c>
      <c r="V30" s="900">
        <f>IFERROR(LOOKUP(1,0/((成型機資料庫!$F$362:$F$373=J30)*(成型機資料庫!$G$362:$G$373=K30)),成型機資料庫!$L$362:$L$373),0)</f>
        <v>0</v>
      </c>
      <c r="W30" s="898">
        <f t="shared" si="3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4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23</v>
      </c>
      <c r="D31" s="581"/>
      <c r="E31" s="889" t="s">
        <v>0</v>
      </c>
      <c r="F31" s="435" t="s">
        <v>42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0"/>
        <v>0</v>
      </c>
      <c r="P31" s="460"/>
      <c r="Q31" s="438">
        <f>IFERROR(LOOKUP(1,0/((成型機資料庫!$F$362:$F$373=J31)*(成型機資料庫!$G$362:$G$373=K31)),成型機資料庫!$K$362:$K$373),0)</f>
        <v>0</v>
      </c>
      <c r="R31" s="899">
        <f t="shared" si="1"/>
        <v>0</v>
      </c>
      <c r="S31" s="898">
        <f t="shared" si="8"/>
        <v>0</v>
      </c>
      <c r="T31" s="923">
        <f>IFERROR(LOOKUP(1,0/((成型機資料庫!$F$362:$F$373=J31)*(成型機資料庫!$G$362:$G$373=K31)),成型機資料庫!$I$362:$I$373),0)</f>
        <v>0</v>
      </c>
      <c r="U31" s="944">
        <f>IFERROR(LOOKUP(1,0/((成型機資料庫!$F$362:$F$373=J31)*(成型機資料庫!$G$362:$G$373=K31)),成型機資料庫!$J$362:$J$373),0)</f>
        <v>0</v>
      </c>
      <c r="V31" s="900">
        <f>IFERROR(LOOKUP(1,0/((成型機資料庫!$F$362:$F$373=J31)*(成型機資料庫!$G$362:$G$373=K31)),成型機資料庫!$L$362:$L$373),0)</f>
        <v>0</v>
      </c>
      <c r="W31" s="898">
        <f t="shared" si="3"/>
        <v>0</v>
      </c>
      <c r="X31" s="923">
        <f t="shared" si="6"/>
        <v>0</v>
      </c>
      <c r="Y31" s="898">
        <f t="shared" si="7"/>
        <v>0</v>
      </c>
      <c r="Z31" s="923"/>
      <c r="AA31" s="478">
        <f t="shared" si="4"/>
        <v>0</v>
      </c>
      <c r="AB31" s="438"/>
      <c r="AC31" s="482"/>
      <c r="AD31" s="464"/>
      <c r="AE31" s="464"/>
      <c r="AF31" s="438"/>
    </row>
    <row r="32" spans="1:32" s="433" customFormat="1" ht="15.75">
      <c r="A32" s="434">
        <v>113</v>
      </c>
      <c r="B32" s="434"/>
      <c r="C32" s="434">
        <v>24</v>
      </c>
      <c r="D32" s="581"/>
      <c r="E32" s="889" t="s">
        <v>0</v>
      </c>
      <c r="F32" s="435" t="s">
        <v>42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0"/>
        <v>0</v>
      </c>
      <c r="P32" s="460"/>
      <c r="Q32" s="438">
        <f>IFERROR(LOOKUP(1,0/((成型機資料庫!$F$362:$F$373=J32)*(成型機資料庫!$G$362:$G$373=K32)),成型機資料庫!$K$362:$K$373),0)</f>
        <v>0</v>
      </c>
      <c r="R32" s="899">
        <f t="shared" si="1"/>
        <v>0</v>
      </c>
      <c r="S32" s="898">
        <f t="shared" si="8"/>
        <v>0</v>
      </c>
      <c r="T32" s="923">
        <f>IFERROR(LOOKUP(1,0/((成型機資料庫!$F$362:$F$373=J32)*(成型機資料庫!$G$362:$G$373=K32)),成型機資料庫!$I$362:$I$373),0)</f>
        <v>0</v>
      </c>
      <c r="U32" s="944">
        <f>IFERROR(LOOKUP(1,0/((成型機資料庫!$F$362:$F$373=J32)*(成型機資料庫!$G$362:$G$373=K32)),成型機資料庫!$J$362:$J$373),0)</f>
        <v>0</v>
      </c>
      <c r="V32" s="900">
        <f>IFERROR(LOOKUP(1,0/((成型機資料庫!$F$362:$F$373=J32)*(成型機資料庫!$G$362:$G$373=K32)),成型機資料庫!$L$362:$L$373),0)</f>
        <v>0</v>
      </c>
      <c r="W32" s="898">
        <f t="shared" si="3"/>
        <v>0</v>
      </c>
      <c r="X32" s="923">
        <f t="shared" si="6"/>
        <v>0</v>
      </c>
      <c r="Y32" s="898">
        <f t="shared" si="7"/>
        <v>0</v>
      </c>
      <c r="Z32" s="923"/>
      <c r="AA32" s="478">
        <f t="shared" si="4"/>
        <v>0</v>
      </c>
      <c r="AB32" s="438"/>
      <c r="AC32" s="482"/>
      <c r="AD32" s="464"/>
      <c r="AE32" s="438"/>
      <c r="AF32" s="438"/>
    </row>
    <row r="33" spans="1:56" s="433" customFormat="1" ht="15.75">
      <c r="A33" s="434">
        <v>113</v>
      </c>
      <c r="B33" s="434"/>
      <c r="C33" s="434">
        <v>25</v>
      </c>
      <c r="D33" s="581"/>
      <c r="E33" s="889" t="s">
        <v>0</v>
      </c>
      <c r="F33" s="435" t="s">
        <v>42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0"/>
        <v>0</v>
      </c>
      <c r="P33" s="460"/>
      <c r="Q33" s="438">
        <f>IFERROR(LOOKUP(1,0/((成型機資料庫!$F$362:$F$373=J33)*(成型機資料庫!$G$362:$G$373=K33)),成型機資料庫!$K$362:$K$373),0)</f>
        <v>0</v>
      </c>
      <c r="R33" s="899">
        <f t="shared" si="1"/>
        <v>0</v>
      </c>
      <c r="S33" s="898">
        <f t="shared" si="8"/>
        <v>0</v>
      </c>
      <c r="T33" s="923">
        <f>IFERROR(LOOKUP(1,0/((成型機資料庫!$F$362:$F$373=J33)*(成型機資料庫!$G$362:$G$373=K33)),成型機資料庫!$I$362:$I$373),0)</f>
        <v>0</v>
      </c>
      <c r="U33" s="944">
        <f>IFERROR(LOOKUP(1,0/((成型機資料庫!$F$362:$F$373=J33)*(成型機資料庫!$G$362:$G$373=K33)),成型機資料庫!$J$362:$J$373),0)</f>
        <v>0</v>
      </c>
      <c r="V33" s="900">
        <f>IFERROR(LOOKUP(1,0/((成型機資料庫!$F$362:$F$373=J33)*(成型機資料庫!$G$362:$G$373=K33)),成型機資料庫!$L$362:$L$373),0)</f>
        <v>0</v>
      </c>
      <c r="W33" s="898">
        <f t="shared" si="3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4"/>
        <v>0</v>
      </c>
      <c r="AB33" s="438"/>
      <c r="AC33" s="482"/>
      <c r="AD33" s="464"/>
      <c r="AE33" s="464"/>
      <c r="AF33" s="438"/>
    </row>
    <row r="34" spans="1:56" s="433" customFormat="1" ht="15.75">
      <c r="A34" s="434">
        <v>113</v>
      </c>
      <c r="B34" s="434"/>
      <c r="C34" s="434">
        <v>26</v>
      </c>
      <c r="D34" s="581"/>
      <c r="E34" s="889" t="s">
        <v>0</v>
      </c>
      <c r="F34" s="435" t="s">
        <v>42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0"/>
        <v>0</v>
      </c>
      <c r="P34" s="460"/>
      <c r="Q34" s="438">
        <f>IFERROR(LOOKUP(1,0/((成型機資料庫!$F$362:$F$373=J34)*(成型機資料庫!$G$362:$G$373=K34)),成型機資料庫!$K$362:$K$373),0)</f>
        <v>0</v>
      </c>
      <c r="R34" s="899">
        <f t="shared" si="1"/>
        <v>0</v>
      </c>
      <c r="S34" s="898">
        <f t="shared" si="8"/>
        <v>0</v>
      </c>
      <c r="T34" s="923">
        <f>IFERROR(LOOKUP(1,0/((成型機資料庫!$F$362:$F$373=J34)*(成型機資料庫!$G$362:$G$373=K34)),成型機資料庫!$I$362:$I$373),0)</f>
        <v>0</v>
      </c>
      <c r="U34" s="944">
        <f>IFERROR(LOOKUP(1,0/((成型機資料庫!$F$362:$F$373=J34)*(成型機資料庫!$G$362:$G$373=K34)),成型機資料庫!$J$362:$J$373),0)</f>
        <v>0</v>
      </c>
      <c r="V34" s="900">
        <f>IFERROR(LOOKUP(1,0/((成型機資料庫!$F$362:$F$373=J34)*(成型機資料庫!$G$362:$G$373=K34)),成型機資料庫!$L$362:$L$373),0)</f>
        <v>0</v>
      </c>
      <c r="W34" s="898">
        <f t="shared" si="3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4"/>
        <v>0</v>
      </c>
      <c r="AB34" s="438"/>
      <c r="AC34" s="482"/>
      <c r="AD34" s="438"/>
      <c r="AE34" s="464"/>
      <c r="AF34" s="438"/>
    </row>
    <row r="35" spans="1:56" s="433" customFormat="1" ht="15.75">
      <c r="A35" s="434">
        <v>113</v>
      </c>
      <c r="B35" s="434"/>
      <c r="C35" s="434">
        <v>27</v>
      </c>
      <c r="D35" s="581"/>
      <c r="E35" s="889" t="s">
        <v>0</v>
      </c>
      <c r="F35" s="435" t="s">
        <v>42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0"/>
        <v>0</v>
      </c>
      <c r="P35" s="460"/>
      <c r="Q35" s="438">
        <f>IFERROR(LOOKUP(1,0/((成型機資料庫!$F$362:$F$373=J35)*(成型機資料庫!$G$362:$G$373=K35)),成型機資料庫!$K$362:$K$373),0)</f>
        <v>0</v>
      </c>
      <c r="R35" s="899">
        <f t="shared" si="1"/>
        <v>0</v>
      </c>
      <c r="S35" s="898">
        <f t="shared" si="8"/>
        <v>0</v>
      </c>
      <c r="T35" s="923">
        <f>IFERROR(LOOKUP(1,0/((成型機資料庫!$F$362:$F$373=J35)*(成型機資料庫!$G$362:$G$373=K35)),成型機資料庫!$I$362:$I$373),0)</f>
        <v>0</v>
      </c>
      <c r="U35" s="944">
        <f>IFERROR(LOOKUP(1,0/((成型機資料庫!$F$362:$F$373=J35)*(成型機資料庫!$G$362:$G$373=K35)),成型機資料庫!$J$362:$J$373),0)</f>
        <v>0</v>
      </c>
      <c r="V35" s="900">
        <f>IFERROR(LOOKUP(1,0/((成型機資料庫!$F$362:$F$373=J35)*(成型機資料庫!$G$362:$G$373=K35)),成型機資料庫!$L$362:$L$373),0)</f>
        <v>0</v>
      </c>
      <c r="W35" s="898">
        <f t="shared" si="3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4"/>
        <v>0</v>
      </c>
      <c r="AB35" s="438"/>
      <c r="AC35" s="482"/>
      <c r="AD35" s="464"/>
      <c r="AE35" s="438"/>
      <c r="AF35" s="438"/>
    </row>
    <row r="36" spans="1:56" s="433" customFormat="1" ht="15.75">
      <c r="A36" s="434">
        <v>113</v>
      </c>
      <c r="B36" s="581"/>
      <c r="C36" s="581">
        <v>28</v>
      </c>
      <c r="D36" s="581"/>
      <c r="E36" s="889" t="s">
        <v>0</v>
      </c>
      <c r="F36" s="435" t="s">
        <v>42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0"/>
        <v>0</v>
      </c>
      <c r="P36" s="460"/>
      <c r="Q36" s="438">
        <f>IFERROR(LOOKUP(1,0/((成型機資料庫!$F$362:$F$373=J36)*(成型機資料庫!$G$362:$G$373=K36)),成型機資料庫!$K$362:$K$373),0)</f>
        <v>0</v>
      </c>
      <c r="R36" s="899">
        <f t="shared" si="1"/>
        <v>0</v>
      </c>
      <c r="S36" s="898">
        <f t="shared" si="8"/>
        <v>0</v>
      </c>
      <c r="T36" s="923">
        <f>IFERROR(LOOKUP(1,0/((成型機資料庫!$F$362:$F$373=J36)*(成型機資料庫!$G$362:$G$373=K36)),成型機資料庫!$I$362:$I$373),0)</f>
        <v>0</v>
      </c>
      <c r="U36" s="944">
        <f>IFERROR(LOOKUP(1,0/((成型機資料庫!$F$362:$F$373=J36)*(成型機資料庫!$G$362:$G$373=K36)),成型機資料庫!$J$362:$J$373),0)</f>
        <v>0</v>
      </c>
      <c r="V36" s="900">
        <f>IFERROR(LOOKUP(1,0/((成型機資料庫!$F$362:$F$373=J36)*(成型機資料庫!$G$362:$G$373=K36)),成型機資料庫!$L$362:$L$373),0)</f>
        <v>0</v>
      </c>
      <c r="W36" s="898">
        <f t="shared" si="3"/>
        <v>0</v>
      </c>
      <c r="X36" s="923">
        <f t="shared" si="6"/>
        <v>0</v>
      </c>
      <c r="Y36" s="898">
        <f t="shared" si="7"/>
        <v>0</v>
      </c>
      <c r="Z36" s="923"/>
      <c r="AA36" s="478">
        <f t="shared" si="4"/>
        <v>0</v>
      </c>
      <c r="AB36" s="438"/>
      <c r="AC36" s="482"/>
      <c r="AD36" s="464"/>
      <c r="AE36" s="438"/>
      <c r="AF36" s="438"/>
    </row>
    <row r="37" spans="1:56" s="433" customFormat="1" ht="15.75">
      <c r="A37" s="434">
        <v>113</v>
      </c>
      <c r="B37" s="581"/>
      <c r="C37" s="581">
        <v>29</v>
      </c>
      <c r="D37" s="581"/>
      <c r="E37" s="889" t="s">
        <v>0</v>
      </c>
      <c r="F37" s="435" t="s">
        <v>42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0"/>
        <v>0</v>
      </c>
      <c r="P37" s="460"/>
      <c r="Q37" s="438">
        <f>IFERROR(LOOKUP(1,0/((成型機資料庫!$F$362:$F$373=J37)*(成型機資料庫!$G$362:$G$373=K37)),成型機資料庫!$K$362:$K$373),0)</f>
        <v>0</v>
      </c>
      <c r="R37" s="899">
        <f t="shared" si="1"/>
        <v>0</v>
      </c>
      <c r="S37" s="898">
        <f t="shared" si="8"/>
        <v>0</v>
      </c>
      <c r="T37" s="923">
        <f>IFERROR(LOOKUP(1,0/((成型機資料庫!$F$362:$F$373=J37)*(成型機資料庫!$G$362:$G$373=K37)),成型機資料庫!$I$362:$I$373),0)</f>
        <v>0</v>
      </c>
      <c r="U37" s="944">
        <f>IFERROR(LOOKUP(1,0/((成型機資料庫!$F$362:$F$373=J37)*(成型機資料庫!$G$362:$G$373=K37)),成型機資料庫!$J$362:$J$373),0)</f>
        <v>0</v>
      </c>
      <c r="V37" s="900">
        <f>IFERROR(LOOKUP(1,0/((成型機資料庫!$F$362:$F$373=J37)*(成型機資料庫!$G$362:$G$373=K37)),成型機資料庫!$L$362:$L$373),0)</f>
        <v>0</v>
      </c>
      <c r="W37" s="898">
        <f t="shared" si="3"/>
        <v>0</v>
      </c>
      <c r="X37" s="923">
        <f t="shared" si="6"/>
        <v>0</v>
      </c>
      <c r="Y37" s="898">
        <f t="shared" si="7"/>
        <v>0</v>
      </c>
      <c r="Z37" s="923"/>
      <c r="AA37" s="478">
        <f t="shared" si="4"/>
        <v>0</v>
      </c>
      <c r="AB37" s="438"/>
      <c r="AC37" s="482"/>
      <c r="AD37" s="464"/>
      <c r="AE37" s="464"/>
      <c r="AF37" s="438"/>
    </row>
    <row r="38" spans="1:56" s="433" customFormat="1" ht="15.75">
      <c r="A38" s="434">
        <v>113</v>
      </c>
      <c r="B38" s="581"/>
      <c r="C38" s="581">
        <v>30</v>
      </c>
      <c r="D38" s="581"/>
      <c r="E38" s="889" t="s">
        <v>0</v>
      </c>
      <c r="F38" s="435" t="s">
        <v>42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0"/>
        <v>0</v>
      </c>
      <c r="P38" s="460"/>
      <c r="Q38" s="438">
        <f>IFERROR(LOOKUP(1,0/((成型機資料庫!$F$362:$F$373=J38)*(成型機資料庫!$G$362:$G$373=K38)),成型機資料庫!$K$362:$K$373),0)</f>
        <v>0</v>
      </c>
      <c r="R38" s="899">
        <f t="shared" si="1"/>
        <v>0</v>
      </c>
      <c r="S38" s="898">
        <f t="shared" si="8"/>
        <v>0</v>
      </c>
      <c r="T38" s="923">
        <f>IFERROR(LOOKUP(1,0/((成型機資料庫!$F$362:$F$373=J38)*(成型機資料庫!$G$362:$G$373=K38)),成型機資料庫!$I$362:$I$373),0)</f>
        <v>0</v>
      </c>
      <c r="U38" s="944">
        <f>IFERROR(LOOKUP(1,0/((成型機資料庫!$F$362:$F$373=J38)*(成型機資料庫!$G$362:$G$373=K38)),成型機資料庫!$J$362:$J$373),0)</f>
        <v>0</v>
      </c>
      <c r="V38" s="900">
        <f>IFERROR(LOOKUP(1,0/((成型機資料庫!$F$362:$F$373=J38)*(成型機資料庫!$G$362:$G$373=K38)),成型機資料庫!$L$362:$L$373),0)</f>
        <v>0</v>
      </c>
      <c r="W38" s="898">
        <f t="shared" si="3"/>
        <v>0</v>
      </c>
      <c r="X38" s="923">
        <f t="shared" si="6"/>
        <v>0</v>
      </c>
      <c r="Y38" s="898">
        <f t="shared" si="7"/>
        <v>0</v>
      </c>
      <c r="Z38" s="923"/>
      <c r="AA38" s="478">
        <f t="shared" si="4"/>
        <v>0</v>
      </c>
      <c r="AB38" s="438"/>
      <c r="AC38" s="482"/>
      <c r="AD38" s="464"/>
      <c r="AE38" s="438"/>
      <c r="AF38" s="438"/>
    </row>
    <row r="39" spans="1:56" s="433" customFormat="1" ht="15.75">
      <c r="A39" s="446"/>
      <c r="B39" s="456"/>
      <c r="C39" s="456"/>
      <c r="D39" s="456"/>
      <c r="E39" s="456"/>
      <c r="F39" s="448"/>
      <c r="G39" s="951"/>
      <c r="H39" s="452"/>
      <c r="I39" s="430"/>
      <c r="J39" s="430"/>
      <c r="K39" s="430"/>
      <c r="L39" s="452"/>
      <c r="M39" s="452"/>
      <c r="N39" s="945"/>
      <c r="O39" s="946"/>
      <c r="P39" s="868"/>
      <c r="Q39" s="467"/>
      <c r="R39" s="948"/>
      <c r="S39" s="936"/>
      <c r="T39" s="936"/>
      <c r="U39" s="936"/>
      <c r="V39" s="945"/>
      <c r="W39" s="936"/>
      <c r="X39" s="947"/>
      <c r="Y39" s="936"/>
      <c r="Z39" s="947"/>
      <c r="AA39" s="488"/>
      <c r="AB39" s="439"/>
      <c r="AC39" s="471"/>
      <c r="AD39" s="452"/>
      <c r="AE39" s="439"/>
      <c r="AF39" s="439"/>
    </row>
    <row r="40" spans="1:56" s="433" customFormat="1" ht="15.75">
      <c r="A40" s="446"/>
      <c r="B40" s="456"/>
      <c r="C40" s="456"/>
      <c r="D40" s="456"/>
      <c r="E40" s="456"/>
      <c r="F40" s="448"/>
      <c r="G40" s="951"/>
      <c r="H40" s="452"/>
      <c r="I40" s="430"/>
      <c r="J40" s="430"/>
      <c r="K40" s="430"/>
      <c r="L40" s="452"/>
      <c r="M40" s="452"/>
      <c r="N40" s="945"/>
      <c r="O40" s="946"/>
      <c r="P40" s="868"/>
      <c r="Q40" s="467"/>
      <c r="R40" s="948"/>
      <c r="S40" s="936"/>
      <c r="T40" s="936"/>
      <c r="U40" s="936"/>
      <c r="V40" s="945"/>
      <c r="W40" s="936"/>
      <c r="X40" s="947"/>
      <c r="Y40" s="936"/>
      <c r="Z40" s="947"/>
      <c r="AA40" s="488"/>
      <c r="AB40" s="439"/>
      <c r="AC40" s="471"/>
      <c r="AD40" s="452"/>
      <c r="AE40" s="439"/>
      <c r="AF40" s="439"/>
    </row>
    <row r="41" spans="1:56" s="433" customFormat="1" thickBot="1">
      <c r="A41" s="446"/>
      <c r="B41" s="446"/>
      <c r="C41" s="446"/>
      <c r="D41" s="446"/>
      <c r="E41" s="446"/>
      <c r="F41" s="448"/>
      <c r="G41" s="448"/>
      <c r="H41" s="430"/>
      <c r="I41" s="430"/>
      <c r="J41" s="430"/>
      <c r="K41" s="430"/>
      <c r="L41" s="439"/>
      <c r="M41" s="452"/>
      <c r="N41" s="452"/>
      <c r="O41" s="457"/>
      <c r="P41" s="466"/>
      <c r="Q41" s="467"/>
      <c r="R41" s="486"/>
      <c r="S41" s="457"/>
      <c r="T41" s="457"/>
      <c r="U41" s="457"/>
      <c r="V41" s="458"/>
      <c r="W41" s="487">
        <f>SUM(W9:W38)</f>
        <v>0</v>
      </c>
      <c r="X41" s="487"/>
      <c r="Y41" s="487"/>
      <c r="Z41" s="487"/>
      <c r="AA41" s="488"/>
      <c r="AB41" s="489"/>
      <c r="AC41" s="489"/>
      <c r="AD41" s="469" t="s">
        <v>46</v>
      </c>
      <c r="AE41" s="439"/>
      <c r="AF41" s="439"/>
    </row>
    <row r="42" spans="1:56" s="469" customFormat="1" ht="31.5">
      <c r="A42" s="479"/>
      <c r="B42" s="479"/>
      <c r="C42" s="479"/>
      <c r="D42" s="479"/>
      <c r="E42" s="479"/>
      <c r="F42" s="452"/>
      <c r="G42" s="524" t="s">
        <v>503</v>
      </c>
      <c r="H42" s="517"/>
      <c r="I42" s="518"/>
      <c r="L42" s="1842" t="s">
        <v>1348</v>
      </c>
      <c r="M42" s="525" t="s">
        <v>1294</v>
      </c>
      <c r="N42" s="525" t="s">
        <v>1295</v>
      </c>
      <c r="O42" s="526" t="s">
        <v>458</v>
      </c>
      <c r="P42" s="520"/>
      <c r="Q42" s="521"/>
      <c r="R42" s="524" t="s">
        <v>504</v>
      </c>
      <c r="S42" s="524" t="s">
        <v>455</v>
      </c>
      <c r="T42" s="521"/>
      <c r="U42" s="521"/>
      <c r="V42" s="524" t="s">
        <v>1293</v>
      </c>
      <c r="W42" s="524" t="s">
        <v>459</v>
      </c>
      <c r="X42" s="521"/>
      <c r="Y42" s="524" t="s">
        <v>1345</v>
      </c>
      <c r="Z42" s="524" t="s">
        <v>1350</v>
      </c>
      <c r="AA42" s="524" t="s">
        <v>1351</v>
      </c>
      <c r="AB42" s="524" t="s">
        <v>1353</v>
      </c>
      <c r="AC42" s="524" t="s">
        <v>1352</v>
      </c>
      <c r="AD42" s="469" t="s">
        <v>253</v>
      </c>
      <c r="AE42" s="452"/>
      <c r="AF42" s="452"/>
    </row>
    <row r="43" spans="1:56" thickBot="1">
      <c r="G43" s="522">
        <f>SUM(G9:G38)</f>
        <v>0</v>
      </c>
      <c r="I43" s="431"/>
      <c r="J43" s="518"/>
      <c r="K43" s="518"/>
      <c r="L43" s="1843"/>
      <c r="M43" s="522">
        <f>SUM(M9:M38)</f>
        <v>0</v>
      </c>
      <c r="N43" s="522">
        <f>SUM(N9:N38)</f>
        <v>0</v>
      </c>
      <c r="O43" s="902">
        <f>SUM(O9:O38)</f>
        <v>0</v>
      </c>
      <c r="P43" s="470"/>
      <c r="R43" s="924">
        <f>SUM(R9:R38)</f>
        <v>0</v>
      </c>
      <c r="S43" s="897" t="e">
        <f>(G43-R43)/G43</f>
        <v>#DIV/0!</v>
      </c>
      <c r="T43" s="446"/>
      <c r="U43" s="446"/>
      <c r="V43" s="686" t="e">
        <f>N43/W43</f>
        <v>#DIV/0!</v>
      </c>
      <c r="W43" s="516" t="e">
        <f>W41/Y43</f>
        <v>#DIV/0!</v>
      </c>
      <c r="X43" s="446"/>
      <c r="Y43" s="516"/>
      <c r="Z43" s="958">
        <f>SUM(Z9:Z38)</f>
        <v>0</v>
      </c>
      <c r="AA43" s="516">
        <f>SUM(AA9:AA38)</f>
        <v>0</v>
      </c>
      <c r="AB43" s="516">
        <f>Z43-AA43</f>
        <v>0</v>
      </c>
      <c r="AC43" s="896" t="e">
        <f>AA43/Z43</f>
        <v>#DIV/0!</v>
      </c>
    </row>
    <row r="44" spans="1:56">
      <c r="G44" s="453"/>
      <c r="M44" s="453"/>
      <c r="N44" s="453"/>
      <c r="O44"/>
      <c r="P44" s="470"/>
      <c r="R44"/>
      <c r="S44"/>
      <c r="T44"/>
      <c r="U44"/>
    </row>
    <row r="45" spans="1:56" ht="17.25" thickBot="1"/>
    <row r="46" spans="1:56" ht="15.75">
      <c r="A46" s="1824" t="s">
        <v>668</v>
      </c>
      <c r="B46" s="1824" t="s">
        <v>330</v>
      </c>
      <c r="C46" s="1826" t="s">
        <v>311</v>
      </c>
      <c r="D46" s="1828" t="s">
        <v>331</v>
      </c>
      <c r="E46" s="1828" t="s">
        <v>332</v>
      </c>
      <c r="F46" s="1830" t="s">
        <v>194</v>
      </c>
      <c r="G46" s="1830" t="s">
        <v>386</v>
      </c>
      <c r="H46" s="1832" t="s">
        <v>360</v>
      </c>
      <c r="I46" s="1832" t="s">
        <v>361</v>
      </c>
      <c r="J46" s="1832" t="s">
        <v>510</v>
      </c>
      <c r="K46" s="1832" t="s">
        <v>1320</v>
      </c>
      <c r="L46" s="1828" t="s">
        <v>362</v>
      </c>
      <c r="M46" s="1828" t="s">
        <v>514</v>
      </c>
      <c r="N46" s="1856" t="s">
        <v>511</v>
      </c>
      <c r="O46" s="1858" t="s">
        <v>457</v>
      </c>
      <c r="P46" s="1836" t="s">
        <v>379</v>
      </c>
      <c r="Q46" s="1828" t="s">
        <v>627</v>
      </c>
      <c r="R46" s="1852" t="s">
        <v>381</v>
      </c>
      <c r="S46" s="1854" t="s">
        <v>435</v>
      </c>
      <c r="T46" s="1834" t="s">
        <v>365</v>
      </c>
      <c r="U46" s="1836" t="s">
        <v>366</v>
      </c>
      <c r="V46" s="1844" t="s">
        <v>1286</v>
      </c>
      <c r="W46" s="1846" t="s">
        <v>201</v>
      </c>
      <c r="X46" s="1846" t="s">
        <v>1318</v>
      </c>
      <c r="Y46" s="1846" t="s">
        <v>1319</v>
      </c>
      <c r="Z46" s="1849" t="s">
        <v>1285</v>
      </c>
      <c r="AA46" s="1849" t="s">
        <v>339</v>
      </c>
      <c r="AB46" s="1860" t="s">
        <v>340</v>
      </c>
      <c r="AC46" s="1861"/>
      <c r="AD46" s="1862" t="s">
        <v>371</v>
      </c>
      <c r="AE46" s="1862" t="s">
        <v>383</v>
      </c>
      <c r="AF46" s="1840" t="s">
        <v>29</v>
      </c>
    </row>
    <row r="47" spans="1:56" s="447" customFormat="1" thickBot="1">
      <c r="A47" s="1825"/>
      <c r="B47" s="1825"/>
      <c r="C47" s="1827"/>
      <c r="D47" s="1829"/>
      <c r="E47" s="1829"/>
      <c r="F47" s="1831"/>
      <c r="G47" s="1831"/>
      <c r="H47" s="1833"/>
      <c r="I47" s="1833"/>
      <c r="J47" s="1833"/>
      <c r="K47" s="1838"/>
      <c r="L47" s="1829"/>
      <c r="M47" s="1839"/>
      <c r="N47" s="1857"/>
      <c r="O47" s="1859"/>
      <c r="P47" s="1837"/>
      <c r="Q47" s="1829"/>
      <c r="R47" s="1853"/>
      <c r="S47" s="1855"/>
      <c r="T47" s="1835"/>
      <c r="U47" s="1837"/>
      <c r="V47" s="1845"/>
      <c r="W47" s="1847"/>
      <c r="X47" s="1848"/>
      <c r="Y47" s="1848"/>
      <c r="Z47" s="1850"/>
      <c r="AA47" s="1851"/>
      <c r="AB47" s="491" t="s">
        <v>350</v>
      </c>
      <c r="AC47" s="491" t="s">
        <v>351</v>
      </c>
      <c r="AD47" s="1863"/>
      <c r="AE47" s="1863"/>
      <c r="AF47" s="1841"/>
      <c r="AG47" s="446"/>
      <c r="AH47" s="446"/>
      <c r="AU47" s="446"/>
      <c r="AV47" s="446"/>
      <c r="AW47" s="446"/>
      <c r="AX47" s="446"/>
      <c r="AY47" s="446"/>
      <c r="AZ47" s="446"/>
      <c r="BA47" s="446"/>
      <c r="BB47" s="446"/>
      <c r="BC47" s="446"/>
      <c r="BD47" s="446"/>
    </row>
    <row r="48" spans="1:56" s="433" customFormat="1" ht="15.75">
      <c r="A48" s="434">
        <v>113</v>
      </c>
      <c r="B48" s="434"/>
      <c r="C48" s="434">
        <v>1</v>
      </c>
      <c r="D48" s="581"/>
      <c r="E48" s="581" t="s">
        <v>43</v>
      </c>
      <c r="F48" s="435" t="s">
        <v>42</v>
      </c>
      <c r="G48" s="926"/>
      <c r="H48" s="464"/>
      <c r="I48" s="429"/>
      <c r="J48" s="429"/>
      <c r="K48" s="429"/>
      <c r="L48" s="464"/>
      <c r="M48" s="464"/>
      <c r="N48" s="900">
        <f>M48*Q48</f>
        <v>0</v>
      </c>
      <c r="O48" s="901">
        <f t="shared" ref="O48:O77" si="9">L48*M48</f>
        <v>0</v>
      </c>
      <c r="P48" s="460"/>
      <c r="Q48" s="438">
        <f>IFERROR(LOOKUP(1,0/((成型機資料庫!$F$362:$F$373=J48)*(成型機資料庫!$G$362:$G$373=K48)),成型機資料庫!$K$362:$K$373),0)</f>
        <v>0</v>
      </c>
      <c r="R48" s="899">
        <f t="shared" ref="R48:R77" si="10">M48*Q48*P48/1000</f>
        <v>0</v>
      </c>
      <c r="S48" s="898">
        <f t="shared" ref="S48:S77" si="11">IFERROR((G48-R48)/G48,0)</f>
        <v>0</v>
      </c>
      <c r="T48" s="923">
        <f>IFERROR(LOOKUP(1,0/((成型機資料庫!$F$362:$F$373=J48)*(成型機資料庫!$G$362:$G$373=K48)),成型機資料庫!$I$362:$I$373),0)</f>
        <v>0</v>
      </c>
      <c r="U48" s="944">
        <f>IFERROR(LOOKUP(1,0/((成型機資料庫!$F$362:$F$373=J48)*(成型機資料庫!$G$362:$G$373=K48)),成型機資料庫!$J$362:$J$373),0)</f>
        <v>0</v>
      </c>
      <c r="V48" s="900">
        <f>IFERROR(LOOKUP(1,0/((成型機資料庫!$F$362:$F$373=J48)*(成型機資料庫!$G$362:$G$373=K48)),成型機資料庫!$L$362:$L$373),0)</f>
        <v>0</v>
      </c>
      <c r="W48" s="898">
        <f t="shared" ref="W48:W77" si="12">IFERROR(M48/V48,0)</f>
        <v>0</v>
      </c>
      <c r="X48" s="923">
        <f>IFERROR(T48*U48*60*AA48/Q48,0)</f>
        <v>0</v>
      </c>
      <c r="Y48" s="898">
        <f>IFERROR(M48/X48,0)</f>
        <v>0</v>
      </c>
      <c r="Z48" s="923"/>
      <c r="AA48" s="478">
        <f t="shared" ref="AA48:AA77" si="13">AB48+AC48/60</f>
        <v>0</v>
      </c>
      <c r="AB48" s="438"/>
      <c r="AC48" s="482"/>
      <c r="AD48" s="464"/>
      <c r="AE48" s="438"/>
      <c r="AF48" s="438"/>
    </row>
    <row r="49" spans="1:32" s="433" customFormat="1" ht="15.75">
      <c r="A49" s="434">
        <v>113</v>
      </c>
      <c r="B49" s="581"/>
      <c r="C49" s="581">
        <v>2</v>
      </c>
      <c r="D49" s="581"/>
      <c r="E49" s="581" t="s">
        <v>43</v>
      </c>
      <c r="F49" s="435" t="s">
        <v>42</v>
      </c>
      <c r="G49" s="926"/>
      <c r="H49" s="464"/>
      <c r="I49" s="429"/>
      <c r="J49" s="429"/>
      <c r="K49" s="429"/>
      <c r="L49" s="464"/>
      <c r="M49" s="464"/>
      <c r="N49" s="900">
        <f t="shared" ref="N49:N77" si="14">M49*Q49</f>
        <v>0</v>
      </c>
      <c r="O49" s="901">
        <f t="shared" si="9"/>
        <v>0</v>
      </c>
      <c r="P49" s="460"/>
      <c r="Q49" s="438">
        <f>IFERROR(LOOKUP(1,0/((成型機資料庫!$F$362:$F$373=J49)*(成型機資料庫!$G$362:$G$373=K49)),成型機資料庫!$K$362:$K$373),0)</f>
        <v>0</v>
      </c>
      <c r="R49" s="899">
        <f t="shared" si="10"/>
        <v>0</v>
      </c>
      <c r="S49" s="898">
        <f t="shared" si="11"/>
        <v>0</v>
      </c>
      <c r="T49" s="923">
        <f>IFERROR(LOOKUP(1,0/((成型機資料庫!$F$362:$F$373=J49)*(成型機資料庫!$G$362:$G$373=K49)),成型機資料庫!$I$362:$I$373),0)</f>
        <v>0</v>
      </c>
      <c r="U49" s="944">
        <f>IFERROR(LOOKUP(1,0/((成型機資料庫!$F$362:$F$373=J49)*(成型機資料庫!$G$362:$G$373=K49)),成型機資料庫!$J$362:$J$373),0)</f>
        <v>0</v>
      </c>
      <c r="V49" s="900">
        <f>IFERROR(LOOKUP(1,0/((成型機資料庫!$F$362:$F$373=J49)*(成型機資料庫!$G$362:$G$373=K49)),成型機資料庫!$L$362:$L$373),0)</f>
        <v>0</v>
      </c>
      <c r="W49" s="898">
        <f t="shared" si="12"/>
        <v>0</v>
      </c>
      <c r="X49" s="923">
        <f t="shared" ref="X49:X77" si="15">IFERROR(T49*U49*60*AA49/Q49,0)</f>
        <v>0</v>
      </c>
      <c r="Y49" s="898">
        <f t="shared" ref="Y49:Y77" si="16">IFERROR(M49/X49,0)</f>
        <v>0</v>
      </c>
      <c r="Z49" s="923"/>
      <c r="AA49" s="478">
        <f t="shared" si="13"/>
        <v>0</v>
      </c>
      <c r="AB49" s="438"/>
      <c r="AC49" s="482"/>
      <c r="AD49" s="464"/>
      <c r="AE49" s="438"/>
      <c r="AF49" s="438"/>
    </row>
    <row r="50" spans="1:32" s="433" customFormat="1" ht="15.75">
      <c r="A50" s="434">
        <v>113</v>
      </c>
      <c r="B50" s="581"/>
      <c r="C50" s="581">
        <v>3</v>
      </c>
      <c r="D50" s="581"/>
      <c r="E50" s="581" t="s">
        <v>43</v>
      </c>
      <c r="F50" s="435" t="s">
        <v>42</v>
      </c>
      <c r="G50" s="926"/>
      <c r="H50" s="464"/>
      <c r="I50" s="429"/>
      <c r="J50" s="429"/>
      <c r="K50" s="429"/>
      <c r="L50" s="464"/>
      <c r="M50" s="464"/>
      <c r="N50" s="900">
        <f t="shared" si="14"/>
        <v>0</v>
      </c>
      <c r="O50" s="901">
        <f t="shared" si="9"/>
        <v>0</v>
      </c>
      <c r="P50" s="460"/>
      <c r="Q50" s="438">
        <f>IFERROR(LOOKUP(1,0/((成型機資料庫!$F$362:$F$373=J50)*(成型機資料庫!$G$362:$G$373=K50)),成型機資料庫!$K$362:$K$373),0)</f>
        <v>0</v>
      </c>
      <c r="R50" s="899">
        <f t="shared" si="10"/>
        <v>0</v>
      </c>
      <c r="S50" s="898">
        <f t="shared" si="11"/>
        <v>0</v>
      </c>
      <c r="T50" s="923">
        <f>IFERROR(LOOKUP(1,0/((成型機資料庫!$F$362:$F$373=J50)*(成型機資料庫!$G$362:$G$373=K50)),成型機資料庫!$I$362:$I$373),0)</f>
        <v>0</v>
      </c>
      <c r="U50" s="944">
        <f>IFERROR(LOOKUP(1,0/((成型機資料庫!$F$362:$F$373=J50)*(成型機資料庫!$G$362:$G$373=K50)),成型機資料庫!$J$362:$J$373),0)</f>
        <v>0</v>
      </c>
      <c r="V50" s="900">
        <f>IFERROR(LOOKUP(1,0/((成型機資料庫!$F$362:$F$373=J50)*(成型機資料庫!$G$362:$G$373=K50)),成型機資料庫!$L$362:$L$373),0)</f>
        <v>0</v>
      </c>
      <c r="W50" s="898">
        <f t="shared" si="12"/>
        <v>0</v>
      </c>
      <c r="X50" s="923">
        <f t="shared" si="15"/>
        <v>0</v>
      </c>
      <c r="Y50" s="898">
        <f t="shared" si="16"/>
        <v>0</v>
      </c>
      <c r="Z50" s="923"/>
      <c r="AA50" s="478">
        <f t="shared" si="13"/>
        <v>0</v>
      </c>
      <c r="AB50" s="438"/>
      <c r="AC50" s="482"/>
      <c r="AD50" s="438"/>
      <c r="AE50" s="438"/>
      <c r="AF50" s="438"/>
    </row>
    <row r="51" spans="1:32" s="433" customFormat="1" ht="15.75">
      <c r="A51" s="434">
        <v>113</v>
      </c>
      <c r="B51" s="581"/>
      <c r="C51" s="581">
        <v>4</v>
      </c>
      <c r="D51" s="581"/>
      <c r="E51" s="581" t="s">
        <v>43</v>
      </c>
      <c r="F51" s="435" t="s">
        <v>42</v>
      </c>
      <c r="G51" s="926"/>
      <c r="H51" s="464"/>
      <c r="I51" s="429"/>
      <c r="J51" s="429"/>
      <c r="K51" s="429"/>
      <c r="L51" s="464"/>
      <c r="M51" s="464"/>
      <c r="N51" s="900">
        <f t="shared" si="14"/>
        <v>0</v>
      </c>
      <c r="O51" s="901">
        <f t="shared" si="9"/>
        <v>0</v>
      </c>
      <c r="P51" s="460"/>
      <c r="Q51" s="438">
        <f>IFERROR(LOOKUP(1,0/((成型機資料庫!$F$362:$F$373=J51)*(成型機資料庫!$G$362:$G$373=K51)),成型機資料庫!$K$362:$K$373),0)</f>
        <v>0</v>
      </c>
      <c r="R51" s="899">
        <f t="shared" si="10"/>
        <v>0</v>
      </c>
      <c r="S51" s="898">
        <f t="shared" si="11"/>
        <v>0</v>
      </c>
      <c r="T51" s="923">
        <f>IFERROR(LOOKUP(1,0/((成型機資料庫!$F$362:$F$373=J51)*(成型機資料庫!$G$362:$G$373=K51)),成型機資料庫!$I$362:$I$373),0)</f>
        <v>0</v>
      </c>
      <c r="U51" s="944">
        <f>IFERROR(LOOKUP(1,0/((成型機資料庫!$F$362:$F$373=J51)*(成型機資料庫!$G$362:$G$373=K51)),成型機資料庫!$J$362:$J$373),0)</f>
        <v>0</v>
      </c>
      <c r="V51" s="900">
        <f>IFERROR(LOOKUP(1,0/((成型機資料庫!$F$362:$F$373=J51)*(成型機資料庫!$G$362:$G$373=K51)),成型機資料庫!$L$362:$L$373),0)</f>
        <v>0</v>
      </c>
      <c r="W51" s="898">
        <f t="shared" si="12"/>
        <v>0</v>
      </c>
      <c r="X51" s="923">
        <f t="shared" si="15"/>
        <v>0</v>
      </c>
      <c r="Y51" s="898">
        <f t="shared" si="16"/>
        <v>0</v>
      </c>
      <c r="Z51" s="923"/>
      <c r="AA51" s="478">
        <f t="shared" si="13"/>
        <v>0</v>
      </c>
      <c r="AB51" s="438"/>
      <c r="AC51" s="482"/>
      <c r="AD51" s="438"/>
      <c r="AE51" s="464"/>
      <c r="AF51" s="438"/>
    </row>
    <row r="52" spans="1:32" s="433" customFormat="1" ht="15.75">
      <c r="A52" s="434">
        <v>113</v>
      </c>
      <c r="B52" s="581"/>
      <c r="C52" s="581">
        <v>5</v>
      </c>
      <c r="D52" s="581"/>
      <c r="E52" s="581" t="s">
        <v>43</v>
      </c>
      <c r="F52" s="435" t="s">
        <v>42</v>
      </c>
      <c r="G52" s="926"/>
      <c r="H52" s="464"/>
      <c r="I52" s="429"/>
      <c r="J52" s="429"/>
      <c r="K52" s="429"/>
      <c r="L52" s="464"/>
      <c r="M52" s="464"/>
      <c r="N52" s="900">
        <f t="shared" si="14"/>
        <v>0</v>
      </c>
      <c r="O52" s="901">
        <f t="shared" si="9"/>
        <v>0</v>
      </c>
      <c r="P52" s="460"/>
      <c r="Q52" s="438">
        <f>IFERROR(LOOKUP(1,0/((成型機資料庫!$F$362:$F$373=J52)*(成型機資料庫!$G$362:$G$373=K52)),成型機資料庫!$K$362:$K$373),0)</f>
        <v>0</v>
      </c>
      <c r="R52" s="899">
        <f t="shared" si="10"/>
        <v>0</v>
      </c>
      <c r="S52" s="898">
        <f t="shared" si="11"/>
        <v>0</v>
      </c>
      <c r="T52" s="923">
        <f>IFERROR(LOOKUP(1,0/((成型機資料庫!$F$362:$F$373=J52)*(成型機資料庫!$G$362:$G$373=K52)),成型機資料庫!$I$362:$I$373),0)</f>
        <v>0</v>
      </c>
      <c r="U52" s="944">
        <f>IFERROR(LOOKUP(1,0/((成型機資料庫!$F$362:$F$373=J52)*(成型機資料庫!$G$362:$G$373=K52)),成型機資料庫!$J$362:$J$373),0)</f>
        <v>0</v>
      </c>
      <c r="V52" s="900">
        <f>IFERROR(LOOKUP(1,0/((成型機資料庫!$F$362:$F$373=J52)*(成型機資料庫!$G$362:$G$373=K52)),成型機資料庫!$L$362:$L$373),0)</f>
        <v>0</v>
      </c>
      <c r="W52" s="898">
        <f t="shared" si="12"/>
        <v>0</v>
      </c>
      <c r="X52" s="923">
        <f t="shared" si="15"/>
        <v>0</v>
      </c>
      <c r="Y52" s="898">
        <f t="shared" si="16"/>
        <v>0</v>
      </c>
      <c r="Z52" s="923"/>
      <c r="AA52" s="478">
        <f t="shared" si="13"/>
        <v>0</v>
      </c>
      <c r="AB52" s="438"/>
      <c r="AC52" s="482"/>
      <c r="AD52" s="438"/>
      <c r="AE52" s="438"/>
      <c r="AF52" s="438"/>
    </row>
    <row r="53" spans="1:32" s="433" customFormat="1" ht="15.75">
      <c r="A53" s="434">
        <v>113</v>
      </c>
      <c r="B53" s="581"/>
      <c r="C53" s="581">
        <v>6</v>
      </c>
      <c r="D53" s="581"/>
      <c r="E53" s="581" t="s">
        <v>43</v>
      </c>
      <c r="F53" s="435" t="s">
        <v>42</v>
      </c>
      <c r="G53" s="926"/>
      <c r="H53" s="464"/>
      <c r="I53" s="429"/>
      <c r="J53" s="429"/>
      <c r="K53" s="429"/>
      <c r="L53" s="464"/>
      <c r="M53" s="464"/>
      <c r="N53" s="900">
        <f t="shared" si="14"/>
        <v>0</v>
      </c>
      <c r="O53" s="901">
        <f t="shared" si="9"/>
        <v>0</v>
      </c>
      <c r="P53" s="460"/>
      <c r="Q53" s="438">
        <f>IFERROR(LOOKUP(1,0/((成型機資料庫!$F$362:$F$373=J53)*(成型機資料庫!$G$362:$G$373=K53)),成型機資料庫!$K$362:$K$373),0)</f>
        <v>0</v>
      </c>
      <c r="R53" s="899">
        <f t="shared" si="10"/>
        <v>0</v>
      </c>
      <c r="S53" s="898">
        <f t="shared" si="11"/>
        <v>0</v>
      </c>
      <c r="T53" s="923">
        <f>IFERROR(LOOKUP(1,0/((成型機資料庫!$F$362:$F$373=J53)*(成型機資料庫!$G$362:$G$373=K53)),成型機資料庫!$I$362:$I$373),0)</f>
        <v>0</v>
      </c>
      <c r="U53" s="944">
        <f>IFERROR(LOOKUP(1,0/((成型機資料庫!$F$362:$F$373=J53)*(成型機資料庫!$G$362:$G$373=K53)),成型機資料庫!$J$362:$J$373),0)</f>
        <v>0</v>
      </c>
      <c r="V53" s="900">
        <f>IFERROR(LOOKUP(1,0/((成型機資料庫!$F$362:$F$373=J53)*(成型機資料庫!$G$362:$G$373=K53)),成型機資料庫!$L$362:$L$373),0)</f>
        <v>0</v>
      </c>
      <c r="W53" s="898">
        <f t="shared" si="12"/>
        <v>0</v>
      </c>
      <c r="X53" s="923">
        <f t="shared" si="15"/>
        <v>0</v>
      </c>
      <c r="Y53" s="898">
        <f t="shared" si="16"/>
        <v>0</v>
      </c>
      <c r="Z53" s="923"/>
      <c r="AA53" s="478">
        <f t="shared" si="13"/>
        <v>0</v>
      </c>
      <c r="AB53" s="438"/>
      <c r="AC53" s="482"/>
      <c r="AD53" s="879"/>
      <c r="AE53" s="438"/>
      <c r="AF53" s="438"/>
    </row>
    <row r="54" spans="1:32" s="433" customFormat="1" ht="15.75">
      <c r="A54" s="434">
        <v>113</v>
      </c>
      <c r="B54" s="581"/>
      <c r="C54" s="581">
        <v>7</v>
      </c>
      <c r="D54" s="581"/>
      <c r="E54" s="581" t="s">
        <v>43</v>
      </c>
      <c r="F54" s="435" t="s">
        <v>42</v>
      </c>
      <c r="G54" s="927"/>
      <c r="H54" s="464"/>
      <c r="I54" s="429"/>
      <c r="J54" s="429"/>
      <c r="K54" s="429"/>
      <c r="L54" s="464"/>
      <c r="M54" s="464"/>
      <c r="N54" s="900">
        <f t="shared" si="14"/>
        <v>0</v>
      </c>
      <c r="O54" s="901">
        <f t="shared" si="9"/>
        <v>0</v>
      </c>
      <c r="P54" s="460"/>
      <c r="Q54" s="438">
        <f>IFERROR(LOOKUP(1,0/((成型機資料庫!$F$362:$F$373=J54)*(成型機資料庫!$G$362:$G$373=K54)),成型機資料庫!$K$362:$K$373),0)</f>
        <v>0</v>
      </c>
      <c r="R54" s="899">
        <f t="shared" si="10"/>
        <v>0</v>
      </c>
      <c r="S54" s="898">
        <f t="shared" si="11"/>
        <v>0</v>
      </c>
      <c r="T54" s="923">
        <f>IFERROR(LOOKUP(1,0/((成型機資料庫!$F$362:$F$373=J54)*(成型機資料庫!$G$362:$G$373=K54)),成型機資料庫!$I$362:$I$373),0)</f>
        <v>0</v>
      </c>
      <c r="U54" s="944">
        <f>IFERROR(LOOKUP(1,0/((成型機資料庫!$F$362:$F$373=J54)*(成型機資料庫!$G$362:$G$373=K54)),成型機資料庫!$J$362:$J$373),0)</f>
        <v>0</v>
      </c>
      <c r="V54" s="900">
        <f>IFERROR(LOOKUP(1,0/((成型機資料庫!$F$362:$F$373=J54)*(成型機資料庫!$G$362:$G$373=K54)),成型機資料庫!$L$362:$L$373),0)</f>
        <v>0</v>
      </c>
      <c r="W54" s="898">
        <f t="shared" si="12"/>
        <v>0</v>
      </c>
      <c r="X54" s="923">
        <f t="shared" si="15"/>
        <v>0</v>
      </c>
      <c r="Y54" s="898">
        <f t="shared" si="16"/>
        <v>0</v>
      </c>
      <c r="Z54" s="923"/>
      <c r="AA54" s="478">
        <f t="shared" si="13"/>
        <v>0</v>
      </c>
      <c r="AB54" s="438"/>
      <c r="AC54" s="482"/>
      <c r="AD54" s="464"/>
      <c r="AE54" s="438"/>
      <c r="AF54" s="438"/>
    </row>
    <row r="55" spans="1:32" s="433" customFormat="1" ht="15.75">
      <c r="A55" s="434">
        <v>113</v>
      </c>
      <c r="B55" s="581"/>
      <c r="C55" s="581">
        <v>8</v>
      </c>
      <c r="D55" s="581"/>
      <c r="E55" s="581" t="s">
        <v>43</v>
      </c>
      <c r="F55" s="435" t="s">
        <v>42</v>
      </c>
      <c r="G55" s="927"/>
      <c r="H55" s="464"/>
      <c r="I55" s="429"/>
      <c r="J55" s="429"/>
      <c r="K55" s="429"/>
      <c r="L55" s="464"/>
      <c r="M55" s="464"/>
      <c r="N55" s="900">
        <f t="shared" si="14"/>
        <v>0</v>
      </c>
      <c r="O55" s="901">
        <f t="shared" si="9"/>
        <v>0</v>
      </c>
      <c r="P55" s="460"/>
      <c r="Q55" s="438">
        <f>IFERROR(LOOKUP(1,0/((成型機資料庫!$F$362:$F$373=J55)*(成型機資料庫!$G$362:$G$373=K55)),成型機資料庫!$K$362:$K$373),0)</f>
        <v>0</v>
      </c>
      <c r="R55" s="899">
        <f t="shared" si="10"/>
        <v>0</v>
      </c>
      <c r="S55" s="898">
        <f t="shared" si="11"/>
        <v>0</v>
      </c>
      <c r="T55" s="923">
        <f>IFERROR(LOOKUP(1,0/((成型機資料庫!$F$362:$F$373=J55)*(成型機資料庫!$G$362:$G$373=K55)),成型機資料庫!$I$362:$I$373),0)</f>
        <v>0</v>
      </c>
      <c r="U55" s="944">
        <f>IFERROR(LOOKUP(1,0/((成型機資料庫!$F$362:$F$373=J55)*(成型機資料庫!$G$362:$G$373=K55)),成型機資料庫!$J$362:$J$373),0)</f>
        <v>0</v>
      </c>
      <c r="V55" s="900">
        <f>IFERROR(LOOKUP(1,0/((成型機資料庫!$F$362:$F$373=J55)*(成型機資料庫!$G$362:$G$373=K55)),成型機資料庫!$L$362:$L$373),0)</f>
        <v>0</v>
      </c>
      <c r="W55" s="898">
        <f t="shared" si="12"/>
        <v>0</v>
      </c>
      <c r="X55" s="923">
        <f t="shared" si="15"/>
        <v>0</v>
      </c>
      <c r="Y55" s="898">
        <f t="shared" si="16"/>
        <v>0</v>
      </c>
      <c r="Z55" s="923"/>
      <c r="AA55" s="478">
        <f t="shared" si="13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9</v>
      </c>
      <c r="D56" s="581"/>
      <c r="E56" s="581" t="s">
        <v>43</v>
      </c>
      <c r="F56" s="435" t="s">
        <v>42</v>
      </c>
      <c r="G56" s="926"/>
      <c r="H56" s="464"/>
      <c r="I56" s="429"/>
      <c r="J56" s="429"/>
      <c r="K56" s="429"/>
      <c r="L56" s="464"/>
      <c r="M56" s="464"/>
      <c r="N56" s="900">
        <f t="shared" si="14"/>
        <v>0</v>
      </c>
      <c r="O56" s="901">
        <f t="shared" si="9"/>
        <v>0</v>
      </c>
      <c r="P56" s="460"/>
      <c r="Q56" s="438">
        <f>IFERROR(LOOKUP(1,0/((成型機資料庫!$F$362:$F$373=J56)*(成型機資料庫!$G$362:$G$373=K56)),成型機資料庫!$K$362:$K$373),0)</f>
        <v>0</v>
      </c>
      <c r="R56" s="899">
        <f t="shared" si="10"/>
        <v>0</v>
      </c>
      <c r="S56" s="898">
        <f t="shared" si="11"/>
        <v>0</v>
      </c>
      <c r="T56" s="923">
        <f>IFERROR(LOOKUP(1,0/((成型機資料庫!$F$362:$F$373=J56)*(成型機資料庫!$G$362:$G$373=K56)),成型機資料庫!$I$362:$I$373),0)</f>
        <v>0</v>
      </c>
      <c r="U56" s="944">
        <f>IFERROR(LOOKUP(1,0/((成型機資料庫!$F$362:$F$373=J56)*(成型機資料庫!$G$362:$G$373=K56)),成型機資料庫!$J$362:$J$373),0)</f>
        <v>0</v>
      </c>
      <c r="V56" s="900">
        <f>IFERROR(LOOKUP(1,0/((成型機資料庫!$F$362:$F$373=J56)*(成型機資料庫!$G$362:$G$373=K56)),成型機資料庫!$L$362:$L$373),0)</f>
        <v>0</v>
      </c>
      <c r="W56" s="898">
        <f t="shared" si="12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3"/>
        <v>0</v>
      </c>
      <c r="AB56" s="438"/>
      <c r="AC56" s="482"/>
      <c r="AD56" s="464"/>
      <c r="AE56" s="438"/>
      <c r="AF56" s="438"/>
    </row>
    <row r="57" spans="1:32" s="433" customFormat="1" ht="15.75">
      <c r="A57" s="434">
        <v>113</v>
      </c>
      <c r="B57" s="581"/>
      <c r="C57" s="581">
        <v>10</v>
      </c>
      <c r="D57" s="581"/>
      <c r="E57" s="581" t="s">
        <v>43</v>
      </c>
      <c r="F57" s="435" t="s">
        <v>42</v>
      </c>
      <c r="G57" s="926"/>
      <c r="H57" s="464"/>
      <c r="I57" s="429"/>
      <c r="J57" s="429"/>
      <c r="K57" s="429"/>
      <c r="L57" s="464"/>
      <c r="M57" s="464"/>
      <c r="N57" s="900">
        <f t="shared" si="14"/>
        <v>0</v>
      </c>
      <c r="O57" s="901">
        <f t="shared" si="9"/>
        <v>0</v>
      </c>
      <c r="P57" s="460"/>
      <c r="Q57" s="438">
        <f>IFERROR(LOOKUP(1,0/((成型機資料庫!$F$362:$F$373=J57)*(成型機資料庫!$G$362:$G$373=K57)),成型機資料庫!$K$362:$K$373),0)</f>
        <v>0</v>
      </c>
      <c r="R57" s="899">
        <f t="shared" si="10"/>
        <v>0</v>
      </c>
      <c r="S57" s="898">
        <f t="shared" si="11"/>
        <v>0</v>
      </c>
      <c r="T57" s="923">
        <f>IFERROR(LOOKUP(1,0/((成型機資料庫!$F$362:$F$373=J57)*(成型機資料庫!$G$362:$G$373=K57)),成型機資料庫!$I$362:$I$373),0)</f>
        <v>0</v>
      </c>
      <c r="U57" s="944">
        <f>IFERROR(LOOKUP(1,0/((成型機資料庫!$F$362:$F$373=J57)*(成型機資料庫!$G$362:$G$373=K57)),成型機資料庫!$J$362:$J$373),0)</f>
        <v>0</v>
      </c>
      <c r="V57" s="900">
        <f>IFERROR(LOOKUP(1,0/((成型機資料庫!$F$362:$F$373=J57)*(成型機資料庫!$G$362:$G$373=K57)),成型機資料庫!$L$362:$L$373),0)</f>
        <v>0</v>
      </c>
      <c r="W57" s="898">
        <f t="shared" si="12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3"/>
        <v>0</v>
      </c>
      <c r="AB57" s="438"/>
      <c r="AC57" s="482"/>
      <c r="AD57" s="438"/>
      <c r="AE57" s="438"/>
      <c r="AF57" s="438"/>
    </row>
    <row r="58" spans="1:32" s="433" customFormat="1" ht="15.75">
      <c r="A58" s="434">
        <v>113</v>
      </c>
      <c r="B58" s="581"/>
      <c r="C58" s="581">
        <v>11</v>
      </c>
      <c r="D58" s="581"/>
      <c r="E58" s="581" t="s">
        <v>43</v>
      </c>
      <c r="F58" s="435" t="s">
        <v>42</v>
      </c>
      <c r="G58" s="926"/>
      <c r="H58" s="464"/>
      <c r="I58" s="429"/>
      <c r="J58" s="429"/>
      <c r="K58" s="429"/>
      <c r="L58" s="464"/>
      <c r="M58" s="464"/>
      <c r="N58" s="900">
        <f t="shared" si="14"/>
        <v>0</v>
      </c>
      <c r="O58" s="901">
        <f t="shared" si="9"/>
        <v>0</v>
      </c>
      <c r="P58" s="460"/>
      <c r="Q58" s="438">
        <f>IFERROR(LOOKUP(1,0/((成型機資料庫!$F$362:$F$373=J58)*(成型機資料庫!$G$362:$G$373=K58)),成型機資料庫!$K$362:$K$373),0)</f>
        <v>0</v>
      </c>
      <c r="R58" s="899">
        <f t="shared" si="10"/>
        <v>0</v>
      </c>
      <c r="S58" s="898">
        <f t="shared" si="11"/>
        <v>0</v>
      </c>
      <c r="T58" s="923">
        <f>IFERROR(LOOKUP(1,0/((成型機資料庫!$F$362:$F$373=J58)*(成型機資料庫!$G$362:$G$373=K58)),成型機資料庫!$I$362:$I$373),0)</f>
        <v>0</v>
      </c>
      <c r="U58" s="944">
        <f>IFERROR(LOOKUP(1,0/((成型機資料庫!$F$362:$F$373=J58)*(成型機資料庫!$G$362:$G$373=K58)),成型機資料庫!$J$362:$J$373),0)</f>
        <v>0</v>
      </c>
      <c r="V58" s="900">
        <f>IFERROR(LOOKUP(1,0/((成型機資料庫!$F$362:$F$373=J58)*(成型機資料庫!$G$362:$G$373=K58)),成型機資料庫!$L$362:$L$373),0)</f>
        <v>0</v>
      </c>
      <c r="W58" s="898">
        <f t="shared" si="12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3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12</v>
      </c>
      <c r="D59" s="581"/>
      <c r="E59" s="581" t="s">
        <v>43</v>
      </c>
      <c r="F59" s="435" t="s">
        <v>42</v>
      </c>
      <c r="G59" s="926"/>
      <c r="H59" s="464"/>
      <c r="I59" s="429"/>
      <c r="J59" s="429"/>
      <c r="K59" s="429"/>
      <c r="L59" s="464"/>
      <c r="M59" s="464"/>
      <c r="N59" s="900">
        <f t="shared" si="14"/>
        <v>0</v>
      </c>
      <c r="O59" s="901">
        <f t="shared" si="9"/>
        <v>0</v>
      </c>
      <c r="P59" s="460"/>
      <c r="Q59" s="438">
        <f>IFERROR(LOOKUP(1,0/((成型機資料庫!$F$362:$F$373=J59)*(成型機資料庫!$G$362:$G$373=K59)),成型機資料庫!$K$362:$K$373),0)</f>
        <v>0</v>
      </c>
      <c r="R59" s="899">
        <f t="shared" si="10"/>
        <v>0</v>
      </c>
      <c r="S59" s="898">
        <f t="shared" si="11"/>
        <v>0</v>
      </c>
      <c r="T59" s="923">
        <f>IFERROR(LOOKUP(1,0/((成型機資料庫!$F$362:$F$373=J59)*(成型機資料庫!$G$362:$G$373=K59)),成型機資料庫!$I$362:$I$373),0)</f>
        <v>0</v>
      </c>
      <c r="U59" s="944">
        <f>IFERROR(LOOKUP(1,0/((成型機資料庫!$F$362:$F$373=J59)*(成型機資料庫!$G$362:$G$373=K59)),成型機資料庫!$J$362:$J$373),0)</f>
        <v>0</v>
      </c>
      <c r="V59" s="900">
        <f>IFERROR(LOOKUP(1,0/((成型機資料庫!$F$362:$F$373=J59)*(成型機資料庫!$G$362:$G$373=K59)),成型機資料庫!$L$362:$L$373),0)</f>
        <v>0</v>
      </c>
      <c r="W59" s="898">
        <f t="shared" si="12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3"/>
        <v>0</v>
      </c>
      <c r="AB59" s="438"/>
      <c r="AC59" s="482"/>
      <c r="AD59" s="438"/>
      <c r="AE59" s="438"/>
      <c r="AF59" s="438"/>
    </row>
    <row r="60" spans="1:32" s="433" customFormat="1" ht="15.75">
      <c r="A60" s="434">
        <v>113</v>
      </c>
      <c r="B60" s="581"/>
      <c r="C60" s="581">
        <v>13</v>
      </c>
      <c r="D60" s="581"/>
      <c r="E60" s="581" t="s">
        <v>43</v>
      </c>
      <c r="F60" s="435" t="s">
        <v>42</v>
      </c>
      <c r="G60" s="926"/>
      <c r="H60" s="464"/>
      <c r="I60" s="429"/>
      <c r="J60" s="429"/>
      <c r="K60" s="429"/>
      <c r="L60" s="464"/>
      <c r="M60" s="464"/>
      <c r="N60" s="900">
        <f t="shared" si="14"/>
        <v>0</v>
      </c>
      <c r="O60" s="901">
        <f t="shared" si="9"/>
        <v>0</v>
      </c>
      <c r="P60" s="460"/>
      <c r="Q60" s="438">
        <f>IFERROR(LOOKUP(1,0/((成型機資料庫!$F$362:$F$373=J60)*(成型機資料庫!$G$362:$G$373=K60)),成型機資料庫!$K$362:$K$373),0)</f>
        <v>0</v>
      </c>
      <c r="R60" s="899">
        <f t="shared" si="10"/>
        <v>0</v>
      </c>
      <c r="S60" s="898">
        <f t="shared" si="11"/>
        <v>0</v>
      </c>
      <c r="T60" s="923">
        <f>IFERROR(LOOKUP(1,0/((成型機資料庫!$F$362:$F$373=J60)*(成型機資料庫!$G$362:$G$373=K60)),成型機資料庫!$I$362:$I$373),0)</f>
        <v>0</v>
      </c>
      <c r="U60" s="944">
        <f>IFERROR(LOOKUP(1,0/((成型機資料庫!$F$362:$F$373=J60)*(成型機資料庫!$G$362:$G$373=K60)),成型機資料庫!$J$362:$J$373),0)</f>
        <v>0</v>
      </c>
      <c r="V60" s="900">
        <f>IFERROR(LOOKUP(1,0/((成型機資料庫!$F$362:$F$373=J60)*(成型機資料庫!$G$362:$G$373=K60)),成型機資料庫!$L$362:$L$373),0)</f>
        <v>0</v>
      </c>
      <c r="W60" s="898">
        <f t="shared" si="12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3"/>
        <v>0</v>
      </c>
      <c r="AB60" s="438"/>
      <c r="AC60" s="482"/>
      <c r="AD60" s="464"/>
      <c r="AE60" s="438"/>
      <c r="AF60" s="438"/>
    </row>
    <row r="61" spans="1:32" s="433" customFormat="1" ht="15.75">
      <c r="A61" s="434">
        <v>113</v>
      </c>
      <c r="B61" s="581"/>
      <c r="C61" s="581">
        <v>14</v>
      </c>
      <c r="D61" s="581"/>
      <c r="E61" s="581" t="s">
        <v>43</v>
      </c>
      <c r="F61" s="435" t="s">
        <v>42</v>
      </c>
      <c r="G61" s="926"/>
      <c r="H61" s="464"/>
      <c r="I61" s="429"/>
      <c r="J61" s="429"/>
      <c r="K61" s="429"/>
      <c r="L61" s="464"/>
      <c r="M61" s="464"/>
      <c r="N61" s="900">
        <f t="shared" si="14"/>
        <v>0</v>
      </c>
      <c r="O61" s="901">
        <f t="shared" si="9"/>
        <v>0</v>
      </c>
      <c r="P61" s="460"/>
      <c r="Q61" s="438">
        <f>IFERROR(LOOKUP(1,0/((成型機資料庫!$F$362:$F$373=J61)*(成型機資料庫!$G$362:$G$373=K61)),成型機資料庫!$K$362:$K$373),0)</f>
        <v>0</v>
      </c>
      <c r="R61" s="899">
        <f t="shared" si="10"/>
        <v>0</v>
      </c>
      <c r="S61" s="898">
        <f t="shared" si="11"/>
        <v>0</v>
      </c>
      <c r="T61" s="923">
        <f>IFERROR(LOOKUP(1,0/((成型機資料庫!$F$362:$F$373=J61)*(成型機資料庫!$G$362:$G$373=K61)),成型機資料庫!$I$362:$I$373),0)</f>
        <v>0</v>
      </c>
      <c r="U61" s="944">
        <f>IFERROR(LOOKUP(1,0/((成型機資料庫!$F$362:$F$373=J61)*(成型機資料庫!$G$362:$G$373=K61)),成型機資料庫!$J$362:$J$373),0)</f>
        <v>0</v>
      </c>
      <c r="V61" s="900">
        <f>IFERROR(LOOKUP(1,0/((成型機資料庫!$F$362:$F$373=J61)*(成型機資料庫!$G$362:$G$373=K61)),成型機資料庫!$L$362:$L$373),0)</f>
        <v>0</v>
      </c>
      <c r="W61" s="898">
        <f t="shared" si="12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3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581"/>
      <c r="C62" s="581">
        <v>15</v>
      </c>
      <c r="D62" s="581"/>
      <c r="E62" s="581" t="s">
        <v>43</v>
      </c>
      <c r="F62" s="435" t="s">
        <v>42</v>
      </c>
      <c r="G62" s="927"/>
      <c r="H62" s="464"/>
      <c r="I62" s="429"/>
      <c r="J62" s="429"/>
      <c r="K62" s="429"/>
      <c r="L62" s="464"/>
      <c r="M62" s="464"/>
      <c r="N62" s="900">
        <f t="shared" si="14"/>
        <v>0</v>
      </c>
      <c r="O62" s="901">
        <f t="shared" si="9"/>
        <v>0</v>
      </c>
      <c r="P62" s="460"/>
      <c r="Q62" s="438">
        <f>IFERROR(LOOKUP(1,0/((成型機資料庫!$F$362:$F$373=J62)*(成型機資料庫!$G$362:$G$373=K62)),成型機資料庫!$K$362:$K$373),0)</f>
        <v>0</v>
      </c>
      <c r="R62" s="899">
        <f t="shared" si="10"/>
        <v>0</v>
      </c>
      <c r="S62" s="898">
        <f t="shared" si="11"/>
        <v>0</v>
      </c>
      <c r="T62" s="923">
        <f>IFERROR(LOOKUP(1,0/((成型機資料庫!$F$362:$F$373=J62)*(成型機資料庫!$G$362:$G$373=K62)),成型機資料庫!$I$362:$I$373),0)</f>
        <v>0</v>
      </c>
      <c r="U62" s="944">
        <f>IFERROR(LOOKUP(1,0/((成型機資料庫!$F$362:$F$373=J62)*(成型機資料庫!$G$362:$G$373=K62)),成型機資料庫!$J$362:$J$373),0)</f>
        <v>0</v>
      </c>
      <c r="V62" s="900">
        <f>IFERROR(LOOKUP(1,0/((成型機資料庫!$F$362:$F$373=J62)*(成型機資料庫!$G$362:$G$373=K62)),成型機資料庫!$L$362:$L$373),0)</f>
        <v>0</v>
      </c>
      <c r="W62" s="898">
        <f t="shared" si="12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3"/>
        <v>0</v>
      </c>
      <c r="AB62" s="438"/>
      <c r="AC62" s="482"/>
      <c r="AD62" s="438"/>
      <c r="AE62" s="438"/>
      <c r="AF62" s="438"/>
    </row>
    <row r="63" spans="1:32" s="433" customFormat="1" ht="15.75">
      <c r="A63" s="434">
        <v>113</v>
      </c>
      <c r="B63" s="581"/>
      <c r="C63" s="581">
        <v>16</v>
      </c>
      <c r="D63" s="581"/>
      <c r="E63" s="581" t="s">
        <v>43</v>
      </c>
      <c r="F63" s="435" t="s">
        <v>42</v>
      </c>
      <c r="G63" s="927"/>
      <c r="H63" s="464"/>
      <c r="I63" s="429"/>
      <c r="J63" s="429"/>
      <c r="K63" s="429"/>
      <c r="L63" s="464"/>
      <c r="M63" s="464"/>
      <c r="N63" s="900">
        <f t="shared" si="14"/>
        <v>0</v>
      </c>
      <c r="O63" s="901">
        <f t="shared" si="9"/>
        <v>0</v>
      </c>
      <c r="P63" s="460"/>
      <c r="Q63" s="438">
        <f>IFERROR(LOOKUP(1,0/((成型機資料庫!$F$362:$F$373=J63)*(成型機資料庫!$G$362:$G$373=K63)),成型機資料庫!$K$362:$K$373),0)</f>
        <v>0</v>
      </c>
      <c r="R63" s="899">
        <f t="shared" si="10"/>
        <v>0</v>
      </c>
      <c r="S63" s="898">
        <f t="shared" si="11"/>
        <v>0</v>
      </c>
      <c r="T63" s="923">
        <f>IFERROR(LOOKUP(1,0/((成型機資料庫!$F$362:$F$373=J63)*(成型機資料庫!$G$362:$G$373=K63)),成型機資料庫!$I$362:$I$373),0)</f>
        <v>0</v>
      </c>
      <c r="U63" s="944">
        <f>IFERROR(LOOKUP(1,0/((成型機資料庫!$F$362:$F$373=J63)*(成型機資料庫!$G$362:$G$373=K63)),成型機資料庫!$J$362:$J$373),0)</f>
        <v>0</v>
      </c>
      <c r="V63" s="900">
        <f>IFERROR(LOOKUP(1,0/((成型機資料庫!$F$362:$F$373=J63)*(成型機資料庫!$G$362:$G$373=K63)),成型機資料庫!$L$362:$L$373),0)</f>
        <v>0</v>
      </c>
      <c r="W63" s="898">
        <f t="shared" si="12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3"/>
        <v>0</v>
      </c>
      <c r="AB63" s="438"/>
      <c r="AC63" s="482"/>
      <c r="AD63" s="464"/>
      <c r="AE63" s="464"/>
      <c r="AF63" s="438"/>
    </row>
    <row r="64" spans="1:32" s="433" customFormat="1" ht="15.75">
      <c r="A64" s="434">
        <v>113</v>
      </c>
      <c r="B64" s="581"/>
      <c r="C64" s="581">
        <v>17</v>
      </c>
      <c r="D64" s="581"/>
      <c r="E64" s="581" t="s">
        <v>43</v>
      </c>
      <c r="F64" s="435" t="s">
        <v>42</v>
      </c>
      <c r="G64" s="927"/>
      <c r="H64" s="464"/>
      <c r="I64" s="429"/>
      <c r="J64" s="429"/>
      <c r="K64" s="429"/>
      <c r="L64" s="464"/>
      <c r="M64" s="464"/>
      <c r="N64" s="900">
        <f t="shared" si="14"/>
        <v>0</v>
      </c>
      <c r="O64" s="901">
        <f t="shared" si="9"/>
        <v>0</v>
      </c>
      <c r="P64" s="460"/>
      <c r="Q64" s="438">
        <f>IFERROR(LOOKUP(1,0/((成型機資料庫!$F$362:$F$373=J64)*(成型機資料庫!$G$362:$G$373=K64)),成型機資料庫!$K$362:$K$373),0)</f>
        <v>0</v>
      </c>
      <c r="R64" s="899">
        <f t="shared" si="10"/>
        <v>0</v>
      </c>
      <c r="S64" s="898">
        <f t="shared" si="11"/>
        <v>0</v>
      </c>
      <c r="T64" s="923">
        <f>IFERROR(LOOKUP(1,0/((成型機資料庫!$F$362:$F$373=J64)*(成型機資料庫!$G$362:$G$373=K64)),成型機資料庫!$I$362:$I$373),0)</f>
        <v>0</v>
      </c>
      <c r="U64" s="944">
        <f>IFERROR(LOOKUP(1,0/((成型機資料庫!$F$362:$F$373=J64)*(成型機資料庫!$G$362:$G$373=K64)),成型機資料庫!$J$362:$J$373),0)</f>
        <v>0</v>
      </c>
      <c r="V64" s="900">
        <f>IFERROR(LOOKUP(1,0/((成型機資料庫!$F$362:$F$373=J64)*(成型機資料庫!$G$362:$G$373=K64)),成型機資料庫!$L$362:$L$373),0)</f>
        <v>0</v>
      </c>
      <c r="W64" s="898">
        <f t="shared" si="12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3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434"/>
      <c r="C65" s="434">
        <v>18</v>
      </c>
      <c r="D65" s="581"/>
      <c r="E65" s="581" t="s">
        <v>43</v>
      </c>
      <c r="F65" s="435" t="s">
        <v>42</v>
      </c>
      <c r="G65" s="926"/>
      <c r="H65" s="464"/>
      <c r="I65" s="429"/>
      <c r="J65" s="429"/>
      <c r="K65" s="429"/>
      <c r="L65" s="464"/>
      <c r="M65" s="464"/>
      <c r="N65" s="900">
        <f t="shared" si="14"/>
        <v>0</v>
      </c>
      <c r="O65" s="901">
        <f t="shared" si="9"/>
        <v>0</v>
      </c>
      <c r="P65" s="460"/>
      <c r="Q65" s="438">
        <f>IFERROR(LOOKUP(1,0/((成型機資料庫!$F$362:$F$373=J65)*(成型機資料庫!$G$362:$G$373=K65)),成型機資料庫!$K$362:$K$373),0)</f>
        <v>0</v>
      </c>
      <c r="R65" s="899">
        <f t="shared" si="10"/>
        <v>0</v>
      </c>
      <c r="S65" s="898">
        <f t="shared" si="11"/>
        <v>0</v>
      </c>
      <c r="T65" s="923">
        <f>IFERROR(LOOKUP(1,0/((成型機資料庫!$F$362:$F$373=J65)*(成型機資料庫!$G$362:$G$373=K65)),成型機資料庫!$I$362:$I$373),0)</f>
        <v>0</v>
      </c>
      <c r="U65" s="944">
        <f>IFERROR(LOOKUP(1,0/((成型機資料庫!$F$362:$F$373=J65)*(成型機資料庫!$G$362:$G$373=K65)),成型機資料庫!$J$362:$J$373),0)</f>
        <v>0</v>
      </c>
      <c r="V65" s="900">
        <f>IFERROR(LOOKUP(1,0/((成型機資料庫!$F$362:$F$373=J65)*(成型機資料庫!$G$362:$G$373=K65)),成型機資料庫!$L$362:$L$373),0)</f>
        <v>0</v>
      </c>
      <c r="W65" s="898">
        <f t="shared" si="12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3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434"/>
      <c r="C66" s="434">
        <v>19</v>
      </c>
      <c r="D66" s="581"/>
      <c r="E66" s="581" t="s">
        <v>43</v>
      </c>
      <c r="F66" s="435" t="s">
        <v>42</v>
      </c>
      <c r="G66" s="926"/>
      <c r="H66" s="464"/>
      <c r="I66" s="429"/>
      <c r="J66" s="429"/>
      <c r="K66" s="429"/>
      <c r="L66" s="464"/>
      <c r="M66" s="464"/>
      <c r="N66" s="900">
        <f t="shared" si="14"/>
        <v>0</v>
      </c>
      <c r="O66" s="901">
        <f t="shared" si="9"/>
        <v>0</v>
      </c>
      <c r="P66" s="460"/>
      <c r="Q66" s="438">
        <f>IFERROR(LOOKUP(1,0/((成型機資料庫!$F$362:$F$373=J66)*(成型機資料庫!$G$362:$G$373=K66)),成型機資料庫!$K$362:$K$373),0)</f>
        <v>0</v>
      </c>
      <c r="R66" s="899">
        <f t="shared" si="10"/>
        <v>0</v>
      </c>
      <c r="S66" s="898">
        <f t="shared" si="11"/>
        <v>0</v>
      </c>
      <c r="T66" s="923">
        <f>IFERROR(LOOKUP(1,0/((成型機資料庫!$F$362:$F$373=J66)*(成型機資料庫!$G$362:$G$373=K66)),成型機資料庫!$I$362:$I$373),0)</f>
        <v>0</v>
      </c>
      <c r="U66" s="944">
        <f>IFERROR(LOOKUP(1,0/((成型機資料庫!$F$362:$F$373=J66)*(成型機資料庫!$G$362:$G$373=K66)),成型機資料庫!$J$362:$J$373),0)</f>
        <v>0</v>
      </c>
      <c r="V66" s="900">
        <f>IFERROR(LOOKUP(1,0/((成型機資料庫!$F$362:$F$373=J66)*(成型機資料庫!$G$362:$G$373=K66)),成型機資料庫!$L$362:$L$373),0)</f>
        <v>0</v>
      </c>
      <c r="W66" s="898">
        <f t="shared" si="12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3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20</v>
      </c>
      <c r="D67" s="581"/>
      <c r="E67" s="581" t="s">
        <v>43</v>
      </c>
      <c r="F67" s="435" t="s">
        <v>42</v>
      </c>
      <c r="G67" s="926"/>
      <c r="H67" s="464"/>
      <c r="I67" s="429"/>
      <c r="J67" s="429"/>
      <c r="K67" s="429"/>
      <c r="L67" s="464"/>
      <c r="M67" s="464"/>
      <c r="N67" s="900">
        <f t="shared" si="14"/>
        <v>0</v>
      </c>
      <c r="O67" s="901">
        <f t="shared" si="9"/>
        <v>0</v>
      </c>
      <c r="P67" s="460"/>
      <c r="Q67" s="438">
        <f>IFERROR(LOOKUP(1,0/((成型機資料庫!$F$362:$F$373=J67)*(成型機資料庫!$G$362:$G$373=K67)),成型機資料庫!$K$362:$K$373),0)</f>
        <v>0</v>
      </c>
      <c r="R67" s="899">
        <f t="shared" si="10"/>
        <v>0</v>
      </c>
      <c r="S67" s="898">
        <f t="shared" si="11"/>
        <v>0</v>
      </c>
      <c r="T67" s="923">
        <f>IFERROR(LOOKUP(1,0/((成型機資料庫!$F$362:$F$373=J67)*(成型機資料庫!$G$362:$G$373=K67)),成型機資料庫!$I$362:$I$373),0)</f>
        <v>0</v>
      </c>
      <c r="U67" s="944">
        <f>IFERROR(LOOKUP(1,0/((成型機資料庫!$F$362:$F$373=J67)*(成型機資料庫!$G$362:$G$373=K67)),成型機資料庫!$J$362:$J$373),0)</f>
        <v>0</v>
      </c>
      <c r="V67" s="900">
        <f>IFERROR(LOOKUP(1,0/((成型機資料庫!$F$362:$F$373=J67)*(成型機資料庫!$G$362:$G$373=K67)),成型機資料庫!$L$362:$L$373),0)</f>
        <v>0</v>
      </c>
      <c r="W67" s="898">
        <f t="shared" si="12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3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21</v>
      </c>
      <c r="D68" s="581"/>
      <c r="E68" s="581" t="s">
        <v>43</v>
      </c>
      <c r="F68" s="435" t="s">
        <v>42</v>
      </c>
      <c r="G68" s="926"/>
      <c r="H68" s="464"/>
      <c r="I68" s="429"/>
      <c r="J68" s="429"/>
      <c r="K68" s="429"/>
      <c r="L68" s="464"/>
      <c r="M68" s="464"/>
      <c r="N68" s="900">
        <f t="shared" si="14"/>
        <v>0</v>
      </c>
      <c r="O68" s="901">
        <f t="shared" si="9"/>
        <v>0</v>
      </c>
      <c r="P68" s="460"/>
      <c r="Q68" s="438">
        <f>IFERROR(LOOKUP(1,0/((成型機資料庫!$F$362:$F$373=J68)*(成型機資料庫!$G$362:$G$373=K68)),成型機資料庫!$K$362:$K$373),0)</f>
        <v>0</v>
      </c>
      <c r="R68" s="899">
        <f t="shared" si="10"/>
        <v>0</v>
      </c>
      <c r="S68" s="898">
        <f t="shared" si="11"/>
        <v>0</v>
      </c>
      <c r="T68" s="923">
        <f>IFERROR(LOOKUP(1,0/((成型機資料庫!$F$362:$F$373=J68)*(成型機資料庫!$G$362:$G$373=K68)),成型機資料庫!$I$362:$I$373),0)</f>
        <v>0</v>
      </c>
      <c r="U68" s="944">
        <f>IFERROR(LOOKUP(1,0/((成型機資料庫!$F$362:$F$373=J68)*(成型機資料庫!$G$362:$G$373=K68)),成型機資料庫!$J$362:$J$373),0)</f>
        <v>0</v>
      </c>
      <c r="V68" s="900">
        <f>IFERROR(LOOKUP(1,0/((成型機資料庫!$F$362:$F$373=J68)*(成型機資料庫!$G$362:$G$373=K68)),成型機資料庫!$L$362:$L$373),0)</f>
        <v>0</v>
      </c>
      <c r="W68" s="898">
        <f t="shared" si="12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3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22</v>
      </c>
      <c r="D69" s="581"/>
      <c r="E69" s="581" t="s">
        <v>43</v>
      </c>
      <c r="F69" s="435" t="s">
        <v>42</v>
      </c>
      <c r="G69" s="927"/>
      <c r="H69" s="464"/>
      <c r="I69" s="429"/>
      <c r="J69" s="429"/>
      <c r="K69" s="429"/>
      <c r="L69" s="464"/>
      <c r="M69" s="464"/>
      <c r="N69" s="900">
        <f t="shared" si="14"/>
        <v>0</v>
      </c>
      <c r="O69" s="901">
        <f t="shared" si="9"/>
        <v>0</v>
      </c>
      <c r="P69" s="460"/>
      <c r="Q69" s="438">
        <f>IFERROR(LOOKUP(1,0/((成型機資料庫!$F$362:$F$373=J69)*(成型機資料庫!$G$362:$G$373=K69)),成型機資料庫!$K$362:$K$373),0)</f>
        <v>0</v>
      </c>
      <c r="R69" s="899">
        <f t="shared" si="10"/>
        <v>0</v>
      </c>
      <c r="S69" s="898">
        <f t="shared" si="11"/>
        <v>0</v>
      </c>
      <c r="T69" s="923">
        <f>IFERROR(LOOKUP(1,0/((成型機資料庫!$F$362:$F$373=J69)*(成型機資料庫!$G$362:$G$373=K69)),成型機資料庫!$I$362:$I$373),0)</f>
        <v>0</v>
      </c>
      <c r="U69" s="944">
        <f>IFERROR(LOOKUP(1,0/((成型機資料庫!$F$362:$F$373=J69)*(成型機資料庫!$G$362:$G$373=K69)),成型機資料庫!$J$362:$J$373),0)</f>
        <v>0</v>
      </c>
      <c r="V69" s="900">
        <f>IFERROR(LOOKUP(1,0/((成型機資料庫!$F$362:$F$373=J69)*(成型機資料庫!$G$362:$G$373=K69)),成型機資料庫!$L$362:$L$373),0)</f>
        <v>0</v>
      </c>
      <c r="W69" s="898">
        <f t="shared" si="12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3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23</v>
      </c>
      <c r="D70" s="581"/>
      <c r="E70" s="581" t="s">
        <v>43</v>
      </c>
      <c r="F70" s="435" t="s">
        <v>42</v>
      </c>
      <c r="G70" s="926"/>
      <c r="H70" s="464"/>
      <c r="I70" s="429"/>
      <c r="J70" s="429"/>
      <c r="K70" s="429"/>
      <c r="L70" s="464"/>
      <c r="M70" s="464"/>
      <c r="N70" s="900">
        <f t="shared" si="14"/>
        <v>0</v>
      </c>
      <c r="O70" s="901">
        <f t="shared" si="9"/>
        <v>0</v>
      </c>
      <c r="P70" s="460"/>
      <c r="Q70" s="438">
        <f>IFERROR(LOOKUP(1,0/((成型機資料庫!$F$362:$F$373=J70)*(成型機資料庫!$G$362:$G$373=K70)),成型機資料庫!$K$362:$K$373),0)</f>
        <v>0</v>
      </c>
      <c r="R70" s="899">
        <f t="shared" si="10"/>
        <v>0</v>
      </c>
      <c r="S70" s="898">
        <f t="shared" si="11"/>
        <v>0</v>
      </c>
      <c r="T70" s="923">
        <f>IFERROR(LOOKUP(1,0/((成型機資料庫!$F$362:$F$373=J70)*(成型機資料庫!$G$362:$G$373=K70)),成型機資料庫!$I$362:$I$373),0)</f>
        <v>0</v>
      </c>
      <c r="U70" s="944">
        <f>IFERROR(LOOKUP(1,0/((成型機資料庫!$F$362:$F$373=J70)*(成型機資料庫!$G$362:$G$373=K70)),成型機資料庫!$J$362:$J$373),0)</f>
        <v>0</v>
      </c>
      <c r="V70" s="900">
        <f>IFERROR(LOOKUP(1,0/((成型機資料庫!$F$362:$F$373=J70)*(成型機資料庫!$G$362:$G$373=K70)),成型機資料庫!$L$362:$L$373),0)</f>
        <v>0</v>
      </c>
      <c r="W70" s="898">
        <f t="shared" si="12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3"/>
        <v>0</v>
      </c>
      <c r="AB70" s="438"/>
      <c r="AC70" s="482"/>
      <c r="AD70" s="464"/>
      <c r="AE70" s="464"/>
      <c r="AF70" s="438"/>
    </row>
    <row r="71" spans="1:32" s="433" customFormat="1" ht="15.75">
      <c r="A71" s="434">
        <v>113</v>
      </c>
      <c r="B71" s="434"/>
      <c r="C71" s="434">
        <v>24</v>
      </c>
      <c r="D71" s="581"/>
      <c r="E71" s="581" t="s">
        <v>43</v>
      </c>
      <c r="F71" s="435" t="s">
        <v>42</v>
      </c>
      <c r="G71" s="926"/>
      <c r="H71" s="464"/>
      <c r="I71" s="429"/>
      <c r="J71" s="429"/>
      <c r="K71" s="429"/>
      <c r="L71" s="464"/>
      <c r="M71" s="464"/>
      <c r="N71" s="900">
        <f t="shared" si="14"/>
        <v>0</v>
      </c>
      <c r="O71" s="901">
        <f t="shared" si="9"/>
        <v>0</v>
      </c>
      <c r="P71" s="460"/>
      <c r="Q71" s="438">
        <f>IFERROR(LOOKUP(1,0/((成型機資料庫!$F$362:$F$373=J71)*(成型機資料庫!$G$362:$G$373=K71)),成型機資料庫!$K$362:$K$373),0)</f>
        <v>0</v>
      </c>
      <c r="R71" s="899">
        <f t="shared" si="10"/>
        <v>0</v>
      </c>
      <c r="S71" s="898">
        <f t="shared" si="11"/>
        <v>0</v>
      </c>
      <c r="T71" s="923">
        <f>IFERROR(LOOKUP(1,0/((成型機資料庫!$F$362:$F$373=J71)*(成型機資料庫!$G$362:$G$373=K71)),成型機資料庫!$I$362:$I$373),0)</f>
        <v>0</v>
      </c>
      <c r="U71" s="944">
        <f>IFERROR(LOOKUP(1,0/((成型機資料庫!$F$362:$F$373=J71)*(成型機資料庫!$G$362:$G$373=K71)),成型機資料庫!$J$362:$J$373),0)</f>
        <v>0</v>
      </c>
      <c r="V71" s="900">
        <f>IFERROR(LOOKUP(1,0/((成型機資料庫!$F$362:$F$373=J71)*(成型機資料庫!$G$362:$G$373=K71)),成型機資料庫!$L$362:$L$373),0)</f>
        <v>0</v>
      </c>
      <c r="W71" s="898">
        <f t="shared" si="12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3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25</v>
      </c>
      <c r="D72" s="581"/>
      <c r="E72" s="581" t="s">
        <v>43</v>
      </c>
      <c r="F72" s="435" t="s">
        <v>42</v>
      </c>
      <c r="G72" s="926"/>
      <c r="H72" s="464"/>
      <c r="I72" s="429"/>
      <c r="J72" s="429"/>
      <c r="K72" s="429"/>
      <c r="L72" s="464"/>
      <c r="M72" s="464"/>
      <c r="N72" s="900">
        <f t="shared" si="14"/>
        <v>0</v>
      </c>
      <c r="O72" s="901">
        <f t="shared" si="9"/>
        <v>0</v>
      </c>
      <c r="P72" s="460"/>
      <c r="Q72" s="438">
        <f>IFERROR(LOOKUP(1,0/((成型機資料庫!$F$362:$F$373=J72)*(成型機資料庫!$G$362:$G$373=K72)),成型機資料庫!$K$362:$K$373),0)</f>
        <v>0</v>
      </c>
      <c r="R72" s="899">
        <f t="shared" si="10"/>
        <v>0</v>
      </c>
      <c r="S72" s="898">
        <f t="shared" si="11"/>
        <v>0</v>
      </c>
      <c r="T72" s="923">
        <f>IFERROR(LOOKUP(1,0/((成型機資料庫!$F$362:$F$373=J72)*(成型機資料庫!$G$362:$G$373=K72)),成型機資料庫!$I$362:$I$373),0)</f>
        <v>0</v>
      </c>
      <c r="U72" s="944">
        <f>IFERROR(LOOKUP(1,0/((成型機資料庫!$F$362:$F$373=J72)*(成型機資料庫!$G$362:$G$373=K72)),成型機資料庫!$J$362:$J$373),0)</f>
        <v>0</v>
      </c>
      <c r="V72" s="900">
        <f>IFERROR(LOOKUP(1,0/((成型機資料庫!$F$362:$F$373=J72)*(成型機資料庫!$G$362:$G$373=K72)),成型機資料庫!$L$362:$L$373),0)</f>
        <v>0</v>
      </c>
      <c r="W72" s="898">
        <f t="shared" si="12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3"/>
        <v>0</v>
      </c>
      <c r="AB72" s="438"/>
      <c r="AC72" s="482"/>
      <c r="AD72" s="464"/>
      <c r="AE72" s="464"/>
      <c r="AF72" s="438"/>
    </row>
    <row r="73" spans="1:32" s="433" customFormat="1" ht="15.75">
      <c r="A73" s="434">
        <v>113</v>
      </c>
      <c r="B73" s="434"/>
      <c r="C73" s="434">
        <v>26</v>
      </c>
      <c r="D73" s="581"/>
      <c r="E73" s="581" t="s">
        <v>43</v>
      </c>
      <c r="F73" s="435" t="s">
        <v>42</v>
      </c>
      <c r="G73" s="926"/>
      <c r="H73" s="464"/>
      <c r="I73" s="429"/>
      <c r="J73" s="429"/>
      <c r="K73" s="429"/>
      <c r="L73" s="464"/>
      <c r="M73" s="464"/>
      <c r="N73" s="900">
        <f t="shared" si="14"/>
        <v>0</v>
      </c>
      <c r="O73" s="901">
        <f t="shared" si="9"/>
        <v>0</v>
      </c>
      <c r="P73" s="460"/>
      <c r="Q73" s="438">
        <f>IFERROR(LOOKUP(1,0/((成型機資料庫!$F$362:$F$373=J73)*(成型機資料庫!$G$362:$G$373=K73)),成型機資料庫!$K$362:$K$373),0)</f>
        <v>0</v>
      </c>
      <c r="R73" s="899">
        <f t="shared" si="10"/>
        <v>0</v>
      </c>
      <c r="S73" s="898">
        <f t="shared" si="11"/>
        <v>0</v>
      </c>
      <c r="T73" s="923">
        <f>IFERROR(LOOKUP(1,0/((成型機資料庫!$F$362:$F$373=J73)*(成型機資料庫!$G$362:$G$373=K73)),成型機資料庫!$I$362:$I$373),0)</f>
        <v>0</v>
      </c>
      <c r="U73" s="944">
        <f>IFERROR(LOOKUP(1,0/((成型機資料庫!$F$362:$F$373=J73)*(成型機資料庫!$G$362:$G$373=K73)),成型機資料庫!$J$362:$J$373),0)</f>
        <v>0</v>
      </c>
      <c r="V73" s="900">
        <f>IFERROR(LOOKUP(1,0/((成型機資料庫!$F$362:$F$373=J73)*(成型機資料庫!$G$362:$G$373=K73)),成型機資料庫!$L$362:$L$373),0)</f>
        <v>0</v>
      </c>
      <c r="W73" s="898">
        <f t="shared" si="12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3"/>
        <v>0</v>
      </c>
      <c r="AB73" s="438"/>
      <c r="AC73" s="482"/>
      <c r="AD73" s="438"/>
      <c r="AE73" s="464"/>
      <c r="AF73" s="438"/>
    </row>
    <row r="74" spans="1:32" s="433" customFormat="1" ht="15.75">
      <c r="A74" s="434">
        <v>113</v>
      </c>
      <c r="B74" s="434"/>
      <c r="C74" s="434">
        <v>27</v>
      </c>
      <c r="D74" s="581"/>
      <c r="E74" s="581" t="s">
        <v>43</v>
      </c>
      <c r="F74" s="435" t="s">
        <v>42</v>
      </c>
      <c r="G74" s="926"/>
      <c r="H74" s="464"/>
      <c r="I74" s="429"/>
      <c r="J74" s="429"/>
      <c r="K74" s="429"/>
      <c r="L74" s="464"/>
      <c r="M74" s="464"/>
      <c r="N74" s="900">
        <f t="shared" si="14"/>
        <v>0</v>
      </c>
      <c r="O74" s="901">
        <f t="shared" si="9"/>
        <v>0</v>
      </c>
      <c r="P74" s="460"/>
      <c r="Q74" s="438">
        <f>IFERROR(LOOKUP(1,0/((成型機資料庫!$F$362:$F$373=J74)*(成型機資料庫!$G$362:$G$373=K74)),成型機資料庫!$K$362:$K$373),0)</f>
        <v>0</v>
      </c>
      <c r="R74" s="899">
        <f t="shared" si="10"/>
        <v>0</v>
      </c>
      <c r="S74" s="898">
        <f t="shared" si="11"/>
        <v>0</v>
      </c>
      <c r="T74" s="923">
        <f>IFERROR(LOOKUP(1,0/((成型機資料庫!$F$362:$F$373=J74)*(成型機資料庫!$G$362:$G$373=K74)),成型機資料庫!$I$362:$I$373),0)</f>
        <v>0</v>
      </c>
      <c r="U74" s="944">
        <f>IFERROR(LOOKUP(1,0/((成型機資料庫!$F$362:$F$373=J74)*(成型機資料庫!$G$362:$G$373=K74)),成型機資料庫!$J$362:$J$373),0)</f>
        <v>0</v>
      </c>
      <c r="V74" s="900">
        <f>IFERROR(LOOKUP(1,0/((成型機資料庫!$F$362:$F$373=J74)*(成型機資料庫!$G$362:$G$373=K74)),成型機資料庫!$L$362:$L$373),0)</f>
        <v>0</v>
      </c>
      <c r="W74" s="898">
        <f t="shared" si="12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3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581"/>
      <c r="C75" s="581">
        <v>28</v>
      </c>
      <c r="D75" s="581"/>
      <c r="E75" s="581" t="s">
        <v>43</v>
      </c>
      <c r="F75" s="435" t="s">
        <v>42</v>
      </c>
      <c r="G75" s="926"/>
      <c r="H75" s="464"/>
      <c r="I75" s="429"/>
      <c r="J75" s="429"/>
      <c r="K75" s="429"/>
      <c r="L75" s="464"/>
      <c r="M75" s="464"/>
      <c r="N75" s="900">
        <f t="shared" si="14"/>
        <v>0</v>
      </c>
      <c r="O75" s="901">
        <f t="shared" si="9"/>
        <v>0</v>
      </c>
      <c r="P75" s="460"/>
      <c r="Q75" s="438">
        <f>IFERROR(LOOKUP(1,0/((成型機資料庫!$F$362:$F$373=J75)*(成型機資料庫!$G$362:$G$373=K75)),成型機資料庫!$K$362:$K$373),0)</f>
        <v>0</v>
      </c>
      <c r="R75" s="899">
        <f t="shared" si="10"/>
        <v>0</v>
      </c>
      <c r="S75" s="898">
        <f t="shared" si="11"/>
        <v>0</v>
      </c>
      <c r="T75" s="923">
        <f>IFERROR(LOOKUP(1,0/((成型機資料庫!$F$362:$F$373=J75)*(成型機資料庫!$G$362:$G$373=K75)),成型機資料庫!$I$362:$I$373),0)</f>
        <v>0</v>
      </c>
      <c r="U75" s="944">
        <f>IFERROR(LOOKUP(1,0/((成型機資料庫!$F$362:$F$373=J75)*(成型機資料庫!$G$362:$G$373=K75)),成型機資料庫!$J$362:$J$373),0)</f>
        <v>0</v>
      </c>
      <c r="V75" s="900">
        <f>IFERROR(LOOKUP(1,0/((成型機資料庫!$F$362:$F$373=J75)*(成型機資料庫!$G$362:$G$373=K75)),成型機資料庫!$L$362:$L$373),0)</f>
        <v>0</v>
      </c>
      <c r="W75" s="898">
        <f t="shared" si="12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3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581"/>
      <c r="C76" s="581">
        <v>29</v>
      </c>
      <c r="D76" s="581"/>
      <c r="E76" s="581" t="s">
        <v>43</v>
      </c>
      <c r="F76" s="435" t="s">
        <v>42</v>
      </c>
      <c r="G76" s="926"/>
      <c r="H76" s="464"/>
      <c r="I76" s="429"/>
      <c r="J76" s="429"/>
      <c r="K76" s="429"/>
      <c r="L76" s="464"/>
      <c r="M76" s="464"/>
      <c r="N76" s="900">
        <f t="shared" si="14"/>
        <v>0</v>
      </c>
      <c r="O76" s="901">
        <f t="shared" si="9"/>
        <v>0</v>
      </c>
      <c r="P76" s="460"/>
      <c r="Q76" s="438">
        <f>IFERROR(LOOKUP(1,0/((成型機資料庫!$F$362:$F$373=J76)*(成型機資料庫!$G$362:$G$373=K76)),成型機資料庫!$K$362:$K$373),0)</f>
        <v>0</v>
      </c>
      <c r="R76" s="899">
        <f t="shared" si="10"/>
        <v>0</v>
      </c>
      <c r="S76" s="898">
        <f t="shared" si="11"/>
        <v>0</v>
      </c>
      <c r="T76" s="923">
        <f>IFERROR(LOOKUP(1,0/((成型機資料庫!$F$362:$F$373=J76)*(成型機資料庫!$G$362:$G$373=K76)),成型機資料庫!$I$362:$I$373),0)</f>
        <v>0</v>
      </c>
      <c r="U76" s="944">
        <f>IFERROR(LOOKUP(1,0/((成型機資料庫!$F$362:$F$373=J76)*(成型機資料庫!$G$362:$G$373=K76)),成型機資料庫!$J$362:$J$373),0)</f>
        <v>0</v>
      </c>
      <c r="V76" s="900">
        <f>IFERROR(LOOKUP(1,0/((成型機資料庫!$F$362:$F$373=J76)*(成型機資料庫!$G$362:$G$373=K76)),成型機資料庫!$L$362:$L$373),0)</f>
        <v>0</v>
      </c>
      <c r="W76" s="898">
        <f t="shared" si="12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3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581"/>
      <c r="C77" s="581">
        <v>30</v>
      </c>
      <c r="D77" s="581"/>
      <c r="E77" s="581" t="s">
        <v>43</v>
      </c>
      <c r="F77" s="435" t="s">
        <v>42</v>
      </c>
      <c r="G77" s="926"/>
      <c r="H77" s="464"/>
      <c r="I77" s="429"/>
      <c r="J77" s="429"/>
      <c r="K77" s="429"/>
      <c r="L77" s="464"/>
      <c r="M77" s="464"/>
      <c r="N77" s="900">
        <f t="shared" si="14"/>
        <v>0</v>
      </c>
      <c r="O77" s="901">
        <f t="shared" si="9"/>
        <v>0</v>
      </c>
      <c r="P77" s="460"/>
      <c r="Q77" s="438">
        <f>IFERROR(LOOKUP(1,0/((成型機資料庫!$F$362:$F$373=J77)*(成型機資料庫!$G$362:$G$373=K77)),成型機資料庫!$K$362:$K$373),0)</f>
        <v>0</v>
      </c>
      <c r="R77" s="899">
        <f t="shared" si="10"/>
        <v>0</v>
      </c>
      <c r="S77" s="898">
        <f t="shared" si="11"/>
        <v>0</v>
      </c>
      <c r="T77" s="923">
        <f>IFERROR(LOOKUP(1,0/((成型機資料庫!$F$362:$F$373=J77)*(成型機資料庫!$G$362:$G$373=K77)),成型機資料庫!$I$362:$I$373),0)</f>
        <v>0</v>
      </c>
      <c r="U77" s="944">
        <f>IFERROR(LOOKUP(1,0/((成型機資料庫!$F$362:$F$373=J77)*(成型機資料庫!$G$362:$G$373=K77)),成型機資料庫!$J$362:$J$373),0)</f>
        <v>0</v>
      </c>
      <c r="V77" s="900">
        <f>IFERROR(LOOKUP(1,0/((成型機資料庫!$F$362:$F$373=J77)*(成型機資料庫!$G$362:$G$373=K77)),成型機資料庫!$L$362:$L$373),0)</f>
        <v>0</v>
      </c>
      <c r="W77" s="898">
        <f t="shared" si="12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3"/>
        <v>0</v>
      </c>
      <c r="AB77" s="438"/>
      <c r="AC77" s="482"/>
      <c r="AD77" s="464"/>
      <c r="AE77" s="438"/>
      <c r="AF77" s="438"/>
    </row>
    <row r="78" spans="1:32" s="433" customFormat="1" ht="15.75">
      <c r="A78" s="446"/>
      <c r="B78" s="456"/>
      <c r="C78" s="456"/>
      <c r="D78" s="456"/>
      <c r="E78" s="456"/>
      <c r="F78" s="448"/>
      <c r="G78" s="951"/>
      <c r="H78" s="452"/>
      <c r="I78" s="430"/>
      <c r="J78" s="469"/>
      <c r="K78" s="469"/>
      <c r="L78" s="452"/>
      <c r="M78" s="452"/>
      <c r="N78" s="945"/>
      <c r="O78" s="946"/>
      <c r="P78" s="868"/>
      <c r="Q78" s="467"/>
      <c r="R78" s="948"/>
      <c r="S78" s="936"/>
      <c r="T78" s="936"/>
      <c r="U78" s="936"/>
      <c r="V78" s="945"/>
      <c r="W78" s="936"/>
      <c r="X78" s="947"/>
      <c r="Y78" s="936"/>
      <c r="Z78" s="947"/>
      <c r="AA78" s="488"/>
      <c r="AB78" s="439"/>
      <c r="AC78" s="471"/>
      <c r="AD78" s="452"/>
      <c r="AE78" s="439"/>
      <c r="AF78" s="439"/>
    </row>
    <row r="79" spans="1:32" s="433" customFormat="1" ht="15.75">
      <c r="A79" s="446"/>
      <c r="B79" s="456"/>
      <c r="C79" s="456"/>
      <c r="D79" s="456"/>
      <c r="E79" s="456"/>
      <c r="F79" s="448"/>
      <c r="G79" s="951"/>
      <c r="H79" s="452"/>
      <c r="I79" s="430"/>
      <c r="J79" s="469"/>
      <c r="K79" s="469"/>
      <c r="L79" s="452"/>
      <c r="M79" s="452"/>
      <c r="N79" s="945"/>
      <c r="O79" s="946"/>
      <c r="P79" s="868"/>
      <c r="Q79" s="467"/>
      <c r="R79" s="948"/>
      <c r="S79" s="936"/>
      <c r="T79" s="936"/>
      <c r="U79" s="936"/>
      <c r="V79" s="945"/>
      <c r="W79" s="936"/>
      <c r="X79" s="947"/>
      <c r="Y79" s="936"/>
      <c r="Z79" s="947"/>
      <c r="AA79" s="488"/>
      <c r="AB79" s="439"/>
      <c r="AC79" s="471"/>
      <c r="AD79" s="452"/>
      <c r="AE79" s="439"/>
      <c r="AF79" s="439"/>
    </row>
    <row r="80" spans="1:32" s="433" customFormat="1" thickBot="1">
      <c r="A80" s="446"/>
      <c r="B80" s="446"/>
      <c r="C80" s="446"/>
      <c r="D80" s="446"/>
      <c r="E80" s="446"/>
      <c r="F80" s="448"/>
      <c r="G80" s="448"/>
      <c r="H80" s="430"/>
      <c r="I80" s="430"/>
      <c r="J80" s="430"/>
      <c r="K80" s="430"/>
      <c r="L80" s="439"/>
      <c r="M80" s="452"/>
      <c r="N80" s="452"/>
      <c r="O80" s="457"/>
      <c r="P80" s="466"/>
      <c r="Q80" s="467"/>
      <c r="R80" s="486"/>
      <c r="S80" s="457"/>
      <c r="T80" s="457"/>
      <c r="U80" s="457"/>
      <c r="V80" s="458"/>
      <c r="W80" s="487">
        <f>SUM(W48:W77)</f>
        <v>0</v>
      </c>
      <c r="X80" s="487"/>
      <c r="Y80" s="487"/>
      <c r="Z80" s="487"/>
      <c r="AA80" s="488"/>
      <c r="AB80" s="489"/>
      <c r="AC80" s="489"/>
      <c r="AD80" s="469" t="s">
        <v>46</v>
      </c>
      <c r="AE80" s="439"/>
      <c r="AF80" s="439"/>
    </row>
    <row r="81" spans="1:32" s="469" customFormat="1" ht="31.5">
      <c r="A81" s="479"/>
      <c r="B81" s="479"/>
      <c r="C81" s="479"/>
      <c r="D81" s="479"/>
      <c r="E81" s="479"/>
      <c r="F81" s="452"/>
      <c r="G81" s="524" t="s">
        <v>503</v>
      </c>
      <c r="H81" s="517"/>
      <c r="I81" s="518"/>
      <c r="L81" s="1842" t="s">
        <v>1349</v>
      </c>
      <c r="M81" s="525" t="s">
        <v>1294</v>
      </c>
      <c r="N81" s="525" t="s">
        <v>1295</v>
      </c>
      <c r="O81" s="526" t="s">
        <v>458</v>
      </c>
      <c r="P81" s="520"/>
      <c r="Q81" s="521"/>
      <c r="R81" s="524" t="s">
        <v>504</v>
      </c>
      <c r="S81" s="524" t="s">
        <v>455</v>
      </c>
      <c r="T81" s="521"/>
      <c r="U81" s="521"/>
      <c r="V81" s="524" t="s">
        <v>1293</v>
      </c>
      <c r="W81" s="524" t="s">
        <v>459</v>
      </c>
      <c r="X81" s="521"/>
      <c r="Y81" s="524" t="s">
        <v>1345</v>
      </c>
      <c r="Z81" s="524" t="s">
        <v>1350</v>
      </c>
      <c r="AA81" s="524" t="s">
        <v>1351</v>
      </c>
      <c r="AB81" s="524" t="s">
        <v>1353</v>
      </c>
      <c r="AC81" s="524" t="s">
        <v>1352</v>
      </c>
      <c r="AD81" s="469" t="s">
        <v>253</v>
      </c>
      <c r="AE81" s="452"/>
      <c r="AF81" s="452"/>
    </row>
    <row r="82" spans="1:32" thickBot="1">
      <c r="G82" s="522">
        <f>SUM(G48:G77)</f>
        <v>0</v>
      </c>
      <c r="I82" s="431"/>
      <c r="J82" s="518"/>
      <c r="K82" s="518"/>
      <c r="L82" s="1843"/>
      <c r="M82" s="522">
        <f>SUM(M48:M77)</f>
        <v>0</v>
      </c>
      <c r="N82" s="522">
        <f>SUM(N48:N77)</f>
        <v>0</v>
      </c>
      <c r="O82" s="902">
        <f>SUM(O48:O77)</f>
        <v>0</v>
      </c>
      <c r="P82" s="470"/>
      <c r="R82" s="924">
        <f>SUM(R48:R77)</f>
        <v>0</v>
      </c>
      <c r="S82" s="897" t="e">
        <f>(G82-R82)/G82</f>
        <v>#DIV/0!</v>
      </c>
      <c r="T82" s="446"/>
      <c r="U82" s="446"/>
      <c r="V82" s="686" t="e">
        <f>N82/W82</f>
        <v>#DIV/0!</v>
      </c>
      <c r="W82" s="516" t="e">
        <f>W80/Y82</f>
        <v>#DIV/0!</v>
      </c>
      <c r="X82" s="446"/>
      <c r="Y82" s="516"/>
      <c r="Z82" s="958">
        <f>SUM(Z48:Z77)</f>
        <v>0</v>
      </c>
      <c r="AA82" s="516">
        <f>SUM(AA48:AA77)</f>
        <v>0</v>
      </c>
      <c r="AB82" s="516">
        <f>Z82-AA82</f>
        <v>0</v>
      </c>
      <c r="AC82" s="896" t="e">
        <f>AA82/Z82</f>
        <v>#DIV/0!</v>
      </c>
    </row>
    <row r="83" spans="1:32">
      <c r="O83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L81:L82"/>
    <mergeCell ref="L42:L43"/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C2"/>
    <mergeCell ref="AD2:AD3"/>
    <mergeCell ref="AE2:AE3"/>
    <mergeCell ref="AF2:AF3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R46:R47"/>
    <mergeCell ref="S46:S47"/>
    <mergeCell ref="T46:T47"/>
    <mergeCell ref="U46:U47"/>
    <mergeCell ref="V46:V47"/>
    <mergeCell ref="W46:W47"/>
    <mergeCell ref="AE46:AE47"/>
    <mergeCell ref="AF46:AF47"/>
    <mergeCell ref="X46:X47"/>
    <mergeCell ref="Y46:Y47"/>
    <mergeCell ref="Z46:Z47"/>
    <mergeCell ref="AA46:AA47"/>
    <mergeCell ref="AB46:AC46"/>
    <mergeCell ref="AD46:AD47"/>
  </mergeCells>
  <phoneticPr fontId="26" type="noConversion"/>
  <conditionalFormatting sqref="G1:G1048576">
    <cfRule type="cellIs" dxfId="227" priority="43" stopIfTrue="1" operator="equal">
      <formula>"未開機"</formula>
    </cfRule>
  </conditionalFormatting>
  <conditionalFormatting sqref="R48:U79">
    <cfRule type="expression" dxfId="226" priority="1" stopIfTrue="1">
      <formula>R48=0</formula>
    </cfRule>
  </conditionalFormatting>
  <conditionalFormatting sqref="W9:W40">
    <cfRule type="expression" dxfId="225" priority="33" stopIfTrue="1">
      <formula>W9=0</formula>
    </cfRule>
    <cfRule type="expression" dxfId="224" priority="37" stopIfTrue="1">
      <formula>W9=0</formula>
    </cfRule>
    <cfRule type="cellIs" dxfId="223" priority="36" stopIfTrue="1" operator="between">
      <formula>0.7</formula>
      <formula>0.85</formula>
    </cfRule>
    <cfRule type="cellIs" dxfId="222" priority="35" stopIfTrue="1" operator="between">
      <formula>0.851</formula>
      <formula>1</formula>
    </cfRule>
    <cfRule type="cellIs" dxfId="221" priority="34" stopIfTrue="1" operator="lessThan">
      <formula>0.7</formula>
    </cfRule>
  </conditionalFormatting>
  <conditionalFormatting sqref="W48:W79">
    <cfRule type="cellIs" dxfId="220" priority="19" stopIfTrue="1" operator="between">
      <formula>0.7</formula>
      <formula>0.85</formula>
    </cfRule>
    <cfRule type="expression" dxfId="219" priority="20" stopIfTrue="1">
      <formula>W48=0</formula>
    </cfRule>
    <cfRule type="expression" dxfId="218" priority="16" stopIfTrue="1">
      <formula>W48=0</formula>
    </cfRule>
    <cfRule type="cellIs" dxfId="217" priority="17" stopIfTrue="1" operator="lessThan">
      <formula>0.7</formula>
    </cfRule>
    <cfRule type="cellIs" dxfId="216" priority="18" stopIfTrue="1" operator="between">
      <formula>0.851</formula>
      <formula>1</formula>
    </cfRule>
  </conditionalFormatting>
  <conditionalFormatting sqref="W4:Y7 S4:U4 S5:S7 T5:U38 R9:S38 Z9:Z40 R39:U40">
    <cfRule type="expression" dxfId="215" priority="42" stopIfTrue="1">
      <formula>R4=0</formula>
    </cfRule>
  </conditionalFormatting>
  <conditionalFormatting sqref="W4:Y7">
    <cfRule type="cellIs" dxfId="214" priority="41" stopIfTrue="1" operator="between">
      <formula>0.7</formula>
      <formula>0.85</formula>
    </cfRule>
    <cfRule type="cellIs" dxfId="213" priority="40" stopIfTrue="1" operator="between">
      <formula>0.851</formula>
      <formula>1</formula>
    </cfRule>
    <cfRule type="cellIs" dxfId="212" priority="39" stopIfTrue="1" operator="lessThan">
      <formula>0.7</formula>
    </cfRule>
    <cfRule type="expression" dxfId="211" priority="38" stopIfTrue="1">
      <formula>W4=0</formula>
    </cfRule>
  </conditionalFormatting>
  <conditionalFormatting sqref="X10:X40">
    <cfRule type="cellIs" dxfId="210" priority="24" stopIfTrue="1" operator="between">
      <formula>0.851</formula>
      <formula>1</formula>
    </cfRule>
    <cfRule type="cellIs" dxfId="209" priority="25" stopIfTrue="1" operator="between">
      <formula>0.7</formula>
      <formula>0.85</formula>
    </cfRule>
    <cfRule type="expression" dxfId="208" priority="26" stopIfTrue="1">
      <formula>X10=0</formula>
    </cfRule>
    <cfRule type="expression" dxfId="207" priority="22" stopIfTrue="1">
      <formula>X10=0</formula>
    </cfRule>
    <cfRule type="cellIs" dxfId="206" priority="23" stopIfTrue="1" operator="lessThan">
      <formula>0.7</formula>
    </cfRule>
  </conditionalFormatting>
  <conditionalFormatting sqref="X49:X79">
    <cfRule type="expression" dxfId="205" priority="5" stopIfTrue="1">
      <formula>X49=0</formula>
    </cfRule>
    <cfRule type="cellIs" dxfId="204" priority="6" stopIfTrue="1" operator="lessThan">
      <formula>0.7</formula>
    </cfRule>
    <cfRule type="expression" dxfId="203" priority="9" stopIfTrue="1">
      <formula>X49=0</formula>
    </cfRule>
    <cfRule type="cellIs" dxfId="202" priority="8" stopIfTrue="1" operator="between">
      <formula>0.7</formula>
      <formula>0.85</formula>
    </cfRule>
    <cfRule type="cellIs" dxfId="201" priority="7" stopIfTrue="1" operator="between">
      <formula>0.851</formula>
      <formula>1</formula>
    </cfRule>
  </conditionalFormatting>
  <conditionalFormatting sqref="X9:Y9 Y10:Y40">
    <cfRule type="expression" dxfId="200" priority="28" stopIfTrue="1">
      <formula>X9=0</formula>
    </cfRule>
    <cfRule type="cellIs" dxfId="199" priority="29" stopIfTrue="1" operator="lessThan">
      <formula>0.7</formula>
    </cfRule>
    <cfRule type="cellIs" dxfId="198" priority="30" stopIfTrue="1" operator="between">
      <formula>0.851</formula>
      <formula>1</formula>
    </cfRule>
    <cfRule type="cellIs" dxfId="197" priority="31" stopIfTrue="1" operator="between">
      <formula>0.7</formula>
      <formula>0.85</formula>
    </cfRule>
    <cfRule type="expression" dxfId="196" priority="32" stopIfTrue="1">
      <formula>X9=0</formula>
    </cfRule>
  </conditionalFormatting>
  <conditionalFormatting sqref="X48:Y48 Y49:Y79">
    <cfRule type="expression" dxfId="195" priority="15" stopIfTrue="1">
      <formula>X48=0</formula>
    </cfRule>
    <cfRule type="cellIs" dxfId="194" priority="14" stopIfTrue="1" operator="between">
      <formula>0.7</formula>
      <formula>0.85</formula>
    </cfRule>
    <cfRule type="cellIs" dxfId="193" priority="13" stopIfTrue="1" operator="between">
      <formula>0.851</formula>
      <formula>1</formula>
    </cfRule>
    <cfRule type="cellIs" dxfId="192" priority="12" stopIfTrue="1" operator="lessThan">
      <formula>0.7</formula>
    </cfRule>
    <cfRule type="expression" dxfId="191" priority="11" stopIfTrue="1">
      <formula>X48=0</formula>
    </cfRule>
  </conditionalFormatting>
  <conditionalFormatting sqref="Y9:Y40">
    <cfRule type="cellIs" dxfId="190" priority="27" stopIfTrue="1" operator="greaterThan">
      <formula>1</formula>
    </cfRule>
  </conditionalFormatting>
  <conditionalFormatting sqref="Y48:Y79">
    <cfRule type="cellIs" dxfId="189" priority="10" stopIfTrue="1" operator="greaterThan">
      <formula>1</formula>
    </cfRule>
  </conditionalFormatting>
  <conditionalFormatting sqref="Z48:Z79">
    <cfRule type="expression" dxfId="188" priority="21" stopIfTrue="1">
      <formula>Z48=0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3CA930DE-40F2-48FA-AEA5-38C602B63CC5}">
          <x14:formula1>
            <xm:f>規格清單!$H$42:$H$45</xm:f>
          </x14:formula1>
          <xm:sqref>J4:J38 J48:J77</xm:sqref>
        </x14:dataValidation>
        <x14:dataValidation type="list" allowBlank="1" showInputMessage="1" showErrorMessage="1" xr:uid="{635BAFBC-C459-4058-90FB-39220260EF12}">
          <x14:formula1>
            <xm:f>成型機資料庫!$A$9:$A$11</xm:f>
          </x14:formula1>
          <xm:sqref>K4:K38 K48:K77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D83"/>
  <sheetViews>
    <sheetView zoomScale="70" zoomScaleNormal="70" workbookViewId="0">
      <pane xSplit="5" ySplit="3" topLeftCell="F4" activePane="bottomRight" state="frozen"/>
      <selection pane="topRight"/>
      <selection pane="bottomLeft"/>
      <selection pane="bottomRight"/>
    </sheetView>
  </sheetViews>
  <sheetFormatPr defaultRowHeight="16.5"/>
  <cols>
    <col min="1" max="5" width="5.625" style="446" customWidth="1"/>
    <col min="6" max="6" width="5.625" style="433" customWidth="1"/>
    <col min="7" max="7" width="17.5" style="454" bestFit="1" customWidth="1"/>
    <col min="8" max="8" width="20.625" style="449" customWidth="1"/>
    <col min="9" max="10" width="42.625" style="450" customWidth="1"/>
    <col min="11" max="11" width="20.375" style="450" customWidth="1"/>
    <col min="12" max="12" width="9.625" style="446" customWidth="1"/>
    <col min="13" max="14" width="20.625" style="446" customWidth="1"/>
    <col min="15" max="15" width="19.625" style="456" bestFit="1" customWidth="1"/>
    <col min="16" max="16" width="9.625" style="455" customWidth="1"/>
    <col min="17" max="17" width="9.625" style="446" customWidth="1"/>
    <col min="18" max="18" width="14.875" style="441" bestFit="1" customWidth="1"/>
    <col min="19" max="21" width="9.625" style="440" customWidth="1"/>
    <col min="22" max="22" width="9.625" style="456" customWidth="1"/>
    <col min="23" max="25" width="9.625" customWidth="1"/>
    <col min="26" max="26" width="11.75" customWidth="1"/>
    <col min="27" max="27" width="7.625" style="445" customWidth="1"/>
    <col min="28" max="29" width="8.625" style="432" customWidth="1"/>
    <col min="30" max="30" width="51.25" style="451" customWidth="1"/>
    <col min="31" max="31" width="32.125" style="433" customWidth="1"/>
    <col min="32" max="32" width="17.625" style="433" customWidth="1"/>
    <col min="33" max="128" width="8.875" style="446" customWidth="1"/>
    <col min="129" max="16384" width="9" style="446"/>
  </cols>
  <sheetData>
    <row r="1" spans="1:56" ht="21.75" thickBot="1">
      <c r="B1" s="1823" t="s">
        <v>1346</v>
      </c>
      <c r="C1" s="1823"/>
      <c r="D1" s="1823"/>
      <c r="E1" s="1823"/>
      <c r="F1" s="1823"/>
      <c r="G1" s="1823"/>
      <c r="H1" s="1823"/>
      <c r="I1" s="1823"/>
      <c r="J1" s="1823"/>
      <c r="K1" s="1823"/>
      <c r="L1" s="1823"/>
      <c r="M1" s="1823"/>
      <c r="N1" s="1823"/>
      <c r="O1" s="1823"/>
      <c r="P1" s="1823"/>
      <c r="Q1" s="1823"/>
      <c r="R1" s="1823"/>
      <c r="S1" s="1823"/>
      <c r="T1" s="1823"/>
      <c r="U1" s="1823"/>
      <c r="V1" s="1823"/>
      <c r="W1" s="1823"/>
      <c r="X1" s="1823"/>
      <c r="Y1" s="1823"/>
      <c r="Z1" s="1823"/>
      <c r="AA1" s="1823"/>
      <c r="AB1" s="1823"/>
      <c r="AC1" s="1823"/>
      <c r="AD1" s="1823"/>
      <c r="AE1" s="1823"/>
      <c r="AF1" s="1823"/>
    </row>
    <row r="2" spans="1:56" ht="15.75">
      <c r="A2" s="1824" t="s">
        <v>668</v>
      </c>
      <c r="B2" s="1824" t="s">
        <v>330</v>
      </c>
      <c r="C2" s="1826" t="s">
        <v>311</v>
      </c>
      <c r="D2" s="1828" t="s">
        <v>331</v>
      </c>
      <c r="E2" s="1828" t="s">
        <v>332</v>
      </c>
      <c r="F2" s="1830" t="s">
        <v>194</v>
      </c>
      <c r="G2" s="1830" t="s">
        <v>386</v>
      </c>
      <c r="H2" s="1832" t="s">
        <v>360</v>
      </c>
      <c r="I2" s="1832" t="s">
        <v>361</v>
      </c>
      <c r="J2" s="1832" t="s">
        <v>510</v>
      </c>
      <c r="K2" s="1832" t="s">
        <v>1320</v>
      </c>
      <c r="L2" s="1828" t="s">
        <v>362</v>
      </c>
      <c r="M2" s="1828" t="s">
        <v>514</v>
      </c>
      <c r="N2" s="1856" t="s">
        <v>511</v>
      </c>
      <c r="O2" s="1858" t="s">
        <v>457</v>
      </c>
      <c r="P2" s="1836" t="s">
        <v>379</v>
      </c>
      <c r="Q2" s="1828" t="s">
        <v>627</v>
      </c>
      <c r="R2" s="1852" t="s">
        <v>381</v>
      </c>
      <c r="S2" s="1854" t="s">
        <v>435</v>
      </c>
      <c r="T2" s="1834" t="s">
        <v>365</v>
      </c>
      <c r="U2" s="1836" t="s">
        <v>366</v>
      </c>
      <c r="V2" s="1844" t="s">
        <v>1286</v>
      </c>
      <c r="W2" s="1846" t="s">
        <v>201</v>
      </c>
      <c r="X2" s="1846" t="s">
        <v>1318</v>
      </c>
      <c r="Y2" s="1846" t="s">
        <v>1319</v>
      </c>
      <c r="Z2" s="1849" t="s">
        <v>1285</v>
      </c>
      <c r="AA2" s="1849" t="s">
        <v>339</v>
      </c>
      <c r="AB2" s="1860" t="s">
        <v>340</v>
      </c>
      <c r="AC2" s="1861"/>
      <c r="AD2" s="1862" t="s">
        <v>371</v>
      </c>
      <c r="AE2" s="1862" t="s">
        <v>383</v>
      </c>
      <c r="AF2" s="1840" t="s">
        <v>29</v>
      </c>
    </row>
    <row r="3" spans="1:56" s="447" customFormat="1" thickBot="1">
      <c r="A3" s="1825"/>
      <c r="B3" s="1825"/>
      <c r="C3" s="1827"/>
      <c r="D3" s="1829"/>
      <c r="E3" s="1829"/>
      <c r="F3" s="1831"/>
      <c r="G3" s="1831"/>
      <c r="H3" s="1833"/>
      <c r="I3" s="1833"/>
      <c r="J3" s="1833"/>
      <c r="K3" s="1838"/>
      <c r="L3" s="1829"/>
      <c r="M3" s="1839"/>
      <c r="N3" s="1857"/>
      <c r="O3" s="1859"/>
      <c r="P3" s="1837"/>
      <c r="Q3" s="1829"/>
      <c r="R3" s="1853"/>
      <c r="S3" s="1855"/>
      <c r="T3" s="1835"/>
      <c r="U3" s="1837"/>
      <c r="V3" s="1845"/>
      <c r="W3" s="1847"/>
      <c r="X3" s="1848"/>
      <c r="Y3" s="1848"/>
      <c r="Z3" s="1850"/>
      <c r="AA3" s="1851"/>
      <c r="AB3" s="491" t="s">
        <v>350</v>
      </c>
      <c r="AC3" s="491" t="s">
        <v>351</v>
      </c>
      <c r="AD3" s="1863"/>
      <c r="AE3" s="1863"/>
      <c r="AF3" s="1841"/>
      <c r="AG3" s="446"/>
      <c r="AH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</row>
    <row r="4" spans="1:56" s="439" customFormat="1" ht="15.75">
      <c r="A4" s="434"/>
      <c r="B4" s="434"/>
      <c r="C4" s="434"/>
      <c r="D4" s="434"/>
      <c r="E4" s="434"/>
      <c r="F4" s="435" t="s">
        <v>58</v>
      </c>
      <c r="G4" s="464"/>
      <c r="H4" s="464" t="s">
        <v>996</v>
      </c>
      <c r="I4" s="429" t="s">
        <v>1288</v>
      </c>
      <c r="J4" s="429" t="s">
        <v>1401</v>
      </c>
      <c r="K4" s="429" t="s">
        <v>1301</v>
      </c>
      <c r="L4" s="464">
        <v>750</v>
      </c>
      <c r="M4" s="464"/>
      <c r="N4" s="464"/>
      <c r="O4" s="443">
        <f>L4*M4</f>
        <v>0</v>
      </c>
      <c r="P4" s="461">
        <v>11.5</v>
      </c>
      <c r="Q4" s="438">
        <f>IFERROR(LOOKUP(1,0/((成型機資料庫!$F$374:$F$385=J4)*(成型機資料庫!$G$374:$G$385=K4)),成型機資料庫!$K$374:$K$385),0)</f>
        <v>1000</v>
      </c>
      <c r="R4" s="477">
        <f>M4*Q4*P4/1000</f>
        <v>0</v>
      </c>
      <c r="S4" s="898">
        <f>IFERROR((G4-R4)/G4,0)</f>
        <v>0</v>
      </c>
      <c r="T4" s="923">
        <f>IFERROR(LOOKUP(1,0/((成型機資料庫!$F$374:$F$385=J4)*(成型機資料庫!$G$374:$G$385=K4)),成型機資料庫!$I$374:$I$385),0)</f>
        <v>33</v>
      </c>
      <c r="U4" s="944">
        <f>IFERROR(LOOKUP(1,0/((成型機資料庫!$F$374:$F$385=J4)*(成型機資料庫!$G$374:$G$385=K4)),成型機資料庫!$J$374:$J$385),0)</f>
        <v>23.3</v>
      </c>
      <c r="V4" s="900">
        <f>IFERROR(LOOKUP(1,0/((成型機資料庫!$F$374:$F$385=J4)*(成型機資料庫!$G$374:$G$385=K4)),成型機資料庫!$L$374:$L$385),0)</f>
        <v>507.47399999999999</v>
      </c>
      <c r="W4" s="898">
        <f>IFERROR(M4/V4,0)</f>
        <v>0</v>
      </c>
      <c r="X4" s="898"/>
      <c r="Y4" s="898"/>
      <c r="Z4" s="485"/>
      <c r="AA4" s="478">
        <f>AB4+AC4/60</f>
        <v>0</v>
      </c>
      <c r="AB4" s="438">
        <v>0</v>
      </c>
      <c r="AC4" s="482">
        <v>0</v>
      </c>
      <c r="AD4" s="536"/>
      <c r="AE4" s="438"/>
      <c r="AF4" s="438"/>
    </row>
    <row r="5" spans="1:56" s="439" customFormat="1" ht="15.75">
      <c r="A5" s="434"/>
      <c r="B5" s="434"/>
      <c r="C5" s="434"/>
      <c r="D5" s="434"/>
      <c r="E5" s="434"/>
      <c r="F5" s="435" t="s">
        <v>58</v>
      </c>
      <c r="G5" s="464"/>
      <c r="H5" s="464" t="s">
        <v>438</v>
      </c>
      <c r="I5" s="429" t="s">
        <v>490</v>
      </c>
      <c r="J5" s="429" t="s">
        <v>1402</v>
      </c>
      <c r="K5" s="429" t="s">
        <v>1301</v>
      </c>
      <c r="L5" s="464">
        <v>750</v>
      </c>
      <c r="M5" s="464"/>
      <c r="N5" s="464"/>
      <c r="O5" s="443">
        <f>L5*M5</f>
        <v>0</v>
      </c>
      <c r="P5" s="461">
        <v>13.9</v>
      </c>
      <c r="Q5" s="438">
        <f>IFERROR(LOOKUP(1,0/((成型機資料庫!$F$374:$F$385=J5)*(成型機資料庫!$G$374:$G$385=K5)),成型機資料庫!$K$374:$K$385),0)</f>
        <v>1000</v>
      </c>
      <c r="R5" s="477">
        <f>M5*Q5*P5/1000</f>
        <v>0</v>
      </c>
      <c r="S5" s="898">
        <f>IFERROR((G5-R5)/G5,0)</f>
        <v>0</v>
      </c>
      <c r="T5" s="923">
        <f>IFERROR(LOOKUP(1,0/((成型機資料庫!$F$374:$F$385=J5)*(成型機資料庫!$G$374:$G$385=K5)),成型機資料庫!$I$374:$I$385),0)</f>
        <v>33</v>
      </c>
      <c r="U5" s="944">
        <f>IFERROR(LOOKUP(1,0/((成型機資料庫!$F$374:$F$385=J5)*(成型機資料庫!$G$374:$G$385=K5)),成型機資料庫!$J$374:$J$385),0)</f>
        <v>23.3</v>
      </c>
      <c r="V5" s="900">
        <f>IFERROR(LOOKUP(1,0/((成型機資料庫!$F$374:$F$385=J5)*(成型機資料庫!$G$374:$G$385=K5)),成型機資料庫!$L$374:$L$385),0)</f>
        <v>507.47399999999999</v>
      </c>
      <c r="W5" s="898">
        <f>IFERROR(M5/V5,0)</f>
        <v>0</v>
      </c>
      <c r="X5" s="898"/>
      <c r="Y5" s="898"/>
      <c r="Z5" s="485"/>
      <c r="AA5" s="478">
        <f t="shared" ref="AA5:AA35" si="0">AB5+AC5/60</f>
        <v>0</v>
      </c>
      <c r="AB5" s="438">
        <v>0</v>
      </c>
      <c r="AC5" s="482">
        <v>0</v>
      </c>
      <c r="AD5" s="536"/>
      <c r="AE5" s="438"/>
      <c r="AF5" s="438"/>
    </row>
    <row r="6" spans="1:56" s="439" customFormat="1" ht="15.75">
      <c r="A6" s="434"/>
      <c r="B6" s="434"/>
      <c r="C6" s="434"/>
      <c r="D6" s="434"/>
      <c r="E6" s="434"/>
      <c r="F6" s="435" t="s">
        <v>58</v>
      </c>
      <c r="G6" s="464"/>
      <c r="H6" s="464" t="s">
        <v>438</v>
      </c>
      <c r="I6" s="429" t="s">
        <v>1289</v>
      </c>
      <c r="J6" s="429" t="s">
        <v>1403</v>
      </c>
      <c r="K6" s="429" t="s">
        <v>1301</v>
      </c>
      <c r="L6" s="464">
        <v>820</v>
      </c>
      <c r="M6" s="464"/>
      <c r="N6" s="464"/>
      <c r="O6" s="443">
        <f>L6*M6</f>
        <v>0</v>
      </c>
      <c r="P6" s="461">
        <v>15.1</v>
      </c>
      <c r="Q6" s="438">
        <f>IFERROR(LOOKUP(1,0/((成型機資料庫!$F$374:$F$385=J6)*(成型機資料庫!$G$374:$G$385=K6)),成型機資料庫!$K$374:$K$385),0)</f>
        <v>1000</v>
      </c>
      <c r="R6" s="477">
        <f>M6*Q6*P6/1000</f>
        <v>0</v>
      </c>
      <c r="S6" s="898">
        <f>IFERROR((G6-R6)/G6,0)</f>
        <v>0</v>
      </c>
      <c r="T6" s="923">
        <f>IFERROR(LOOKUP(1,0/((成型機資料庫!$F$374:$F$385=J6)*(成型機資料庫!$G$374:$G$385=K6)),成型機資料庫!$I$374:$I$385),0)</f>
        <v>33</v>
      </c>
      <c r="U6" s="944">
        <f>IFERROR(LOOKUP(1,0/((成型機資料庫!$F$374:$F$385=J6)*(成型機資料庫!$G$374:$G$385=K6)),成型機資料庫!$J$374:$J$385),0)</f>
        <v>23.3</v>
      </c>
      <c r="V6" s="900">
        <f>IFERROR(LOOKUP(1,0/((成型機資料庫!$F$374:$F$385=J6)*(成型機資料庫!$G$374:$G$385=K6)),成型機資料庫!$L$374:$L$385),0)</f>
        <v>507.47399999999999</v>
      </c>
      <c r="W6" s="898">
        <f>IFERROR(M6/V6,0)</f>
        <v>0</v>
      </c>
      <c r="X6" s="898"/>
      <c r="Y6" s="898"/>
      <c r="Z6" s="485"/>
      <c r="AA6" s="478">
        <f>AB6+AC6/60</f>
        <v>0</v>
      </c>
      <c r="AB6" s="438">
        <v>0</v>
      </c>
      <c r="AC6" s="482">
        <v>0</v>
      </c>
      <c r="AD6" s="536"/>
      <c r="AE6" s="438"/>
      <c r="AF6" s="438"/>
    </row>
    <row r="7" spans="1:56" s="439" customFormat="1" ht="15.75">
      <c r="A7" s="434"/>
      <c r="B7" s="434"/>
      <c r="C7" s="434"/>
      <c r="D7" s="434"/>
      <c r="E7" s="434"/>
      <c r="F7" s="435" t="s">
        <v>58</v>
      </c>
      <c r="G7" s="464"/>
      <c r="H7" s="464" t="s">
        <v>438</v>
      </c>
      <c r="I7" s="429" t="s">
        <v>1287</v>
      </c>
      <c r="J7" s="429" t="s">
        <v>1404</v>
      </c>
      <c r="K7" s="429" t="s">
        <v>1301</v>
      </c>
      <c r="L7" s="464">
        <v>528</v>
      </c>
      <c r="M7" s="464"/>
      <c r="N7" s="464"/>
      <c r="O7" s="443">
        <f>L7*M7</f>
        <v>0</v>
      </c>
      <c r="P7" s="461">
        <v>16.3</v>
      </c>
      <c r="Q7" s="438">
        <f>IFERROR(LOOKUP(1,0/((成型機資料庫!$F$374:$F$385=J7)*(成型機資料庫!$G$374:$G$385=K7)),成型機資料庫!$K$374:$K$385),0)</f>
        <v>1000</v>
      </c>
      <c r="R7" s="477">
        <f>M7*Q7*P7/1000</f>
        <v>0</v>
      </c>
      <c r="S7" s="898">
        <f>IFERROR((G7-R7)/G7,0)</f>
        <v>0</v>
      </c>
      <c r="T7" s="923">
        <f>IFERROR(LOOKUP(1,0/((成型機資料庫!$F$374:$F$385=J7)*(成型機資料庫!$G$374:$G$385=K7)),成型機資料庫!$I$374:$I$385),0)</f>
        <v>33</v>
      </c>
      <c r="U7" s="944">
        <f>IFERROR(LOOKUP(1,0/((成型機資料庫!$F$374:$F$385=J7)*(成型機資料庫!$G$374:$G$385=K7)),成型機資料庫!$J$374:$J$385),0)</f>
        <v>23.3</v>
      </c>
      <c r="V7" s="900">
        <f>IFERROR(LOOKUP(1,0/((成型機資料庫!$F$374:$F$385=J7)*(成型機資料庫!$G$374:$G$385=K7)),成型機資料庫!$L$374:$L$385),0)</f>
        <v>507.47399999999999</v>
      </c>
      <c r="W7" s="898">
        <f>IFERROR(M7/V7,0)</f>
        <v>0</v>
      </c>
      <c r="X7" s="898"/>
      <c r="Y7" s="898"/>
      <c r="Z7" s="485"/>
      <c r="AA7" s="478">
        <f t="shared" si="0"/>
        <v>0</v>
      </c>
      <c r="AB7" s="438">
        <v>0</v>
      </c>
      <c r="AC7" s="482">
        <v>0</v>
      </c>
      <c r="AD7" s="536"/>
      <c r="AE7" s="438"/>
      <c r="AF7" s="438"/>
    </row>
    <row r="8" spans="1:56" s="439" customFormat="1" thickBot="1">
      <c r="A8" s="496"/>
      <c r="B8" s="496"/>
      <c r="C8" s="496"/>
      <c r="D8" s="496"/>
      <c r="E8" s="496"/>
      <c r="F8" s="497"/>
      <c r="G8" s="500"/>
      <c r="H8" s="500"/>
      <c r="I8" s="498"/>
      <c r="J8" s="498"/>
      <c r="K8" s="498"/>
      <c r="L8" s="500"/>
      <c r="M8" s="500"/>
      <c r="N8" s="500"/>
      <c r="O8" s="501"/>
      <c r="P8" s="528"/>
      <c r="Q8" s="499">
        <f>IFERROR(LOOKUP(1,0/((成型機資料庫!$F$374:$F$385=J8)*(成型機資料庫!$G$374:$G$385=K8)),成型機資料庫!$K$374:$K$385),0)</f>
        <v>0</v>
      </c>
      <c r="R8" s="502"/>
      <c r="S8" s="503"/>
      <c r="T8" s="923">
        <f>IFERROR(LOOKUP(1,0/((成型機資料庫!$F$374:$F$385=J8)*(成型機資料庫!$G$374:$G$385=K8)),成型機資料庫!$I$374:$I$385),0)</f>
        <v>0</v>
      </c>
      <c r="U8" s="944">
        <f>IFERROR(LOOKUP(1,0/((成型機資料庫!$F$374:$F$385=J8)*(成型機資料庫!$G$374:$G$385=K8)),成型機資料庫!$J$374:$J$385),0)</f>
        <v>0</v>
      </c>
      <c r="V8" s="900">
        <f>IFERROR(LOOKUP(1,0/((成型機資料庫!$F$374:$F$385=J8)*(成型機資料庫!$G$374:$G$385=K8)),成型機資料庫!$L$374:$L$385),0)</f>
        <v>0</v>
      </c>
      <c r="W8" s="507"/>
      <c r="X8" s="507"/>
      <c r="Y8" s="507"/>
      <c r="Z8" s="507"/>
      <c r="AA8" s="508"/>
      <c r="AB8" s="499"/>
      <c r="AC8" s="509"/>
      <c r="AD8" s="529"/>
      <c r="AE8" s="499"/>
      <c r="AF8" s="499"/>
    </row>
    <row r="9" spans="1:56" s="433" customFormat="1" ht="15.75">
      <c r="A9" s="935">
        <v>113</v>
      </c>
      <c r="B9" s="935"/>
      <c r="C9" s="935">
        <v>1</v>
      </c>
      <c r="D9" s="889"/>
      <c r="E9" s="889" t="s">
        <v>0</v>
      </c>
      <c r="F9" s="963" t="s">
        <v>42</v>
      </c>
      <c r="G9" s="999"/>
      <c r="H9" s="532"/>
      <c r="I9" s="964"/>
      <c r="J9" s="964"/>
      <c r="K9" s="964"/>
      <c r="L9" s="532"/>
      <c r="M9" s="532"/>
      <c r="N9" s="927">
        <f>M9*Q9</f>
        <v>0</v>
      </c>
      <c r="O9" s="995">
        <f t="shared" ref="O9:O24" si="1">L9*M9</f>
        <v>0</v>
      </c>
      <c r="P9" s="1000"/>
      <c r="Q9" s="480">
        <f>IFERROR(LOOKUP(1,0/((成型機資料庫!$F$374:$F$385=J9)*(成型機資料庫!$G$374:$G$385=K9)),成型機資料庫!$K$374:$K$385),0)</f>
        <v>0</v>
      </c>
      <c r="R9" s="997">
        <f t="shared" ref="R9:R35" si="2">M9*Q9*P9/1000</f>
        <v>0</v>
      </c>
      <c r="S9" s="996">
        <f t="shared" ref="S9:S38" si="3">IFERROR((G9-R9)/G9,0)</f>
        <v>0</v>
      </c>
      <c r="T9" s="923">
        <f>IFERROR(LOOKUP(1,0/((成型機資料庫!$F$374:$F$385=J9)*(成型機資料庫!$G$374:$G$385=K9)),成型機資料庫!$I$374:$I$385),0)</f>
        <v>0</v>
      </c>
      <c r="U9" s="944">
        <f>IFERROR(LOOKUP(1,0/((成型機資料庫!$F$374:$F$385=J9)*(成型機資料庫!$G$374:$G$385=K9)),成型機資料庫!$J$374:$J$385),0)</f>
        <v>0</v>
      </c>
      <c r="V9" s="900">
        <f>IFERROR(LOOKUP(1,0/((成型機資料庫!$F$374:$F$385=J9)*(成型機資料庫!$G$374:$G$385=K9)),成型機資料庫!$L$374:$L$385),0)</f>
        <v>0</v>
      </c>
      <c r="W9" s="996">
        <f t="shared" ref="W9:W38" si="4">IFERROR(M9/V9,0)</f>
        <v>0</v>
      </c>
      <c r="X9" s="987">
        <f>IFERROR(T9*U9*60*AA9/Q9,0)</f>
        <v>0</v>
      </c>
      <c r="Y9" s="996">
        <f>IFERROR(M9/X9,0)</f>
        <v>0</v>
      </c>
      <c r="Z9" s="987"/>
      <c r="AA9" s="495">
        <f t="shared" si="0"/>
        <v>0</v>
      </c>
      <c r="AB9" s="480"/>
      <c r="AC9" s="968"/>
      <c r="AD9" s="532"/>
      <c r="AE9" s="480"/>
      <c r="AF9" s="480"/>
    </row>
    <row r="10" spans="1:56" s="433" customFormat="1" ht="15.75">
      <c r="A10" s="434">
        <v>113</v>
      </c>
      <c r="B10" s="581"/>
      <c r="C10" s="581">
        <v>2</v>
      </c>
      <c r="D10" s="581"/>
      <c r="E10" s="581" t="s">
        <v>0</v>
      </c>
      <c r="F10" s="435" t="s">
        <v>42</v>
      </c>
      <c r="G10" s="926"/>
      <c r="H10" s="464"/>
      <c r="I10" s="429"/>
      <c r="J10" s="429"/>
      <c r="K10" s="429"/>
      <c r="L10" s="464"/>
      <c r="M10" s="464"/>
      <c r="N10" s="900">
        <f t="shared" ref="N10:N38" si="5">M10*Q10</f>
        <v>0</v>
      </c>
      <c r="O10" s="901">
        <f t="shared" si="1"/>
        <v>0</v>
      </c>
      <c r="P10" s="460"/>
      <c r="Q10" s="438">
        <f>IFERROR(LOOKUP(1,0/((成型機資料庫!$F$374:$F$385=J10)*(成型機資料庫!$G$374:$G$385=K10)),成型機資料庫!$K$374:$K$385),0)</f>
        <v>0</v>
      </c>
      <c r="R10" s="899">
        <f>M10*Q10*P10/1000</f>
        <v>0</v>
      </c>
      <c r="S10" s="898">
        <f t="shared" si="3"/>
        <v>0</v>
      </c>
      <c r="T10" s="923">
        <f>IFERROR(LOOKUP(1,0/((成型機資料庫!$F$374:$F$385=J10)*(成型機資料庫!$G$374:$G$385=K10)),成型機資料庫!$I$374:$I$385),0)</f>
        <v>0</v>
      </c>
      <c r="U10" s="944">
        <f>IFERROR(LOOKUP(1,0/((成型機資料庫!$F$374:$F$385=J10)*(成型機資料庫!$G$374:$G$385=K10)),成型機資料庫!$J$374:$J$385),0)</f>
        <v>0</v>
      </c>
      <c r="V10" s="900">
        <f>IFERROR(LOOKUP(1,0/((成型機資料庫!$F$374:$F$385=J10)*(成型機資料庫!$G$374:$G$385=K10)),成型機資料庫!$L$374:$L$385),0)</f>
        <v>0</v>
      </c>
      <c r="W10" s="898">
        <f t="shared" si="4"/>
        <v>0</v>
      </c>
      <c r="X10" s="923">
        <f t="shared" ref="X10:X38" si="6">IFERROR(T10*U10*60*AA10/Q10,0)</f>
        <v>0</v>
      </c>
      <c r="Y10" s="898">
        <f t="shared" ref="Y10:Y38" si="7">IFERROR(M10/X10,0)</f>
        <v>0</v>
      </c>
      <c r="Z10" s="923"/>
      <c r="AA10" s="478">
        <f>AB10+AC10/60</f>
        <v>0</v>
      </c>
      <c r="AB10" s="438"/>
      <c r="AC10" s="482"/>
      <c r="AD10" s="464"/>
      <c r="AE10" s="438"/>
      <c r="AF10" s="438"/>
    </row>
    <row r="11" spans="1:56" s="433" customFormat="1" ht="15.75">
      <c r="A11" s="434">
        <v>113</v>
      </c>
      <c r="B11" s="581"/>
      <c r="C11" s="581">
        <v>3</v>
      </c>
      <c r="D11" s="581"/>
      <c r="E11" s="581" t="s">
        <v>0</v>
      </c>
      <c r="F11" s="435" t="s">
        <v>42</v>
      </c>
      <c r="G11" s="926"/>
      <c r="H11" s="464"/>
      <c r="I11" s="429"/>
      <c r="J11" s="429"/>
      <c r="K11" s="429"/>
      <c r="L11" s="464"/>
      <c r="M11" s="464"/>
      <c r="N11" s="900">
        <f t="shared" si="5"/>
        <v>0</v>
      </c>
      <c r="O11" s="901">
        <f t="shared" si="1"/>
        <v>0</v>
      </c>
      <c r="P11" s="460"/>
      <c r="Q11" s="438">
        <f>IFERROR(LOOKUP(1,0/((成型機資料庫!$F$374:$F$385=J11)*(成型機資料庫!$G$374:$G$385=K11)),成型機資料庫!$K$374:$K$385),0)</f>
        <v>0</v>
      </c>
      <c r="R11" s="899">
        <f>M11*Q11*P11/1000</f>
        <v>0</v>
      </c>
      <c r="S11" s="898">
        <f t="shared" si="3"/>
        <v>0</v>
      </c>
      <c r="T11" s="923">
        <f>IFERROR(LOOKUP(1,0/((成型機資料庫!$F$374:$F$385=J11)*(成型機資料庫!$G$374:$G$385=K11)),成型機資料庫!$I$374:$I$385),0)</f>
        <v>0</v>
      </c>
      <c r="U11" s="944">
        <f>IFERROR(LOOKUP(1,0/((成型機資料庫!$F$374:$F$385=J11)*(成型機資料庫!$G$374:$G$385=K11)),成型機資料庫!$J$374:$J$385),0)</f>
        <v>0</v>
      </c>
      <c r="V11" s="900">
        <f>IFERROR(LOOKUP(1,0/((成型機資料庫!$F$374:$F$385=J11)*(成型機資料庫!$G$374:$G$385=K11)),成型機資料庫!$L$374:$L$385),0)</f>
        <v>0</v>
      </c>
      <c r="W11" s="898">
        <f t="shared" si="4"/>
        <v>0</v>
      </c>
      <c r="X11" s="923">
        <f t="shared" si="6"/>
        <v>0</v>
      </c>
      <c r="Y11" s="898">
        <f t="shared" si="7"/>
        <v>0</v>
      </c>
      <c r="Z11" s="923"/>
      <c r="AA11" s="478">
        <f>AB11+AC11/60</f>
        <v>0</v>
      </c>
      <c r="AB11" s="438"/>
      <c r="AC11" s="482"/>
      <c r="AD11" s="438"/>
      <c r="AE11" s="438"/>
      <c r="AF11" s="438"/>
    </row>
    <row r="12" spans="1:56" s="433" customFormat="1" ht="15.75">
      <c r="A12" s="434">
        <v>113</v>
      </c>
      <c r="B12" s="581"/>
      <c r="C12" s="581">
        <v>4</v>
      </c>
      <c r="D12" s="581"/>
      <c r="E12" s="581" t="s">
        <v>0</v>
      </c>
      <c r="F12" s="435" t="s">
        <v>42</v>
      </c>
      <c r="G12" s="926"/>
      <c r="H12" s="464"/>
      <c r="I12" s="429"/>
      <c r="J12" s="429"/>
      <c r="K12" s="429"/>
      <c r="L12" s="464"/>
      <c r="M12" s="464"/>
      <c r="N12" s="900">
        <f t="shared" si="5"/>
        <v>0</v>
      </c>
      <c r="O12" s="901">
        <f t="shared" si="1"/>
        <v>0</v>
      </c>
      <c r="P12" s="460"/>
      <c r="Q12" s="438">
        <f>IFERROR(LOOKUP(1,0/((成型機資料庫!$F$374:$F$385=J12)*(成型機資料庫!$G$374:$G$385=K12)),成型機資料庫!$K$374:$K$385),0)</f>
        <v>0</v>
      </c>
      <c r="R12" s="899">
        <f>M12*Q12*P12/1000</f>
        <v>0</v>
      </c>
      <c r="S12" s="898">
        <f t="shared" si="3"/>
        <v>0</v>
      </c>
      <c r="T12" s="923">
        <f>IFERROR(LOOKUP(1,0/((成型機資料庫!$F$374:$F$385=J12)*(成型機資料庫!$G$374:$G$385=K12)),成型機資料庫!$I$374:$I$385),0)</f>
        <v>0</v>
      </c>
      <c r="U12" s="944">
        <f>IFERROR(LOOKUP(1,0/((成型機資料庫!$F$374:$F$385=J12)*(成型機資料庫!$G$374:$G$385=K12)),成型機資料庫!$J$374:$J$385),0)</f>
        <v>0</v>
      </c>
      <c r="V12" s="900">
        <f>IFERROR(LOOKUP(1,0/((成型機資料庫!$F$374:$F$385=J12)*(成型機資料庫!$G$374:$G$385=K12)),成型機資料庫!$L$374:$L$385),0)</f>
        <v>0</v>
      </c>
      <c r="W12" s="898">
        <f t="shared" si="4"/>
        <v>0</v>
      </c>
      <c r="X12" s="923">
        <f t="shared" si="6"/>
        <v>0</v>
      </c>
      <c r="Y12" s="898">
        <f t="shared" si="7"/>
        <v>0</v>
      </c>
      <c r="Z12" s="923"/>
      <c r="AA12" s="478">
        <f>AB12+AC12/60</f>
        <v>0</v>
      </c>
      <c r="AB12" s="438"/>
      <c r="AC12" s="482"/>
      <c r="AD12" s="438"/>
      <c r="AE12" s="464"/>
      <c r="AF12" s="438"/>
    </row>
    <row r="13" spans="1:56" s="433" customFormat="1" ht="15.75">
      <c r="A13" s="434">
        <v>113</v>
      </c>
      <c r="B13" s="581"/>
      <c r="C13" s="581">
        <v>5</v>
      </c>
      <c r="D13" s="581"/>
      <c r="E13" s="889" t="s">
        <v>0</v>
      </c>
      <c r="F13" s="435" t="s">
        <v>42</v>
      </c>
      <c r="G13" s="926"/>
      <c r="H13" s="464"/>
      <c r="I13" s="429"/>
      <c r="J13" s="429"/>
      <c r="K13" s="429"/>
      <c r="L13" s="464"/>
      <c r="M13" s="464"/>
      <c r="N13" s="900">
        <f t="shared" si="5"/>
        <v>0</v>
      </c>
      <c r="O13" s="901">
        <f t="shared" si="1"/>
        <v>0</v>
      </c>
      <c r="P13" s="460"/>
      <c r="Q13" s="438">
        <f>IFERROR(LOOKUP(1,0/((成型機資料庫!$F$374:$F$385=J13)*(成型機資料庫!$G$374:$G$385=K13)),成型機資料庫!$K$374:$K$385),0)</f>
        <v>0</v>
      </c>
      <c r="R13" s="899">
        <f t="shared" si="2"/>
        <v>0</v>
      </c>
      <c r="S13" s="898">
        <f t="shared" si="3"/>
        <v>0</v>
      </c>
      <c r="T13" s="923">
        <f>IFERROR(LOOKUP(1,0/((成型機資料庫!$F$374:$F$385=J13)*(成型機資料庫!$G$374:$G$385=K13)),成型機資料庫!$I$374:$I$385),0)</f>
        <v>0</v>
      </c>
      <c r="U13" s="944">
        <f>IFERROR(LOOKUP(1,0/((成型機資料庫!$F$374:$F$385=J13)*(成型機資料庫!$G$374:$G$385=K13)),成型機資料庫!$J$374:$J$385),0)</f>
        <v>0</v>
      </c>
      <c r="V13" s="900">
        <f>IFERROR(LOOKUP(1,0/((成型機資料庫!$F$374:$F$385=J13)*(成型機資料庫!$G$374:$G$385=K13)),成型機資料庫!$L$374:$L$385),0)</f>
        <v>0</v>
      </c>
      <c r="W13" s="898">
        <f t="shared" si="4"/>
        <v>0</v>
      </c>
      <c r="X13" s="923">
        <f t="shared" si="6"/>
        <v>0</v>
      </c>
      <c r="Y13" s="898">
        <f t="shared" si="7"/>
        <v>0</v>
      </c>
      <c r="Z13" s="923"/>
      <c r="AA13" s="478">
        <f t="shared" si="0"/>
        <v>0</v>
      </c>
      <c r="AB13" s="438"/>
      <c r="AC13" s="482"/>
      <c r="AD13" s="438"/>
      <c r="AE13" s="438"/>
      <c r="AF13" s="438"/>
    </row>
    <row r="14" spans="1:56" s="433" customFormat="1" ht="15.75">
      <c r="A14" s="434">
        <v>113</v>
      </c>
      <c r="B14" s="581"/>
      <c r="C14" s="581">
        <v>6</v>
      </c>
      <c r="D14" s="581"/>
      <c r="E14" s="889" t="s">
        <v>0</v>
      </c>
      <c r="F14" s="435" t="s">
        <v>42</v>
      </c>
      <c r="G14" s="926"/>
      <c r="H14" s="464"/>
      <c r="I14" s="429"/>
      <c r="J14" s="429"/>
      <c r="K14" s="429"/>
      <c r="L14" s="464"/>
      <c r="M14" s="464"/>
      <c r="N14" s="900">
        <f t="shared" si="5"/>
        <v>0</v>
      </c>
      <c r="O14" s="901">
        <f t="shared" si="1"/>
        <v>0</v>
      </c>
      <c r="P14" s="460"/>
      <c r="Q14" s="438">
        <f>IFERROR(LOOKUP(1,0/((成型機資料庫!$F$374:$F$385=J14)*(成型機資料庫!$G$374:$G$385=K14)),成型機資料庫!$K$374:$K$385),0)</f>
        <v>0</v>
      </c>
      <c r="R14" s="899">
        <f t="shared" si="2"/>
        <v>0</v>
      </c>
      <c r="S14" s="898">
        <f t="shared" si="3"/>
        <v>0</v>
      </c>
      <c r="T14" s="923">
        <f>IFERROR(LOOKUP(1,0/((成型機資料庫!$F$374:$F$385=J14)*(成型機資料庫!$G$374:$G$385=K14)),成型機資料庫!$I$374:$I$385),0)</f>
        <v>0</v>
      </c>
      <c r="U14" s="944">
        <f>IFERROR(LOOKUP(1,0/((成型機資料庫!$F$374:$F$385=J14)*(成型機資料庫!$G$374:$G$385=K14)),成型機資料庫!$J$374:$J$385),0)</f>
        <v>0</v>
      </c>
      <c r="V14" s="900">
        <f>IFERROR(LOOKUP(1,0/((成型機資料庫!$F$374:$F$385=J14)*(成型機資料庫!$G$374:$G$385=K14)),成型機資料庫!$L$374:$L$385),0)</f>
        <v>0</v>
      </c>
      <c r="W14" s="898">
        <f t="shared" si="4"/>
        <v>0</v>
      </c>
      <c r="X14" s="923">
        <f t="shared" si="6"/>
        <v>0</v>
      </c>
      <c r="Y14" s="898">
        <f t="shared" si="7"/>
        <v>0</v>
      </c>
      <c r="Z14" s="923"/>
      <c r="AA14" s="478">
        <f t="shared" si="0"/>
        <v>0</v>
      </c>
      <c r="AB14" s="438"/>
      <c r="AC14" s="482"/>
      <c r="AD14" s="879"/>
      <c r="AE14" s="438"/>
      <c r="AF14" s="438"/>
    </row>
    <row r="15" spans="1:56" s="433" customFormat="1" ht="15.75">
      <c r="A15" s="434">
        <v>113</v>
      </c>
      <c r="B15" s="581"/>
      <c r="C15" s="581">
        <v>7</v>
      </c>
      <c r="D15" s="581"/>
      <c r="E15" s="889" t="s">
        <v>0</v>
      </c>
      <c r="F15" s="435" t="s">
        <v>42</v>
      </c>
      <c r="G15" s="927"/>
      <c r="H15" s="464"/>
      <c r="I15" s="429"/>
      <c r="J15" s="429"/>
      <c r="K15" s="429"/>
      <c r="L15" s="464"/>
      <c r="M15" s="464"/>
      <c r="N15" s="900">
        <f t="shared" si="5"/>
        <v>0</v>
      </c>
      <c r="O15" s="901">
        <f t="shared" si="1"/>
        <v>0</v>
      </c>
      <c r="P15" s="460"/>
      <c r="Q15" s="438">
        <f>IFERROR(LOOKUP(1,0/((成型機資料庫!$F$374:$F$385=J15)*(成型機資料庫!$G$374:$G$385=K15)),成型機資料庫!$K$374:$K$385),0)</f>
        <v>0</v>
      </c>
      <c r="R15" s="899">
        <f t="shared" si="2"/>
        <v>0</v>
      </c>
      <c r="S15" s="898">
        <f t="shared" si="3"/>
        <v>0</v>
      </c>
      <c r="T15" s="923">
        <f>IFERROR(LOOKUP(1,0/((成型機資料庫!$F$374:$F$385=J15)*(成型機資料庫!$G$374:$G$385=K15)),成型機資料庫!$I$374:$I$385),0)</f>
        <v>0</v>
      </c>
      <c r="U15" s="944">
        <f>IFERROR(LOOKUP(1,0/((成型機資料庫!$F$374:$F$385=J15)*(成型機資料庫!$G$374:$G$385=K15)),成型機資料庫!$J$374:$J$385),0)</f>
        <v>0</v>
      </c>
      <c r="V15" s="900">
        <f>IFERROR(LOOKUP(1,0/((成型機資料庫!$F$374:$F$385=J15)*(成型機資料庫!$G$374:$G$385=K15)),成型機資料庫!$L$374:$L$385),0)</f>
        <v>0</v>
      </c>
      <c r="W15" s="898">
        <f t="shared" si="4"/>
        <v>0</v>
      </c>
      <c r="X15" s="923">
        <f t="shared" si="6"/>
        <v>0</v>
      </c>
      <c r="Y15" s="898">
        <f t="shared" si="7"/>
        <v>0</v>
      </c>
      <c r="Z15" s="923"/>
      <c r="AA15" s="478">
        <f t="shared" si="0"/>
        <v>0</v>
      </c>
      <c r="AB15" s="438"/>
      <c r="AC15" s="482"/>
      <c r="AD15" s="464"/>
      <c r="AE15" s="438"/>
      <c r="AF15" s="438"/>
    </row>
    <row r="16" spans="1:56" s="433" customFormat="1" ht="15.75">
      <c r="A16" s="434">
        <v>113</v>
      </c>
      <c r="B16" s="581"/>
      <c r="C16" s="581">
        <v>8</v>
      </c>
      <c r="D16" s="581"/>
      <c r="E16" s="889" t="s">
        <v>0</v>
      </c>
      <c r="F16" s="435" t="s">
        <v>42</v>
      </c>
      <c r="G16" s="927"/>
      <c r="H16" s="464"/>
      <c r="I16" s="429"/>
      <c r="J16" s="429"/>
      <c r="K16" s="429"/>
      <c r="L16" s="464"/>
      <c r="M16" s="464"/>
      <c r="N16" s="900">
        <f t="shared" si="5"/>
        <v>0</v>
      </c>
      <c r="O16" s="901">
        <f t="shared" si="1"/>
        <v>0</v>
      </c>
      <c r="P16" s="460"/>
      <c r="Q16" s="438">
        <f>IFERROR(LOOKUP(1,0/((成型機資料庫!$F$374:$F$385=J16)*(成型機資料庫!$G$374:$G$385=K16)),成型機資料庫!$K$374:$K$385),0)</f>
        <v>0</v>
      </c>
      <c r="R16" s="899">
        <f>M16*Q16*P16/1000</f>
        <v>0</v>
      </c>
      <c r="S16" s="898">
        <f t="shared" si="3"/>
        <v>0</v>
      </c>
      <c r="T16" s="923">
        <f>IFERROR(LOOKUP(1,0/((成型機資料庫!$F$374:$F$385=J16)*(成型機資料庫!$G$374:$G$385=K16)),成型機資料庫!$I$374:$I$385),0)</f>
        <v>0</v>
      </c>
      <c r="U16" s="944">
        <f>IFERROR(LOOKUP(1,0/((成型機資料庫!$F$374:$F$385=J16)*(成型機資料庫!$G$374:$G$385=K16)),成型機資料庫!$J$374:$J$385),0)</f>
        <v>0</v>
      </c>
      <c r="V16" s="900">
        <f>IFERROR(LOOKUP(1,0/((成型機資料庫!$F$374:$F$385=J16)*(成型機資料庫!$G$374:$G$385=K16)),成型機資料庫!$L$374:$L$385),0)</f>
        <v>0</v>
      </c>
      <c r="W16" s="898">
        <f t="shared" si="4"/>
        <v>0</v>
      </c>
      <c r="X16" s="923">
        <f t="shared" si="6"/>
        <v>0</v>
      </c>
      <c r="Y16" s="898">
        <f t="shared" si="7"/>
        <v>0</v>
      </c>
      <c r="Z16" s="923"/>
      <c r="AA16" s="478">
        <f>AB16+AC16/60</f>
        <v>0</v>
      </c>
      <c r="AB16" s="438"/>
      <c r="AC16" s="482"/>
      <c r="AD16" s="464"/>
      <c r="AE16" s="438"/>
      <c r="AF16" s="438"/>
    </row>
    <row r="17" spans="1:32" s="433" customFormat="1" ht="15.75">
      <c r="A17" s="434">
        <v>113</v>
      </c>
      <c r="B17" s="581"/>
      <c r="C17" s="581">
        <v>9</v>
      </c>
      <c r="D17" s="581"/>
      <c r="E17" s="889" t="s">
        <v>0</v>
      </c>
      <c r="F17" s="435" t="s">
        <v>42</v>
      </c>
      <c r="G17" s="926"/>
      <c r="H17" s="464"/>
      <c r="I17" s="429"/>
      <c r="J17" s="429"/>
      <c r="K17" s="429"/>
      <c r="L17" s="464"/>
      <c r="M17" s="464"/>
      <c r="N17" s="900">
        <f t="shared" si="5"/>
        <v>0</v>
      </c>
      <c r="O17" s="901">
        <f t="shared" si="1"/>
        <v>0</v>
      </c>
      <c r="P17" s="460"/>
      <c r="Q17" s="438">
        <f>IFERROR(LOOKUP(1,0/((成型機資料庫!$F$374:$F$385=J17)*(成型機資料庫!$G$374:$G$385=K17)),成型機資料庫!$K$374:$K$385),0)</f>
        <v>0</v>
      </c>
      <c r="R17" s="899">
        <f>M17*Q17*P17/1000</f>
        <v>0</v>
      </c>
      <c r="S17" s="898">
        <f t="shared" si="3"/>
        <v>0</v>
      </c>
      <c r="T17" s="923">
        <f>IFERROR(LOOKUP(1,0/((成型機資料庫!$F$374:$F$385=J17)*(成型機資料庫!$G$374:$G$385=K17)),成型機資料庫!$I$374:$I$385),0)</f>
        <v>0</v>
      </c>
      <c r="U17" s="944">
        <f>IFERROR(LOOKUP(1,0/((成型機資料庫!$F$374:$F$385=J17)*(成型機資料庫!$G$374:$G$385=K17)),成型機資料庫!$J$374:$J$385),0)</f>
        <v>0</v>
      </c>
      <c r="V17" s="900">
        <f>IFERROR(LOOKUP(1,0/((成型機資料庫!$F$374:$F$385=J17)*(成型機資料庫!$G$374:$G$385=K17)),成型機資料庫!$L$374:$L$385),0)</f>
        <v>0</v>
      </c>
      <c r="W17" s="898">
        <f t="shared" si="4"/>
        <v>0</v>
      </c>
      <c r="X17" s="923">
        <f t="shared" si="6"/>
        <v>0</v>
      </c>
      <c r="Y17" s="898">
        <f t="shared" si="7"/>
        <v>0</v>
      </c>
      <c r="Z17" s="923"/>
      <c r="AA17" s="478">
        <f>AB17+AC17/60</f>
        <v>0</v>
      </c>
      <c r="AB17" s="438"/>
      <c r="AC17" s="482"/>
      <c r="AD17" s="464"/>
      <c r="AE17" s="438"/>
      <c r="AF17" s="438"/>
    </row>
    <row r="18" spans="1:32" s="433" customFormat="1" ht="15.75">
      <c r="A18" s="434">
        <v>113</v>
      </c>
      <c r="B18" s="581"/>
      <c r="C18" s="581">
        <v>10</v>
      </c>
      <c r="D18" s="581"/>
      <c r="E18" s="889" t="s">
        <v>0</v>
      </c>
      <c r="F18" s="435" t="s">
        <v>42</v>
      </c>
      <c r="G18" s="926"/>
      <c r="H18" s="464"/>
      <c r="I18" s="429"/>
      <c r="J18" s="429"/>
      <c r="K18" s="429"/>
      <c r="L18" s="464"/>
      <c r="M18" s="464"/>
      <c r="N18" s="900">
        <f t="shared" si="5"/>
        <v>0</v>
      </c>
      <c r="O18" s="901">
        <f t="shared" si="1"/>
        <v>0</v>
      </c>
      <c r="P18" s="460"/>
      <c r="Q18" s="438">
        <f>IFERROR(LOOKUP(1,0/((成型機資料庫!$F$374:$F$385=J18)*(成型機資料庫!$G$374:$G$385=K18)),成型機資料庫!$K$374:$K$385),0)</f>
        <v>0</v>
      </c>
      <c r="R18" s="899">
        <f t="shared" si="2"/>
        <v>0</v>
      </c>
      <c r="S18" s="898">
        <f t="shared" si="3"/>
        <v>0</v>
      </c>
      <c r="T18" s="923">
        <f>IFERROR(LOOKUP(1,0/((成型機資料庫!$F$374:$F$385=J18)*(成型機資料庫!$G$374:$G$385=K18)),成型機資料庫!$I$374:$I$385),0)</f>
        <v>0</v>
      </c>
      <c r="U18" s="944">
        <f>IFERROR(LOOKUP(1,0/((成型機資料庫!$F$374:$F$385=J18)*(成型機資料庫!$G$374:$G$385=K18)),成型機資料庫!$J$374:$J$385),0)</f>
        <v>0</v>
      </c>
      <c r="V18" s="900">
        <f>IFERROR(LOOKUP(1,0/((成型機資料庫!$F$374:$F$385=J18)*(成型機資料庫!$G$374:$G$385=K18)),成型機資料庫!$L$374:$L$385),0)</f>
        <v>0</v>
      </c>
      <c r="W18" s="898">
        <f t="shared" si="4"/>
        <v>0</v>
      </c>
      <c r="X18" s="923">
        <f t="shared" si="6"/>
        <v>0</v>
      </c>
      <c r="Y18" s="898">
        <f t="shared" si="7"/>
        <v>0</v>
      </c>
      <c r="Z18" s="923"/>
      <c r="AA18" s="478">
        <f t="shared" si="0"/>
        <v>0</v>
      </c>
      <c r="AB18" s="438"/>
      <c r="AC18" s="482"/>
      <c r="AD18" s="438"/>
      <c r="AE18" s="438"/>
      <c r="AF18" s="438"/>
    </row>
    <row r="19" spans="1:32" s="433" customFormat="1" ht="15.75">
      <c r="A19" s="434">
        <v>113</v>
      </c>
      <c r="B19" s="581"/>
      <c r="C19" s="581">
        <v>11</v>
      </c>
      <c r="D19" s="581"/>
      <c r="E19" s="581" t="s">
        <v>0</v>
      </c>
      <c r="F19" s="435" t="s">
        <v>42</v>
      </c>
      <c r="G19" s="926"/>
      <c r="H19" s="464"/>
      <c r="I19" s="429"/>
      <c r="J19" s="429"/>
      <c r="K19" s="429"/>
      <c r="L19" s="464"/>
      <c r="M19" s="464"/>
      <c r="N19" s="900">
        <f t="shared" si="5"/>
        <v>0</v>
      </c>
      <c r="O19" s="901">
        <f t="shared" si="1"/>
        <v>0</v>
      </c>
      <c r="P19" s="460"/>
      <c r="Q19" s="438">
        <f>IFERROR(LOOKUP(1,0/((成型機資料庫!$F$374:$F$385=J19)*(成型機資料庫!$G$374:$G$385=K19)),成型機資料庫!$K$374:$K$385),0)</f>
        <v>0</v>
      </c>
      <c r="R19" s="899">
        <f t="shared" si="2"/>
        <v>0</v>
      </c>
      <c r="S19" s="898">
        <f t="shared" si="3"/>
        <v>0</v>
      </c>
      <c r="T19" s="923">
        <f>IFERROR(LOOKUP(1,0/((成型機資料庫!$F$374:$F$385=J19)*(成型機資料庫!$G$374:$G$385=K19)),成型機資料庫!$I$374:$I$385),0)</f>
        <v>0</v>
      </c>
      <c r="U19" s="944">
        <f>IFERROR(LOOKUP(1,0/((成型機資料庫!$F$374:$F$385=J19)*(成型機資料庫!$G$374:$G$385=K19)),成型機資料庫!$J$374:$J$385),0)</f>
        <v>0</v>
      </c>
      <c r="V19" s="900">
        <f>IFERROR(LOOKUP(1,0/((成型機資料庫!$F$374:$F$385=J19)*(成型機資料庫!$G$374:$G$385=K19)),成型機資料庫!$L$374:$L$385),0)</f>
        <v>0</v>
      </c>
      <c r="W19" s="898">
        <f t="shared" si="4"/>
        <v>0</v>
      </c>
      <c r="X19" s="923">
        <f t="shared" si="6"/>
        <v>0</v>
      </c>
      <c r="Y19" s="898">
        <f t="shared" si="7"/>
        <v>0</v>
      </c>
      <c r="Z19" s="923"/>
      <c r="AA19" s="478">
        <f t="shared" si="0"/>
        <v>0</v>
      </c>
      <c r="AB19" s="438"/>
      <c r="AC19" s="482"/>
      <c r="AD19" s="464"/>
      <c r="AE19" s="438"/>
      <c r="AF19" s="438"/>
    </row>
    <row r="20" spans="1:32" s="433" customFormat="1" ht="15.75">
      <c r="A20" s="434">
        <v>113</v>
      </c>
      <c r="B20" s="581"/>
      <c r="C20" s="581">
        <v>12</v>
      </c>
      <c r="D20" s="581"/>
      <c r="E20" s="889" t="s">
        <v>0</v>
      </c>
      <c r="F20" s="435" t="s">
        <v>42</v>
      </c>
      <c r="G20" s="926"/>
      <c r="H20" s="464"/>
      <c r="I20" s="429"/>
      <c r="J20" s="429"/>
      <c r="K20" s="429"/>
      <c r="L20" s="464"/>
      <c r="M20" s="464"/>
      <c r="N20" s="900">
        <f t="shared" si="5"/>
        <v>0</v>
      </c>
      <c r="O20" s="901">
        <f t="shared" si="1"/>
        <v>0</v>
      </c>
      <c r="P20" s="460"/>
      <c r="Q20" s="438">
        <f>IFERROR(LOOKUP(1,0/((成型機資料庫!$F$374:$F$385=J20)*(成型機資料庫!$G$374:$G$385=K20)),成型機資料庫!$K$374:$K$385),0)</f>
        <v>0</v>
      </c>
      <c r="R20" s="899">
        <f>M20*Q20*P20/1000</f>
        <v>0</v>
      </c>
      <c r="S20" s="898">
        <f t="shared" si="3"/>
        <v>0</v>
      </c>
      <c r="T20" s="923">
        <f>IFERROR(LOOKUP(1,0/((成型機資料庫!$F$374:$F$385=J20)*(成型機資料庫!$G$374:$G$385=K20)),成型機資料庫!$I$374:$I$385),0)</f>
        <v>0</v>
      </c>
      <c r="U20" s="944">
        <f>IFERROR(LOOKUP(1,0/((成型機資料庫!$F$374:$F$385=J20)*(成型機資料庫!$G$374:$G$385=K20)),成型機資料庫!$J$374:$J$385),0)</f>
        <v>0</v>
      </c>
      <c r="V20" s="900">
        <f>IFERROR(LOOKUP(1,0/((成型機資料庫!$F$374:$F$385=J20)*(成型機資料庫!$G$374:$G$385=K20)),成型機資料庫!$L$374:$L$385),0)</f>
        <v>0</v>
      </c>
      <c r="W20" s="898">
        <f t="shared" si="4"/>
        <v>0</v>
      </c>
      <c r="X20" s="923">
        <f t="shared" si="6"/>
        <v>0</v>
      </c>
      <c r="Y20" s="898">
        <f t="shared" si="7"/>
        <v>0</v>
      </c>
      <c r="Z20" s="923"/>
      <c r="AA20" s="478">
        <f>AB20+AC20/60</f>
        <v>0</v>
      </c>
      <c r="AB20" s="438"/>
      <c r="AC20" s="482"/>
      <c r="AD20" s="438"/>
      <c r="AE20" s="438"/>
      <c r="AF20" s="438"/>
    </row>
    <row r="21" spans="1:32" s="433" customFormat="1" ht="15.75">
      <c r="A21" s="434">
        <v>113</v>
      </c>
      <c r="B21" s="581"/>
      <c r="C21" s="581">
        <v>13</v>
      </c>
      <c r="D21" s="581"/>
      <c r="E21" s="889" t="s">
        <v>0</v>
      </c>
      <c r="F21" s="435" t="s">
        <v>42</v>
      </c>
      <c r="G21" s="926"/>
      <c r="H21" s="464"/>
      <c r="I21" s="429"/>
      <c r="J21" s="429"/>
      <c r="K21" s="429"/>
      <c r="L21" s="464"/>
      <c r="M21" s="464"/>
      <c r="N21" s="900">
        <f t="shared" si="5"/>
        <v>0</v>
      </c>
      <c r="O21" s="901">
        <f t="shared" si="1"/>
        <v>0</v>
      </c>
      <c r="P21" s="460"/>
      <c r="Q21" s="438">
        <f>IFERROR(LOOKUP(1,0/((成型機資料庫!$F$374:$F$385=J21)*(成型機資料庫!$G$374:$G$385=K21)),成型機資料庫!$K$374:$K$385),0)</f>
        <v>0</v>
      </c>
      <c r="R21" s="899">
        <f>M21*Q21*P21/1000</f>
        <v>0</v>
      </c>
      <c r="S21" s="898">
        <f t="shared" si="3"/>
        <v>0</v>
      </c>
      <c r="T21" s="923">
        <f>IFERROR(LOOKUP(1,0/((成型機資料庫!$F$374:$F$385=J21)*(成型機資料庫!$G$374:$G$385=K21)),成型機資料庫!$I$374:$I$385),0)</f>
        <v>0</v>
      </c>
      <c r="U21" s="944">
        <f>IFERROR(LOOKUP(1,0/((成型機資料庫!$F$374:$F$385=J21)*(成型機資料庫!$G$374:$G$385=K21)),成型機資料庫!$J$374:$J$385),0)</f>
        <v>0</v>
      </c>
      <c r="V21" s="900">
        <f>IFERROR(LOOKUP(1,0/((成型機資料庫!$F$374:$F$385=J21)*(成型機資料庫!$G$374:$G$385=K21)),成型機資料庫!$L$374:$L$385),0)</f>
        <v>0</v>
      </c>
      <c r="W21" s="898">
        <f t="shared" si="4"/>
        <v>0</v>
      </c>
      <c r="X21" s="923">
        <f t="shared" si="6"/>
        <v>0</v>
      </c>
      <c r="Y21" s="898">
        <f t="shared" si="7"/>
        <v>0</v>
      </c>
      <c r="Z21" s="923"/>
      <c r="AA21" s="478">
        <f>AB21+AC21/60</f>
        <v>0</v>
      </c>
      <c r="AB21" s="438"/>
      <c r="AC21" s="482"/>
      <c r="AD21" s="464"/>
      <c r="AE21" s="438"/>
      <c r="AF21" s="438"/>
    </row>
    <row r="22" spans="1:32" s="433" customFormat="1" ht="15.75">
      <c r="A22" s="434">
        <v>113</v>
      </c>
      <c r="B22" s="581"/>
      <c r="C22" s="581">
        <v>14</v>
      </c>
      <c r="D22" s="581"/>
      <c r="E22" s="889" t="s">
        <v>0</v>
      </c>
      <c r="F22" s="435" t="s">
        <v>42</v>
      </c>
      <c r="G22" s="926"/>
      <c r="H22" s="464"/>
      <c r="I22" s="429"/>
      <c r="J22" s="429"/>
      <c r="K22" s="429"/>
      <c r="L22" s="464"/>
      <c r="M22" s="464"/>
      <c r="N22" s="900">
        <f t="shared" si="5"/>
        <v>0</v>
      </c>
      <c r="O22" s="901">
        <f t="shared" si="1"/>
        <v>0</v>
      </c>
      <c r="P22" s="460"/>
      <c r="Q22" s="438">
        <f>IFERROR(LOOKUP(1,0/((成型機資料庫!$F$374:$F$385=J22)*(成型機資料庫!$G$374:$G$385=K22)),成型機資料庫!$K$374:$K$385),0)</f>
        <v>0</v>
      </c>
      <c r="R22" s="899">
        <f t="shared" si="2"/>
        <v>0</v>
      </c>
      <c r="S22" s="898">
        <f t="shared" si="3"/>
        <v>0</v>
      </c>
      <c r="T22" s="923">
        <f>IFERROR(LOOKUP(1,0/((成型機資料庫!$F$374:$F$385=J22)*(成型機資料庫!$G$374:$G$385=K22)),成型機資料庫!$I$374:$I$385),0)</f>
        <v>0</v>
      </c>
      <c r="U22" s="944">
        <f>IFERROR(LOOKUP(1,0/((成型機資料庫!$F$374:$F$385=J22)*(成型機資料庫!$G$374:$G$385=K22)),成型機資料庫!$J$374:$J$385),0)</f>
        <v>0</v>
      </c>
      <c r="V22" s="900">
        <f>IFERROR(LOOKUP(1,0/((成型機資料庫!$F$374:$F$385=J22)*(成型機資料庫!$G$374:$G$385=K22)),成型機資料庫!$L$374:$L$385),0)</f>
        <v>0</v>
      </c>
      <c r="W22" s="898">
        <f t="shared" si="4"/>
        <v>0</v>
      </c>
      <c r="X22" s="923">
        <f t="shared" si="6"/>
        <v>0</v>
      </c>
      <c r="Y22" s="898">
        <f t="shared" si="7"/>
        <v>0</v>
      </c>
      <c r="Z22" s="923"/>
      <c r="AA22" s="478">
        <f t="shared" si="0"/>
        <v>0</v>
      </c>
      <c r="AB22" s="438"/>
      <c r="AC22" s="482"/>
      <c r="AD22" s="464"/>
      <c r="AE22" s="438"/>
      <c r="AF22" s="438"/>
    </row>
    <row r="23" spans="1:32" s="433" customFormat="1" ht="15.75">
      <c r="A23" s="434">
        <v>113</v>
      </c>
      <c r="B23" s="581"/>
      <c r="C23" s="581">
        <v>15</v>
      </c>
      <c r="D23" s="581"/>
      <c r="E23" s="889" t="s">
        <v>0</v>
      </c>
      <c r="F23" s="435" t="s">
        <v>42</v>
      </c>
      <c r="G23" s="927"/>
      <c r="H23" s="464"/>
      <c r="I23" s="429"/>
      <c r="J23" s="429"/>
      <c r="K23" s="429"/>
      <c r="L23" s="464"/>
      <c r="M23" s="464"/>
      <c r="N23" s="900">
        <f t="shared" si="5"/>
        <v>0</v>
      </c>
      <c r="O23" s="901">
        <f t="shared" si="1"/>
        <v>0</v>
      </c>
      <c r="P23" s="460"/>
      <c r="Q23" s="438">
        <f>IFERROR(LOOKUP(1,0/((成型機資料庫!$F$374:$F$385=J23)*(成型機資料庫!$G$374:$G$385=K23)),成型機資料庫!$K$374:$K$385),0)</f>
        <v>0</v>
      </c>
      <c r="R23" s="899">
        <f t="shared" si="2"/>
        <v>0</v>
      </c>
      <c r="S23" s="898">
        <f t="shared" si="3"/>
        <v>0</v>
      </c>
      <c r="T23" s="923">
        <f>IFERROR(LOOKUP(1,0/((成型機資料庫!$F$374:$F$385=J23)*(成型機資料庫!$G$374:$G$385=K23)),成型機資料庫!$I$374:$I$385),0)</f>
        <v>0</v>
      </c>
      <c r="U23" s="944">
        <f>IFERROR(LOOKUP(1,0/((成型機資料庫!$F$374:$F$385=J23)*(成型機資料庫!$G$374:$G$385=K23)),成型機資料庫!$J$374:$J$385),0)</f>
        <v>0</v>
      </c>
      <c r="V23" s="900">
        <f>IFERROR(LOOKUP(1,0/((成型機資料庫!$F$374:$F$385=J23)*(成型機資料庫!$G$374:$G$385=K23)),成型機資料庫!$L$374:$L$385),0)</f>
        <v>0</v>
      </c>
      <c r="W23" s="898">
        <f t="shared" si="4"/>
        <v>0</v>
      </c>
      <c r="X23" s="923">
        <f t="shared" si="6"/>
        <v>0</v>
      </c>
      <c r="Y23" s="898">
        <f t="shared" si="7"/>
        <v>0</v>
      </c>
      <c r="Z23" s="923"/>
      <c r="AA23" s="478">
        <f t="shared" si="0"/>
        <v>0</v>
      </c>
      <c r="AB23" s="438"/>
      <c r="AC23" s="482"/>
      <c r="AD23" s="438"/>
      <c r="AE23" s="438"/>
      <c r="AF23" s="438"/>
    </row>
    <row r="24" spans="1:32" s="433" customFormat="1" ht="15.75">
      <c r="A24" s="434">
        <v>113</v>
      </c>
      <c r="B24" s="581"/>
      <c r="C24" s="581">
        <v>16</v>
      </c>
      <c r="D24" s="581"/>
      <c r="E24" s="889" t="s">
        <v>0</v>
      </c>
      <c r="F24" s="435" t="s">
        <v>42</v>
      </c>
      <c r="G24" s="927"/>
      <c r="H24" s="464"/>
      <c r="I24" s="429"/>
      <c r="J24" s="429"/>
      <c r="K24" s="429"/>
      <c r="L24" s="464"/>
      <c r="M24" s="464"/>
      <c r="N24" s="900">
        <f t="shared" si="5"/>
        <v>0</v>
      </c>
      <c r="O24" s="901">
        <f t="shared" si="1"/>
        <v>0</v>
      </c>
      <c r="P24" s="460"/>
      <c r="Q24" s="438">
        <f>IFERROR(LOOKUP(1,0/((成型機資料庫!$F$374:$F$385=J24)*(成型機資料庫!$G$374:$G$385=K24)),成型機資料庫!$K$374:$K$385),0)</f>
        <v>0</v>
      </c>
      <c r="R24" s="899">
        <f t="shared" si="2"/>
        <v>0</v>
      </c>
      <c r="S24" s="898">
        <f t="shared" si="3"/>
        <v>0</v>
      </c>
      <c r="T24" s="923">
        <f>IFERROR(LOOKUP(1,0/((成型機資料庫!$F$374:$F$385=J24)*(成型機資料庫!$G$374:$G$385=K24)),成型機資料庫!$I$374:$I$385),0)</f>
        <v>0</v>
      </c>
      <c r="U24" s="944">
        <f>IFERROR(LOOKUP(1,0/((成型機資料庫!$F$374:$F$385=J24)*(成型機資料庫!$G$374:$G$385=K24)),成型機資料庫!$J$374:$J$385),0)</f>
        <v>0</v>
      </c>
      <c r="V24" s="900">
        <f>IFERROR(LOOKUP(1,0/((成型機資料庫!$F$374:$F$385=J24)*(成型機資料庫!$G$374:$G$385=K24)),成型機資料庫!$L$374:$L$385),0)</f>
        <v>0</v>
      </c>
      <c r="W24" s="898">
        <f t="shared" si="4"/>
        <v>0</v>
      </c>
      <c r="X24" s="923">
        <f t="shared" si="6"/>
        <v>0</v>
      </c>
      <c r="Y24" s="898">
        <f t="shared" si="7"/>
        <v>0</v>
      </c>
      <c r="Z24" s="923"/>
      <c r="AA24" s="478">
        <f t="shared" si="0"/>
        <v>0</v>
      </c>
      <c r="AB24" s="438"/>
      <c r="AC24" s="482"/>
      <c r="AD24" s="464"/>
      <c r="AE24" s="464"/>
      <c r="AF24" s="438"/>
    </row>
    <row r="25" spans="1:32" s="433" customFormat="1" ht="15.75">
      <c r="A25" s="434">
        <v>113</v>
      </c>
      <c r="B25" s="581"/>
      <c r="C25" s="581">
        <v>17</v>
      </c>
      <c r="D25" s="581"/>
      <c r="E25" s="889" t="s">
        <v>0</v>
      </c>
      <c r="F25" s="435" t="s">
        <v>42</v>
      </c>
      <c r="G25" s="927"/>
      <c r="H25" s="464"/>
      <c r="I25" s="429"/>
      <c r="J25" s="429"/>
      <c r="K25" s="429"/>
      <c r="L25" s="464"/>
      <c r="M25" s="464"/>
      <c r="N25" s="900">
        <f t="shared" si="5"/>
        <v>0</v>
      </c>
      <c r="O25" s="901">
        <f t="shared" ref="O25:O38" si="8">L25*M25</f>
        <v>0</v>
      </c>
      <c r="P25" s="460"/>
      <c r="Q25" s="438">
        <f>IFERROR(LOOKUP(1,0/((成型機資料庫!$F$374:$F$385=J25)*(成型機資料庫!$G$374:$G$385=K25)),成型機資料庫!$K$374:$K$385),0)</f>
        <v>0</v>
      </c>
      <c r="R25" s="899">
        <f t="shared" si="2"/>
        <v>0</v>
      </c>
      <c r="S25" s="898">
        <f t="shared" si="3"/>
        <v>0</v>
      </c>
      <c r="T25" s="923">
        <f>IFERROR(LOOKUP(1,0/((成型機資料庫!$F$374:$F$385=J25)*(成型機資料庫!$G$374:$G$385=K25)),成型機資料庫!$I$374:$I$385),0)</f>
        <v>0</v>
      </c>
      <c r="U25" s="944">
        <f>IFERROR(LOOKUP(1,0/((成型機資料庫!$F$374:$F$385=J25)*(成型機資料庫!$G$374:$G$385=K25)),成型機資料庫!$J$374:$J$385),0)</f>
        <v>0</v>
      </c>
      <c r="V25" s="900">
        <f>IFERROR(LOOKUP(1,0/((成型機資料庫!$F$374:$F$385=J25)*(成型機資料庫!$G$374:$G$385=K25)),成型機資料庫!$L$374:$L$385),0)</f>
        <v>0</v>
      </c>
      <c r="W25" s="898">
        <f t="shared" si="4"/>
        <v>0</v>
      </c>
      <c r="X25" s="923">
        <f t="shared" si="6"/>
        <v>0</v>
      </c>
      <c r="Y25" s="898">
        <f t="shared" si="7"/>
        <v>0</v>
      </c>
      <c r="Z25" s="923"/>
      <c r="AA25" s="478">
        <f t="shared" si="0"/>
        <v>0</v>
      </c>
      <c r="AB25" s="438"/>
      <c r="AC25" s="482"/>
      <c r="AD25" s="464"/>
      <c r="AE25" s="438"/>
      <c r="AF25" s="438"/>
    </row>
    <row r="26" spans="1:32" s="433" customFormat="1" ht="15.75">
      <c r="A26" s="434">
        <v>113</v>
      </c>
      <c r="B26" s="434"/>
      <c r="C26" s="434">
        <v>18</v>
      </c>
      <c r="D26" s="581"/>
      <c r="E26" s="889" t="s">
        <v>0</v>
      </c>
      <c r="F26" s="435" t="s">
        <v>42</v>
      </c>
      <c r="G26" s="926"/>
      <c r="H26" s="464"/>
      <c r="I26" s="429"/>
      <c r="J26" s="429"/>
      <c r="K26" s="429"/>
      <c r="L26" s="464"/>
      <c r="M26" s="464"/>
      <c r="N26" s="900">
        <f t="shared" si="5"/>
        <v>0</v>
      </c>
      <c r="O26" s="901">
        <f t="shared" si="8"/>
        <v>0</v>
      </c>
      <c r="P26" s="460"/>
      <c r="Q26" s="438">
        <f>IFERROR(LOOKUP(1,0/((成型機資料庫!$F$374:$F$385=J26)*(成型機資料庫!$G$374:$G$385=K26)),成型機資料庫!$K$374:$K$385),0)</f>
        <v>0</v>
      </c>
      <c r="R26" s="899">
        <f>M26*Q26*P26/1000</f>
        <v>0</v>
      </c>
      <c r="S26" s="898">
        <f t="shared" si="3"/>
        <v>0</v>
      </c>
      <c r="T26" s="923">
        <f>IFERROR(LOOKUP(1,0/((成型機資料庫!$F$374:$F$385=J26)*(成型機資料庫!$G$374:$G$385=K26)),成型機資料庫!$I$374:$I$385),0)</f>
        <v>0</v>
      </c>
      <c r="U26" s="944">
        <f>IFERROR(LOOKUP(1,0/((成型機資料庫!$F$374:$F$385=J26)*(成型機資料庫!$G$374:$G$385=K26)),成型機資料庫!$J$374:$J$385),0)</f>
        <v>0</v>
      </c>
      <c r="V26" s="900">
        <f>IFERROR(LOOKUP(1,0/((成型機資料庫!$F$374:$F$385=J26)*(成型機資料庫!$G$374:$G$385=K26)),成型機資料庫!$L$374:$L$385),0)</f>
        <v>0</v>
      </c>
      <c r="W26" s="898">
        <f t="shared" si="4"/>
        <v>0</v>
      </c>
      <c r="X26" s="923">
        <f t="shared" si="6"/>
        <v>0</v>
      </c>
      <c r="Y26" s="898">
        <f t="shared" si="7"/>
        <v>0</v>
      </c>
      <c r="Z26" s="923"/>
      <c r="AA26" s="478">
        <f>AB26+AC26/60</f>
        <v>0</v>
      </c>
      <c r="AB26" s="438"/>
      <c r="AC26" s="482"/>
      <c r="AD26" s="464"/>
      <c r="AE26" s="438"/>
      <c r="AF26" s="438"/>
    </row>
    <row r="27" spans="1:32" s="433" customFormat="1" ht="15.75">
      <c r="A27" s="434">
        <v>113</v>
      </c>
      <c r="B27" s="434"/>
      <c r="C27" s="434">
        <v>19</v>
      </c>
      <c r="D27" s="581"/>
      <c r="E27" s="889" t="s">
        <v>0</v>
      </c>
      <c r="F27" s="435" t="s">
        <v>42</v>
      </c>
      <c r="G27" s="926"/>
      <c r="H27" s="464"/>
      <c r="I27" s="429"/>
      <c r="J27" s="429"/>
      <c r="K27" s="429"/>
      <c r="L27" s="464"/>
      <c r="M27" s="464"/>
      <c r="N27" s="900">
        <f t="shared" si="5"/>
        <v>0</v>
      </c>
      <c r="O27" s="901">
        <f t="shared" si="8"/>
        <v>0</v>
      </c>
      <c r="P27" s="460"/>
      <c r="Q27" s="438">
        <f>IFERROR(LOOKUP(1,0/((成型機資料庫!$F$374:$F$385=J27)*(成型機資料庫!$G$374:$G$385=K27)),成型機資料庫!$K$374:$K$385),0)</f>
        <v>0</v>
      </c>
      <c r="R27" s="899">
        <f t="shared" si="2"/>
        <v>0</v>
      </c>
      <c r="S27" s="898">
        <f t="shared" si="3"/>
        <v>0</v>
      </c>
      <c r="T27" s="923">
        <f>IFERROR(LOOKUP(1,0/((成型機資料庫!$F$374:$F$385=J27)*(成型機資料庫!$G$374:$G$385=K27)),成型機資料庫!$I$374:$I$385),0)</f>
        <v>0</v>
      </c>
      <c r="U27" s="944">
        <f>IFERROR(LOOKUP(1,0/((成型機資料庫!$F$374:$F$385=J27)*(成型機資料庫!$G$374:$G$385=K27)),成型機資料庫!$J$374:$J$385),0)</f>
        <v>0</v>
      </c>
      <c r="V27" s="900">
        <f>IFERROR(LOOKUP(1,0/((成型機資料庫!$F$374:$F$385=J27)*(成型機資料庫!$G$374:$G$385=K27)),成型機資料庫!$L$374:$L$385),0)</f>
        <v>0</v>
      </c>
      <c r="W27" s="898">
        <f t="shared" si="4"/>
        <v>0</v>
      </c>
      <c r="X27" s="923">
        <f t="shared" si="6"/>
        <v>0</v>
      </c>
      <c r="Y27" s="898">
        <f t="shared" si="7"/>
        <v>0</v>
      </c>
      <c r="Z27" s="923"/>
      <c r="AA27" s="478">
        <f t="shared" si="0"/>
        <v>0</v>
      </c>
      <c r="AB27" s="438"/>
      <c r="AC27" s="482"/>
      <c r="AD27" s="464"/>
      <c r="AE27" s="438"/>
      <c r="AF27" s="438"/>
    </row>
    <row r="28" spans="1:32" s="433" customFormat="1" ht="15.75">
      <c r="A28" s="434">
        <v>113</v>
      </c>
      <c r="B28" s="434"/>
      <c r="C28" s="434">
        <v>20</v>
      </c>
      <c r="D28" s="581"/>
      <c r="E28" s="889" t="s">
        <v>0</v>
      </c>
      <c r="F28" s="435" t="s">
        <v>42</v>
      </c>
      <c r="G28" s="926"/>
      <c r="H28" s="464"/>
      <c r="I28" s="429"/>
      <c r="J28" s="429"/>
      <c r="K28" s="429"/>
      <c r="L28" s="464"/>
      <c r="M28" s="464"/>
      <c r="N28" s="900">
        <f t="shared" si="5"/>
        <v>0</v>
      </c>
      <c r="O28" s="901">
        <f t="shared" si="8"/>
        <v>0</v>
      </c>
      <c r="P28" s="460"/>
      <c r="Q28" s="438">
        <f>IFERROR(LOOKUP(1,0/((成型機資料庫!$F$374:$F$385=J28)*(成型機資料庫!$G$374:$G$385=K28)),成型機資料庫!$K$374:$K$385),0)</f>
        <v>0</v>
      </c>
      <c r="R28" s="899">
        <f t="shared" si="2"/>
        <v>0</v>
      </c>
      <c r="S28" s="898">
        <f t="shared" si="3"/>
        <v>0</v>
      </c>
      <c r="T28" s="923">
        <f>IFERROR(LOOKUP(1,0/((成型機資料庫!$F$374:$F$385=J28)*(成型機資料庫!$G$374:$G$385=K28)),成型機資料庫!$I$374:$I$385),0)</f>
        <v>0</v>
      </c>
      <c r="U28" s="944">
        <f>IFERROR(LOOKUP(1,0/((成型機資料庫!$F$374:$F$385=J28)*(成型機資料庫!$G$374:$G$385=K28)),成型機資料庫!$J$374:$J$385),0)</f>
        <v>0</v>
      </c>
      <c r="V28" s="900">
        <f>IFERROR(LOOKUP(1,0/((成型機資料庫!$F$374:$F$385=J28)*(成型機資料庫!$G$374:$G$385=K28)),成型機資料庫!$L$374:$L$385),0)</f>
        <v>0</v>
      </c>
      <c r="W28" s="898">
        <f t="shared" si="4"/>
        <v>0</v>
      </c>
      <c r="X28" s="923">
        <f t="shared" si="6"/>
        <v>0</v>
      </c>
      <c r="Y28" s="898">
        <f t="shared" si="7"/>
        <v>0</v>
      </c>
      <c r="Z28" s="923"/>
      <c r="AA28" s="478">
        <f t="shared" si="0"/>
        <v>0</v>
      </c>
      <c r="AB28" s="438"/>
      <c r="AC28" s="482"/>
      <c r="AD28" s="464"/>
      <c r="AE28" s="438"/>
      <c r="AF28" s="438"/>
    </row>
    <row r="29" spans="1:32" s="433" customFormat="1" ht="15.75">
      <c r="A29" s="434">
        <v>113</v>
      </c>
      <c r="B29" s="434"/>
      <c r="C29" s="434">
        <v>21</v>
      </c>
      <c r="D29" s="581"/>
      <c r="E29" s="889" t="s">
        <v>0</v>
      </c>
      <c r="F29" s="435" t="s">
        <v>42</v>
      </c>
      <c r="G29" s="926"/>
      <c r="H29" s="464"/>
      <c r="I29" s="429"/>
      <c r="J29" s="429"/>
      <c r="K29" s="429"/>
      <c r="L29" s="464"/>
      <c r="M29" s="464"/>
      <c r="N29" s="900">
        <f t="shared" si="5"/>
        <v>0</v>
      </c>
      <c r="O29" s="901">
        <f t="shared" si="8"/>
        <v>0</v>
      </c>
      <c r="P29" s="460"/>
      <c r="Q29" s="438">
        <f>IFERROR(LOOKUP(1,0/((成型機資料庫!$F$374:$F$385=J29)*(成型機資料庫!$G$374:$G$385=K29)),成型機資料庫!$K$374:$K$385),0)</f>
        <v>0</v>
      </c>
      <c r="R29" s="899">
        <f t="shared" si="2"/>
        <v>0</v>
      </c>
      <c r="S29" s="898">
        <f t="shared" si="3"/>
        <v>0</v>
      </c>
      <c r="T29" s="923">
        <f>IFERROR(LOOKUP(1,0/((成型機資料庫!$F$374:$F$385=J29)*(成型機資料庫!$G$374:$G$385=K29)),成型機資料庫!$I$374:$I$385),0)</f>
        <v>0</v>
      </c>
      <c r="U29" s="944">
        <f>IFERROR(LOOKUP(1,0/((成型機資料庫!$F$374:$F$385=J29)*(成型機資料庫!$G$374:$G$385=K29)),成型機資料庫!$J$374:$J$385),0)</f>
        <v>0</v>
      </c>
      <c r="V29" s="900">
        <f>IFERROR(LOOKUP(1,0/((成型機資料庫!$F$374:$F$385=J29)*(成型機資料庫!$G$374:$G$385=K29)),成型機資料庫!$L$374:$L$385),0)</f>
        <v>0</v>
      </c>
      <c r="W29" s="898">
        <f t="shared" si="4"/>
        <v>0</v>
      </c>
      <c r="X29" s="923">
        <f t="shared" si="6"/>
        <v>0</v>
      </c>
      <c r="Y29" s="898">
        <f t="shared" si="7"/>
        <v>0</v>
      </c>
      <c r="Z29" s="923"/>
      <c r="AA29" s="478">
        <f t="shared" si="0"/>
        <v>0</v>
      </c>
      <c r="AB29" s="438"/>
      <c r="AC29" s="482"/>
      <c r="AD29" s="464"/>
      <c r="AE29" s="438"/>
      <c r="AF29" s="438"/>
    </row>
    <row r="30" spans="1:32" s="433" customFormat="1" ht="15.75">
      <c r="A30" s="434">
        <v>113</v>
      </c>
      <c r="B30" s="434"/>
      <c r="C30" s="434">
        <v>22</v>
      </c>
      <c r="D30" s="581"/>
      <c r="E30" s="889" t="s">
        <v>0</v>
      </c>
      <c r="F30" s="435" t="s">
        <v>42</v>
      </c>
      <c r="G30" s="927"/>
      <c r="H30" s="464"/>
      <c r="I30" s="429"/>
      <c r="J30" s="429"/>
      <c r="K30" s="429"/>
      <c r="L30" s="464"/>
      <c r="M30" s="464"/>
      <c r="N30" s="900">
        <f t="shared" si="5"/>
        <v>0</v>
      </c>
      <c r="O30" s="901">
        <f t="shared" si="8"/>
        <v>0</v>
      </c>
      <c r="P30" s="460"/>
      <c r="Q30" s="438">
        <f>IFERROR(LOOKUP(1,0/((成型機資料庫!$F$374:$F$385=J30)*(成型機資料庫!$G$374:$G$385=K30)),成型機資料庫!$K$374:$K$385),0)</f>
        <v>0</v>
      </c>
      <c r="R30" s="899">
        <f t="shared" si="2"/>
        <v>0</v>
      </c>
      <c r="S30" s="898">
        <f t="shared" si="3"/>
        <v>0</v>
      </c>
      <c r="T30" s="923">
        <f>IFERROR(LOOKUP(1,0/((成型機資料庫!$F$374:$F$385=J30)*(成型機資料庫!$G$374:$G$385=K30)),成型機資料庫!$I$374:$I$385),0)</f>
        <v>0</v>
      </c>
      <c r="U30" s="944">
        <f>IFERROR(LOOKUP(1,0/((成型機資料庫!$F$374:$F$385=J30)*(成型機資料庫!$G$374:$G$385=K30)),成型機資料庫!$J$374:$J$385),0)</f>
        <v>0</v>
      </c>
      <c r="V30" s="900">
        <f>IFERROR(LOOKUP(1,0/((成型機資料庫!$F$374:$F$385=J30)*(成型機資料庫!$G$374:$G$385=K30)),成型機資料庫!$L$374:$L$385),0)</f>
        <v>0</v>
      </c>
      <c r="W30" s="898">
        <f t="shared" si="4"/>
        <v>0</v>
      </c>
      <c r="X30" s="923">
        <f t="shared" si="6"/>
        <v>0</v>
      </c>
      <c r="Y30" s="898">
        <f t="shared" si="7"/>
        <v>0</v>
      </c>
      <c r="Z30" s="923"/>
      <c r="AA30" s="478">
        <f t="shared" si="0"/>
        <v>0</v>
      </c>
      <c r="AB30" s="438"/>
      <c r="AC30" s="482"/>
      <c r="AD30" s="464"/>
      <c r="AE30" s="438"/>
      <c r="AF30" s="438"/>
    </row>
    <row r="31" spans="1:32" s="433" customFormat="1" ht="15.75">
      <c r="A31" s="434">
        <v>113</v>
      </c>
      <c r="B31" s="434"/>
      <c r="C31" s="434">
        <v>23</v>
      </c>
      <c r="D31" s="581"/>
      <c r="E31" s="889" t="s">
        <v>0</v>
      </c>
      <c r="F31" s="435" t="s">
        <v>42</v>
      </c>
      <c r="G31" s="926"/>
      <c r="H31" s="464"/>
      <c r="I31" s="429"/>
      <c r="J31" s="429"/>
      <c r="K31" s="429"/>
      <c r="L31" s="464"/>
      <c r="M31" s="464"/>
      <c r="N31" s="900">
        <f t="shared" si="5"/>
        <v>0</v>
      </c>
      <c r="O31" s="901">
        <f t="shared" si="8"/>
        <v>0</v>
      </c>
      <c r="P31" s="460"/>
      <c r="Q31" s="438">
        <f>IFERROR(LOOKUP(1,0/((成型機資料庫!$F$374:$F$385=J31)*(成型機資料庫!$G$374:$G$385=K31)),成型機資料庫!$K$374:$K$385),0)</f>
        <v>0</v>
      </c>
      <c r="R31" s="899">
        <f>M31*Q31*P31/1000</f>
        <v>0</v>
      </c>
      <c r="S31" s="898">
        <f t="shared" si="3"/>
        <v>0</v>
      </c>
      <c r="T31" s="923">
        <f>IFERROR(LOOKUP(1,0/((成型機資料庫!$F$374:$F$385=J31)*(成型機資料庫!$G$374:$G$385=K31)),成型機資料庫!$I$374:$I$385),0)</f>
        <v>0</v>
      </c>
      <c r="U31" s="944">
        <f>IFERROR(LOOKUP(1,0/((成型機資料庫!$F$374:$F$385=J31)*(成型機資料庫!$G$374:$G$385=K31)),成型機資料庫!$J$374:$J$385),0)</f>
        <v>0</v>
      </c>
      <c r="V31" s="900">
        <f>IFERROR(LOOKUP(1,0/((成型機資料庫!$F$374:$F$385=J31)*(成型機資料庫!$G$374:$G$385=K31)),成型機資料庫!$L$374:$L$385),0)</f>
        <v>0</v>
      </c>
      <c r="W31" s="898">
        <f t="shared" si="4"/>
        <v>0</v>
      </c>
      <c r="X31" s="923">
        <f t="shared" si="6"/>
        <v>0</v>
      </c>
      <c r="Y31" s="898">
        <f t="shared" si="7"/>
        <v>0</v>
      </c>
      <c r="Z31" s="923"/>
      <c r="AA31" s="478">
        <f>AB31+AC31/60</f>
        <v>0</v>
      </c>
      <c r="AB31" s="438"/>
      <c r="AC31" s="482"/>
      <c r="AD31" s="464"/>
      <c r="AE31" s="464"/>
      <c r="AF31" s="438"/>
    </row>
    <row r="32" spans="1:32" s="433" customFormat="1" ht="15.75">
      <c r="A32" s="434">
        <v>113</v>
      </c>
      <c r="B32" s="434"/>
      <c r="C32" s="434">
        <v>24</v>
      </c>
      <c r="D32" s="581"/>
      <c r="E32" s="889" t="s">
        <v>0</v>
      </c>
      <c r="F32" s="435" t="s">
        <v>42</v>
      </c>
      <c r="G32" s="926"/>
      <c r="H32" s="464"/>
      <c r="I32" s="429"/>
      <c r="J32" s="429"/>
      <c r="K32" s="429"/>
      <c r="L32" s="464"/>
      <c r="M32" s="464"/>
      <c r="N32" s="900">
        <f t="shared" si="5"/>
        <v>0</v>
      </c>
      <c r="O32" s="901">
        <f t="shared" si="8"/>
        <v>0</v>
      </c>
      <c r="P32" s="460"/>
      <c r="Q32" s="438">
        <f>IFERROR(LOOKUP(1,0/((成型機資料庫!$F$374:$F$385=J32)*(成型機資料庫!$G$374:$G$385=K32)),成型機資料庫!$K$374:$K$385),0)</f>
        <v>0</v>
      </c>
      <c r="R32" s="899">
        <f>M32*Q32*P32/1000</f>
        <v>0</v>
      </c>
      <c r="S32" s="898">
        <f t="shared" si="3"/>
        <v>0</v>
      </c>
      <c r="T32" s="923">
        <f>IFERROR(LOOKUP(1,0/((成型機資料庫!$F$374:$F$385=J32)*(成型機資料庫!$G$374:$G$385=K32)),成型機資料庫!$I$374:$I$385),0)</f>
        <v>0</v>
      </c>
      <c r="U32" s="944">
        <f>IFERROR(LOOKUP(1,0/((成型機資料庫!$F$374:$F$385=J32)*(成型機資料庫!$G$374:$G$385=K32)),成型機資料庫!$J$374:$J$385),0)</f>
        <v>0</v>
      </c>
      <c r="V32" s="900">
        <f>IFERROR(LOOKUP(1,0/((成型機資料庫!$F$374:$F$385=J32)*(成型機資料庫!$G$374:$G$385=K32)),成型機資料庫!$L$374:$L$385),0)</f>
        <v>0</v>
      </c>
      <c r="W32" s="898">
        <f t="shared" si="4"/>
        <v>0</v>
      </c>
      <c r="X32" s="923">
        <f t="shared" si="6"/>
        <v>0</v>
      </c>
      <c r="Y32" s="898">
        <f t="shared" si="7"/>
        <v>0</v>
      </c>
      <c r="Z32" s="923"/>
      <c r="AA32" s="478">
        <f>AB32+AC32/60</f>
        <v>0</v>
      </c>
      <c r="AB32" s="438"/>
      <c r="AC32" s="482"/>
      <c r="AD32" s="464"/>
      <c r="AE32" s="438"/>
      <c r="AF32" s="438"/>
    </row>
    <row r="33" spans="1:56" s="433" customFormat="1" ht="15.75">
      <c r="A33" s="434">
        <v>113</v>
      </c>
      <c r="B33" s="434"/>
      <c r="C33" s="434">
        <v>25</v>
      </c>
      <c r="D33" s="581"/>
      <c r="E33" s="889" t="s">
        <v>0</v>
      </c>
      <c r="F33" s="435" t="s">
        <v>42</v>
      </c>
      <c r="G33" s="926"/>
      <c r="H33" s="464"/>
      <c r="I33" s="429"/>
      <c r="J33" s="429"/>
      <c r="K33" s="429"/>
      <c r="L33" s="464"/>
      <c r="M33" s="464"/>
      <c r="N33" s="900">
        <f t="shared" si="5"/>
        <v>0</v>
      </c>
      <c r="O33" s="901">
        <f t="shared" si="8"/>
        <v>0</v>
      </c>
      <c r="P33" s="460"/>
      <c r="Q33" s="438">
        <f>IFERROR(LOOKUP(1,0/((成型機資料庫!$F$374:$F$385=J33)*(成型機資料庫!$G$374:$G$385=K33)),成型機資料庫!$K$374:$K$385),0)</f>
        <v>0</v>
      </c>
      <c r="R33" s="899">
        <f t="shared" si="2"/>
        <v>0</v>
      </c>
      <c r="S33" s="898">
        <f t="shared" si="3"/>
        <v>0</v>
      </c>
      <c r="T33" s="923">
        <f>IFERROR(LOOKUP(1,0/((成型機資料庫!$F$374:$F$385=J33)*(成型機資料庫!$G$374:$G$385=K33)),成型機資料庫!$I$374:$I$385),0)</f>
        <v>0</v>
      </c>
      <c r="U33" s="944">
        <f>IFERROR(LOOKUP(1,0/((成型機資料庫!$F$374:$F$385=J33)*(成型機資料庫!$G$374:$G$385=K33)),成型機資料庫!$J$374:$J$385),0)</f>
        <v>0</v>
      </c>
      <c r="V33" s="900">
        <f>IFERROR(LOOKUP(1,0/((成型機資料庫!$F$374:$F$385=J33)*(成型機資料庫!$G$374:$G$385=K33)),成型機資料庫!$L$374:$L$385),0)</f>
        <v>0</v>
      </c>
      <c r="W33" s="898">
        <f t="shared" si="4"/>
        <v>0</v>
      </c>
      <c r="X33" s="923">
        <f t="shared" si="6"/>
        <v>0</v>
      </c>
      <c r="Y33" s="898">
        <f t="shared" si="7"/>
        <v>0</v>
      </c>
      <c r="Z33" s="923"/>
      <c r="AA33" s="478">
        <f t="shared" si="0"/>
        <v>0</v>
      </c>
      <c r="AB33" s="438"/>
      <c r="AC33" s="482"/>
      <c r="AD33" s="464"/>
      <c r="AE33" s="464"/>
      <c r="AF33" s="438"/>
    </row>
    <row r="34" spans="1:56" s="433" customFormat="1" ht="15.75">
      <c r="A34" s="434">
        <v>113</v>
      </c>
      <c r="B34" s="434"/>
      <c r="C34" s="434">
        <v>26</v>
      </c>
      <c r="D34" s="581"/>
      <c r="E34" s="889" t="s">
        <v>0</v>
      </c>
      <c r="F34" s="435" t="s">
        <v>42</v>
      </c>
      <c r="G34" s="926"/>
      <c r="H34" s="464"/>
      <c r="I34" s="429"/>
      <c r="J34" s="429"/>
      <c r="K34" s="429"/>
      <c r="L34" s="464"/>
      <c r="M34" s="464"/>
      <c r="N34" s="900">
        <f t="shared" si="5"/>
        <v>0</v>
      </c>
      <c r="O34" s="901">
        <f t="shared" si="8"/>
        <v>0</v>
      </c>
      <c r="P34" s="460"/>
      <c r="Q34" s="438">
        <f>IFERROR(LOOKUP(1,0/((成型機資料庫!$F$374:$F$385=J34)*(成型機資料庫!$G$374:$G$385=K34)),成型機資料庫!$K$374:$K$385),0)</f>
        <v>0</v>
      </c>
      <c r="R34" s="899">
        <f t="shared" si="2"/>
        <v>0</v>
      </c>
      <c r="S34" s="898">
        <f t="shared" si="3"/>
        <v>0</v>
      </c>
      <c r="T34" s="923">
        <f>IFERROR(LOOKUP(1,0/((成型機資料庫!$F$374:$F$385=J34)*(成型機資料庫!$G$374:$G$385=K34)),成型機資料庫!$I$374:$I$385),0)</f>
        <v>0</v>
      </c>
      <c r="U34" s="944">
        <f>IFERROR(LOOKUP(1,0/((成型機資料庫!$F$374:$F$385=J34)*(成型機資料庫!$G$374:$G$385=K34)),成型機資料庫!$J$374:$J$385),0)</f>
        <v>0</v>
      </c>
      <c r="V34" s="900">
        <f>IFERROR(LOOKUP(1,0/((成型機資料庫!$F$374:$F$385=J34)*(成型機資料庫!$G$374:$G$385=K34)),成型機資料庫!$L$374:$L$385),0)</f>
        <v>0</v>
      </c>
      <c r="W34" s="898">
        <f t="shared" si="4"/>
        <v>0</v>
      </c>
      <c r="X34" s="923">
        <f t="shared" si="6"/>
        <v>0</v>
      </c>
      <c r="Y34" s="898">
        <f t="shared" si="7"/>
        <v>0</v>
      </c>
      <c r="Z34" s="923"/>
      <c r="AA34" s="478">
        <f t="shared" si="0"/>
        <v>0</v>
      </c>
      <c r="AB34" s="438"/>
      <c r="AC34" s="482"/>
      <c r="AD34" s="438"/>
      <c r="AE34" s="464"/>
      <c r="AF34" s="438"/>
    </row>
    <row r="35" spans="1:56" s="433" customFormat="1" ht="15.75">
      <c r="A35" s="434">
        <v>113</v>
      </c>
      <c r="B35" s="434"/>
      <c r="C35" s="434">
        <v>27</v>
      </c>
      <c r="D35" s="581"/>
      <c r="E35" s="889" t="s">
        <v>0</v>
      </c>
      <c r="F35" s="435" t="s">
        <v>42</v>
      </c>
      <c r="G35" s="926"/>
      <c r="H35" s="464"/>
      <c r="I35" s="429"/>
      <c r="J35" s="429"/>
      <c r="K35" s="429"/>
      <c r="L35" s="464"/>
      <c r="M35" s="464"/>
      <c r="N35" s="900">
        <f t="shared" si="5"/>
        <v>0</v>
      </c>
      <c r="O35" s="901">
        <f t="shared" si="8"/>
        <v>0</v>
      </c>
      <c r="P35" s="460"/>
      <c r="Q35" s="438">
        <f>IFERROR(LOOKUP(1,0/((成型機資料庫!$F$374:$F$385=J35)*(成型機資料庫!$G$374:$G$385=K35)),成型機資料庫!$K$374:$K$385),0)</f>
        <v>0</v>
      </c>
      <c r="R35" s="899">
        <f t="shared" si="2"/>
        <v>0</v>
      </c>
      <c r="S35" s="898">
        <f t="shared" si="3"/>
        <v>0</v>
      </c>
      <c r="T35" s="923">
        <f>IFERROR(LOOKUP(1,0/((成型機資料庫!$F$374:$F$385=J35)*(成型機資料庫!$G$374:$G$385=K35)),成型機資料庫!$I$374:$I$385),0)</f>
        <v>0</v>
      </c>
      <c r="U35" s="944">
        <f>IFERROR(LOOKUP(1,0/((成型機資料庫!$F$374:$F$385=J35)*(成型機資料庫!$G$374:$G$385=K35)),成型機資料庫!$J$374:$J$385),0)</f>
        <v>0</v>
      </c>
      <c r="V35" s="900">
        <f>IFERROR(LOOKUP(1,0/((成型機資料庫!$F$374:$F$385=J35)*(成型機資料庫!$G$374:$G$385=K35)),成型機資料庫!$L$374:$L$385),0)</f>
        <v>0</v>
      </c>
      <c r="W35" s="898">
        <f t="shared" si="4"/>
        <v>0</v>
      </c>
      <c r="X35" s="923">
        <f t="shared" si="6"/>
        <v>0</v>
      </c>
      <c r="Y35" s="898">
        <f t="shared" si="7"/>
        <v>0</v>
      </c>
      <c r="Z35" s="923"/>
      <c r="AA35" s="478">
        <f t="shared" si="0"/>
        <v>0</v>
      </c>
      <c r="AB35" s="438"/>
      <c r="AC35" s="482"/>
      <c r="AD35" s="464"/>
      <c r="AE35" s="438"/>
      <c r="AF35" s="438"/>
    </row>
    <row r="36" spans="1:56" s="433" customFormat="1" ht="15.75">
      <c r="A36" s="434">
        <v>113</v>
      </c>
      <c r="B36" s="581"/>
      <c r="C36" s="581">
        <v>28</v>
      </c>
      <c r="D36" s="581"/>
      <c r="E36" s="889" t="s">
        <v>0</v>
      </c>
      <c r="F36" s="435" t="s">
        <v>42</v>
      </c>
      <c r="G36" s="926"/>
      <c r="H36" s="464"/>
      <c r="I36" s="429"/>
      <c r="J36" s="429"/>
      <c r="K36" s="429"/>
      <c r="L36" s="464"/>
      <c r="M36" s="464"/>
      <c r="N36" s="900">
        <f t="shared" si="5"/>
        <v>0</v>
      </c>
      <c r="O36" s="901">
        <f t="shared" si="8"/>
        <v>0</v>
      </c>
      <c r="P36" s="460"/>
      <c r="Q36" s="438">
        <f>IFERROR(LOOKUP(1,0/((成型機資料庫!$F$374:$F$385=J36)*(成型機資料庫!$G$374:$G$385=K36)),成型機資料庫!$K$374:$K$385),0)</f>
        <v>0</v>
      </c>
      <c r="R36" s="899">
        <f>M36*Q36*P36/1000</f>
        <v>0</v>
      </c>
      <c r="S36" s="898">
        <f t="shared" si="3"/>
        <v>0</v>
      </c>
      <c r="T36" s="923">
        <f>IFERROR(LOOKUP(1,0/((成型機資料庫!$F$374:$F$385=J36)*(成型機資料庫!$G$374:$G$385=K36)),成型機資料庫!$I$374:$I$385),0)</f>
        <v>0</v>
      </c>
      <c r="U36" s="944">
        <f>IFERROR(LOOKUP(1,0/((成型機資料庫!$F$374:$F$385=J36)*(成型機資料庫!$G$374:$G$385=K36)),成型機資料庫!$J$374:$J$385),0)</f>
        <v>0</v>
      </c>
      <c r="V36" s="900">
        <f>IFERROR(LOOKUP(1,0/((成型機資料庫!$F$374:$F$385=J36)*(成型機資料庫!$G$374:$G$385=K36)),成型機資料庫!$L$374:$L$385),0)</f>
        <v>0</v>
      </c>
      <c r="W36" s="898">
        <f t="shared" si="4"/>
        <v>0</v>
      </c>
      <c r="X36" s="923">
        <f t="shared" si="6"/>
        <v>0</v>
      </c>
      <c r="Y36" s="898">
        <f t="shared" si="7"/>
        <v>0</v>
      </c>
      <c r="Z36" s="923"/>
      <c r="AA36" s="478">
        <f>AB36+AC36/60</f>
        <v>0</v>
      </c>
      <c r="AB36" s="438"/>
      <c r="AC36" s="482"/>
      <c r="AD36" s="464"/>
      <c r="AE36" s="438"/>
      <c r="AF36" s="438"/>
    </row>
    <row r="37" spans="1:56" s="433" customFormat="1" ht="15.75">
      <c r="A37" s="434">
        <v>113</v>
      </c>
      <c r="B37" s="581"/>
      <c r="C37" s="581">
        <v>29</v>
      </c>
      <c r="D37" s="581"/>
      <c r="E37" s="889" t="s">
        <v>0</v>
      </c>
      <c r="F37" s="435" t="s">
        <v>42</v>
      </c>
      <c r="G37" s="926"/>
      <c r="H37" s="464"/>
      <c r="I37" s="429"/>
      <c r="J37" s="429"/>
      <c r="K37" s="429"/>
      <c r="L37" s="464"/>
      <c r="M37" s="464"/>
      <c r="N37" s="900">
        <f t="shared" si="5"/>
        <v>0</v>
      </c>
      <c r="O37" s="901">
        <f t="shared" si="8"/>
        <v>0</v>
      </c>
      <c r="P37" s="460"/>
      <c r="Q37" s="438">
        <f>IFERROR(LOOKUP(1,0/((成型機資料庫!$F$374:$F$385=J37)*(成型機資料庫!$G$374:$G$385=K37)),成型機資料庫!$K$374:$K$385),0)</f>
        <v>0</v>
      </c>
      <c r="R37" s="899">
        <f>M37*Q37*P37/1000</f>
        <v>0</v>
      </c>
      <c r="S37" s="898">
        <f t="shared" si="3"/>
        <v>0</v>
      </c>
      <c r="T37" s="923">
        <f>IFERROR(LOOKUP(1,0/((成型機資料庫!$F$374:$F$385=J37)*(成型機資料庫!$G$374:$G$385=K37)),成型機資料庫!$I$374:$I$385),0)</f>
        <v>0</v>
      </c>
      <c r="U37" s="944">
        <f>IFERROR(LOOKUP(1,0/((成型機資料庫!$F$374:$F$385=J37)*(成型機資料庫!$G$374:$G$385=K37)),成型機資料庫!$J$374:$J$385),0)</f>
        <v>0</v>
      </c>
      <c r="V37" s="900">
        <f>IFERROR(LOOKUP(1,0/((成型機資料庫!$F$374:$F$385=J37)*(成型機資料庫!$G$374:$G$385=K37)),成型機資料庫!$L$374:$L$385),0)</f>
        <v>0</v>
      </c>
      <c r="W37" s="898">
        <f t="shared" si="4"/>
        <v>0</v>
      </c>
      <c r="X37" s="923">
        <f t="shared" si="6"/>
        <v>0</v>
      </c>
      <c r="Y37" s="898">
        <f t="shared" si="7"/>
        <v>0</v>
      </c>
      <c r="Z37" s="923"/>
      <c r="AA37" s="478">
        <f>AB37+AC37/60</f>
        <v>0</v>
      </c>
      <c r="AB37" s="438"/>
      <c r="AC37" s="482"/>
      <c r="AD37" s="464"/>
      <c r="AE37" s="464"/>
      <c r="AF37" s="438"/>
    </row>
    <row r="38" spans="1:56" s="433" customFormat="1" ht="15.75">
      <c r="A38" s="434">
        <v>113</v>
      </c>
      <c r="B38" s="581"/>
      <c r="C38" s="581">
        <v>30</v>
      </c>
      <c r="D38" s="581"/>
      <c r="E38" s="889" t="s">
        <v>0</v>
      </c>
      <c r="F38" s="435" t="s">
        <v>42</v>
      </c>
      <c r="G38" s="926"/>
      <c r="H38" s="464"/>
      <c r="I38" s="429"/>
      <c r="J38" s="429"/>
      <c r="K38" s="429"/>
      <c r="L38" s="464"/>
      <c r="M38" s="464"/>
      <c r="N38" s="900">
        <f t="shared" si="5"/>
        <v>0</v>
      </c>
      <c r="O38" s="901">
        <f t="shared" si="8"/>
        <v>0</v>
      </c>
      <c r="P38" s="460"/>
      <c r="Q38" s="438">
        <f>IFERROR(LOOKUP(1,0/((成型機資料庫!$F$374:$F$385=J38)*(成型機資料庫!$G$374:$G$385=K38)),成型機資料庫!$K$374:$K$385),0)</f>
        <v>0</v>
      </c>
      <c r="R38" s="899">
        <f>M38*Q38*P38/1000</f>
        <v>0</v>
      </c>
      <c r="S38" s="898">
        <f t="shared" si="3"/>
        <v>0</v>
      </c>
      <c r="T38" s="923">
        <f>IFERROR(LOOKUP(1,0/((成型機資料庫!$F$374:$F$385=J38)*(成型機資料庫!$G$374:$G$385=K38)),成型機資料庫!$I$374:$I$385),0)</f>
        <v>0</v>
      </c>
      <c r="U38" s="944">
        <f>IFERROR(LOOKUP(1,0/((成型機資料庫!$F$374:$F$385=J38)*(成型機資料庫!$G$374:$G$385=K38)),成型機資料庫!$J$374:$J$385),0)</f>
        <v>0</v>
      </c>
      <c r="V38" s="900">
        <f>IFERROR(LOOKUP(1,0/((成型機資料庫!$F$374:$F$385=J38)*(成型機資料庫!$G$374:$G$385=K38)),成型機資料庫!$L$374:$L$385),0)</f>
        <v>0</v>
      </c>
      <c r="W38" s="898">
        <f t="shared" si="4"/>
        <v>0</v>
      </c>
      <c r="X38" s="923">
        <f t="shared" si="6"/>
        <v>0</v>
      </c>
      <c r="Y38" s="898">
        <f t="shared" si="7"/>
        <v>0</v>
      </c>
      <c r="Z38" s="923"/>
      <c r="AA38" s="478">
        <f>AB38+AC38/60</f>
        <v>0</v>
      </c>
      <c r="AB38" s="438"/>
      <c r="AC38" s="482"/>
      <c r="AD38" s="464"/>
      <c r="AE38" s="438"/>
      <c r="AF38" s="438"/>
    </row>
    <row r="39" spans="1:56" s="433" customFormat="1" ht="15.75">
      <c r="A39" s="446"/>
      <c r="B39" s="456"/>
      <c r="C39" s="456"/>
      <c r="D39" s="456"/>
      <c r="E39" s="456"/>
      <c r="F39" s="448"/>
      <c r="G39" s="951"/>
      <c r="H39" s="452"/>
      <c r="I39" s="430"/>
      <c r="J39" s="430"/>
      <c r="K39" s="430"/>
      <c r="L39" s="452"/>
      <c r="M39" s="452"/>
      <c r="N39" s="945"/>
      <c r="O39" s="946"/>
      <c r="P39" s="868"/>
      <c r="Q39" s="467"/>
      <c r="R39" s="948"/>
      <c r="S39" s="936"/>
      <c r="T39" s="936"/>
      <c r="U39" s="936"/>
      <c r="V39" s="945"/>
      <c r="W39" s="936"/>
      <c r="X39" s="947"/>
      <c r="Y39" s="936"/>
      <c r="Z39" s="947"/>
      <c r="AA39" s="488"/>
      <c r="AB39" s="439"/>
      <c r="AC39" s="471"/>
      <c r="AD39" s="452"/>
      <c r="AE39" s="439"/>
      <c r="AF39" s="439"/>
    </row>
    <row r="40" spans="1:56" s="433" customFormat="1" ht="15.75">
      <c r="A40" s="446"/>
      <c r="B40" s="456"/>
      <c r="C40" s="456"/>
      <c r="D40" s="456"/>
      <c r="E40" s="456"/>
      <c r="F40" s="448"/>
      <c r="G40" s="951"/>
      <c r="H40" s="452"/>
      <c r="I40" s="430"/>
      <c r="J40" s="430"/>
      <c r="K40" s="430"/>
      <c r="L40" s="452"/>
      <c r="M40" s="452"/>
      <c r="N40" s="945"/>
      <c r="O40" s="946"/>
      <c r="P40" s="868"/>
      <c r="Q40" s="467"/>
      <c r="R40" s="948"/>
      <c r="S40" s="936"/>
      <c r="T40" s="936"/>
      <c r="U40" s="936"/>
      <c r="V40" s="945"/>
      <c r="W40" s="936"/>
      <c r="X40" s="947"/>
      <c r="Y40" s="936"/>
      <c r="Z40" s="947"/>
      <c r="AA40" s="488"/>
      <c r="AB40" s="439"/>
      <c r="AC40" s="471"/>
      <c r="AD40" s="452"/>
      <c r="AE40" s="439"/>
      <c r="AF40" s="439"/>
    </row>
    <row r="41" spans="1:56" s="433" customFormat="1" thickBot="1">
      <c r="A41" s="446"/>
      <c r="B41" s="446"/>
      <c r="C41" s="446"/>
      <c r="D41" s="446"/>
      <c r="E41" s="446"/>
      <c r="F41" s="448"/>
      <c r="G41" s="448"/>
      <c r="H41" s="430"/>
      <c r="I41" s="430"/>
      <c r="J41" s="430"/>
      <c r="K41" s="430"/>
      <c r="L41" s="439"/>
      <c r="M41" s="452"/>
      <c r="N41" s="452"/>
      <c r="O41" s="457"/>
      <c r="P41" s="466"/>
      <c r="Q41" s="467"/>
      <c r="R41" s="486"/>
      <c r="S41" s="457"/>
      <c r="T41" s="457"/>
      <c r="U41" s="457"/>
      <c r="V41" s="458"/>
      <c r="W41" s="487">
        <f>SUM(W9:W38)</f>
        <v>0</v>
      </c>
      <c r="X41" s="487"/>
      <c r="Y41" s="487"/>
      <c r="Z41" s="487"/>
      <c r="AA41" s="488"/>
      <c r="AB41" s="489"/>
      <c r="AC41" s="489"/>
      <c r="AD41" s="469" t="s">
        <v>46</v>
      </c>
      <c r="AE41" s="439"/>
      <c r="AF41" s="439"/>
    </row>
    <row r="42" spans="1:56" s="469" customFormat="1" ht="31.5">
      <c r="A42" s="479"/>
      <c r="B42" s="479"/>
      <c r="C42" s="479"/>
      <c r="D42" s="479"/>
      <c r="E42" s="479"/>
      <c r="F42" s="452"/>
      <c r="G42" s="524" t="s">
        <v>503</v>
      </c>
      <c r="H42" s="517"/>
      <c r="I42" s="518"/>
      <c r="L42" s="1842" t="s">
        <v>1348</v>
      </c>
      <c r="M42" s="525" t="s">
        <v>1294</v>
      </c>
      <c r="N42" s="525" t="s">
        <v>1295</v>
      </c>
      <c r="O42" s="526" t="s">
        <v>458</v>
      </c>
      <c r="P42" s="520"/>
      <c r="Q42" s="521"/>
      <c r="R42" s="524" t="s">
        <v>504</v>
      </c>
      <c r="S42" s="524" t="s">
        <v>455</v>
      </c>
      <c r="T42" s="521"/>
      <c r="U42" s="521"/>
      <c r="V42" s="524" t="s">
        <v>1293</v>
      </c>
      <c r="W42" s="524" t="s">
        <v>459</v>
      </c>
      <c r="X42" s="521"/>
      <c r="Y42" s="524" t="s">
        <v>1345</v>
      </c>
      <c r="Z42" s="524" t="s">
        <v>1350</v>
      </c>
      <c r="AA42" s="524" t="s">
        <v>1351</v>
      </c>
      <c r="AB42" s="524" t="s">
        <v>1353</v>
      </c>
      <c r="AC42" s="524" t="s">
        <v>1352</v>
      </c>
      <c r="AD42" s="469" t="s">
        <v>253</v>
      </c>
      <c r="AE42" s="452"/>
      <c r="AF42" s="452"/>
    </row>
    <row r="43" spans="1:56" thickBot="1">
      <c r="G43" s="522">
        <f>SUM(G9:G38)</f>
        <v>0</v>
      </c>
      <c r="I43" s="431"/>
      <c r="J43" s="518"/>
      <c r="K43" s="518"/>
      <c r="L43" s="1843"/>
      <c r="M43" s="522">
        <f>SUM(M9:M38)</f>
        <v>0</v>
      </c>
      <c r="N43" s="522">
        <f>SUM(N9:N38)</f>
        <v>0</v>
      </c>
      <c r="O43" s="902">
        <f>SUM(O9:O38)</f>
        <v>0</v>
      </c>
      <c r="P43" s="470"/>
      <c r="R43" s="924">
        <f>SUM(R9:R38)</f>
        <v>0</v>
      </c>
      <c r="S43" s="897" t="e">
        <f>(G43-R43)/G43</f>
        <v>#DIV/0!</v>
      </c>
      <c r="T43" s="446"/>
      <c r="U43" s="446"/>
      <c r="V43" s="516">
        <f>SUM(V9:V38)</f>
        <v>0</v>
      </c>
      <c r="W43" s="516" t="e">
        <f>W41/Z43</f>
        <v>#DIV/0!</v>
      </c>
      <c r="X43" s="446"/>
      <c r="Y43" s="516"/>
      <c r="Z43" s="958">
        <f>SUM(Z9:Z38)</f>
        <v>0</v>
      </c>
      <c r="AA43" s="516">
        <f>SUM(AA9:AA38)</f>
        <v>0</v>
      </c>
      <c r="AB43" s="516">
        <f>Z43-AA43</f>
        <v>0</v>
      </c>
      <c r="AC43" s="896" t="e">
        <f>AA43/Z43</f>
        <v>#DIV/0!</v>
      </c>
    </row>
    <row r="44" spans="1:56">
      <c r="G44" s="453"/>
      <c r="M44" s="453"/>
      <c r="N44" s="453"/>
      <c r="O44"/>
      <c r="P44" s="470"/>
      <c r="R44"/>
      <c r="S44"/>
      <c r="T44"/>
      <c r="U44"/>
    </row>
    <row r="45" spans="1:56" ht="17.25" thickBot="1"/>
    <row r="46" spans="1:56" ht="15.75">
      <c r="A46" s="1824" t="s">
        <v>668</v>
      </c>
      <c r="B46" s="1824" t="s">
        <v>330</v>
      </c>
      <c r="C46" s="1826" t="s">
        <v>311</v>
      </c>
      <c r="D46" s="1828" t="s">
        <v>331</v>
      </c>
      <c r="E46" s="1828" t="s">
        <v>332</v>
      </c>
      <c r="F46" s="1830" t="s">
        <v>194</v>
      </c>
      <c r="G46" s="1830" t="s">
        <v>386</v>
      </c>
      <c r="H46" s="1832" t="s">
        <v>360</v>
      </c>
      <c r="I46" s="1832" t="s">
        <v>361</v>
      </c>
      <c r="J46" s="1832" t="s">
        <v>510</v>
      </c>
      <c r="K46" s="1832" t="s">
        <v>1320</v>
      </c>
      <c r="L46" s="1828" t="s">
        <v>362</v>
      </c>
      <c r="M46" s="1828" t="s">
        <v>514</v>
      </c>
      <c r="N46" s="1856" t="s">
        <v>511</v>
      </c>
      <c r="O46" s="1858" t="s">
        <v>457</v>
      </c>
      <c r="P46" s="1836" t="s">
        <v>379</v>
      </c>
      <c r="Q46" s="1828" t="s">
        <v>627</v>
      </c>
      <c r="R46" s="1852" t="s">
        <v>381</v>
      </c>
      <c r="S46" s="1854" t="s">
        <v>435</v>
      </c>
      <c r="T46" s="1834" t="s">
        <v>365</v>
      </c>
      <c r="U46" s="1836" t="s">
        <v>366</v>
      </c>
      <c r="V46" s="1844" t="s">
        <v>1286</v>
      </c>
      <c r="W46" s="1846" t="s">
        <v>201</v>
      </c>
      <c r="X46" s="1846" t="s">
        <v>1318</v>
      </c>
      <c r="Y46" s="1846" t="s">
        <v>1319</v>
      </c>
      <c r="Z46" s="1849" t="s">
        <v>1285</v>
      </c>
      <c r="AA46" s="1849" t="s">
        <v>339</v>
      </c>
      <c r="AB46" s="1860" t="s">
        <v>340</v>
      </c>
      <c r="AC46" s="1861"/>
      <c r="AD46" s="1862" t="s">
        <v>371</v>
      </c>
      <c r="AE46" s="1862" t="s">
        <v>383</v>
      </c>
      <c r="AF46" s="1840" t="s">
        <v>29</v>
      </c>
    </row>
    <row r="47" spans="1:56" s="447" customFormat="1" thickBot="1">
      <c r="A47" s="1825"/>
      <c r="B47" s="1825"/>
      <c r="C47" s="1827"/>
      <c r="D47" s="1829"/>
      <c r="E47" s="1829"/>
      <c r="F47" s="1831"/>
      <c r="G47" s="1831"/>
      <c r="H47" s="1833"/>
      <c r="I47" s="1833"/>
      <c r="J47" s="1833"/>
      <c r="K47" s="1838"/>
      <c r="L47" s="1829"/>
      <c r="M47" s="1839"/>
      <c r="N47" s="1857"/>
      <c r="O47" s="1859"/>
      <c r="P47" s="1837"/>
      <c r="Q47" s="1829"/>
      <c r="R47" s="1853"/>
      <c r="S47" s="1855"/>
      <c r="T47" s="1835"/>
      <c r="U47" s="1837"/>
      <c r="V47" s="1845"/>
      <c r="W47" s="1847"/>
      <c r="X47" s="1848"/>
      <c r="Y47" s="1848"/>
      <c r="Z47" s="1850"/>
      <c r="AA47" s="1851"/>
      <c r="AB47" s="491" t="s">
        <v>350</v>
      </c>
      <c r="AC47" s="491" t="s">
        <v>351</v>
      </c>
      <c r="AD47" s="1863"/>
      <c r="AE47" s="1863"/>
      <c r="AF47" s="1841"/>
      <c r="AG47" s="446"/>
      <c r="AH47" s="446"/>
      <c r="AU47" s="446"/>
      <c r="AV47" s="446"/>
      <c r="AW47" s="446"/>
      <c r="AX47" s="446"/>
      <c r="AY47" s="446"/>
      <c r="AZ47" s="446"/>
      <c r="BA47" s="446"/>
      <c r="BB47" s="446"/>
      <c r="BC47" s="446"/>
      <c r="BD47" s="446"/>
    </row>
    <row r="48" spans="1:56" s="433" customFormat="1" ht="15.75">
      <c r="A48" s="434">
        <v>113</v>
      </c>
      <c r="B48" s="434"/>
      <c r="C48" s="434">
        <v>1</v>
      </c>
      <c r="D48" s="581"/>
      <c r="E48" s="581" t="s">
        <v>43</v>
      </c>
      <c r="F48" s="435" t="s">
        <v>42</v>
      </c>
      <c r="G48" s="926"/>
      <c r="H48" s="464"/>
      <c r="I48" s="429"/>
      <c r="J48" s="429"/>
      <c r="K48" s="429"/>
      <c r="L48" s="464"/>
      <c r="M48" s="464"/>
      <c r="N48" s="900">
        <f>M48*Q48</f>
        <v>0</v>
      </c>
      <c r="O48" s="901">
        <f t="shared" ref="O48:O77" si="9">L48*M48</f>
        <v>0</v>
      </c>
      <c r="P48" s="460"/>
      <c r="Q48" s="438">
        <f>IFERROR(LOOKUP(1,0/((成型機資料庫!$F$374:$F$385=J48)*(成型機資料庫!$G$374:$G$385=K48)),成型機資料庫!$K$374:$K$385),0)</f>
        <v>0</v>
      </c>
      <c r="R48" s="899">
        <f t="shared" ref="R48:R77" si="10">M48*Q48*P48/1000</f>
        <v>0</v>
      </c>
      <c r="S48" s="898">
        <f t="shared" ref="S48:S77" si="11">IFERROR((G48-R48)/G48,0)</f>
        <v>0</v>
      </c>
      <c r="T48" s="923">
        <f>IFERROR(LOOKUP(1,0/((成型機資料庫!$F$374:$F$385=J48)*(成型機資料庫!$G$374:$G$385=K48)),成型機資料庫!$I$374:$I$385),0)</f>
        <v>0</v>
      </c>
      <c r="U48" s="944">
        <f>IFERROR(LOOKUP(1,0/((成型機資料庫!$F$374:$F$385=J48)*(成型機資料庫!$G$374:$G$385=K48)),成型機資料庫!$J$374:$J$385),0)</f>
        <v>0</v>
      </c>
      <c r="V48" s="900">
        <f>IFERROR(LOOKUP(1,0/((成型機資料庫!$F$374:$F$385=J48)*(成型機資料庫!$G$374:$G$385=K48)),成型機資料庫!$L$374:$L$385),0)</f>
        <v>0</v>
      </c>
      <c r="W48" s="898">
        <f>IFERROR(M48/V48,0)</f>
        <v>0</v>
      </c>
      <c r="X48" s="923">
        <f>IFERROR(T48*U48*60*AA48/Q48,0)</f>
        <v>0</v>
      </c>
      <c r="Y48" s="898">
        <f>IFERROR(M48/X48,0)</f>
        <v>0</v>
      </c>
      <c r="Z48" s="923"/>
      <c r="AA48" s="478">
        <f t="shared" ref="AA48:AA77" si="12">AB48+AC48/60</f>
        <v>0</v>
      </c>
      <c r="AB48" s="438"/>
      <c r="AC48" s="482"/>
      <c r="AD48" s="464"/>
      <c r="AE48" s="438"/>
      <c r="AF48" s="438"/>
    </row>
    <row r="49" spans="1:32" s="433" customFormat="1" ht="15.75">
      <c r="A49" s="434">
        <v>113</v>
      </c>
      <c r="B49" s="581"/>
      <c r="C49" s="581">
        <v>2</v>
      </c>
      <c r="D49" s="581"/>
      <c r="E49" s="581" t="s">
        <v>43</v>
      </c>
      <c r="F49" s="435" t="s">
        <v>42</v>
      </c>
      <c r="G49" s="926"/>
      <c r="H49" s="464"/>
      <c r="I49" s="429"/>
      <c r="J49" s="429"/>
      <c r="K49" s="429"/>
      <c r="L49" s="464"/>
      <c r="M49" s="464"/>
      <c r="N49" s="900">
        <f t="shared" ref="N49:N77" si="13">M49*Q49</f>
        <v>0</v>
      </c>
      <c r="O49" s="901">
        <f t="shared" si="9"/>
        <v>0</v>
      </c>
      <c r="P49" s="460"/>
      <c r="Q49" s="438">
        <f>IFERROR(LOOKUP(1,0/((成型機資料庫!$F$374:$F$385=J49)*(成型機資料庫!$G$374:$G$385=K49)),成型機資料庫!$K$374:$K$385),0)</f>
        <v>0</v>
      </c>
      <c r="R49" s="899">
        <f t="shared" si="10"/>
        <v>0</v>
      </c>
      <c r="S49" s="898">
        <f t="shared" si="11"/>
        <v>0</v>
      </c>
      <c r="T49" s="923">
        <f>IFERROR(LOOKUP(1,0/((成型機資料庫!$F$374:$F$385=J49)*(成型機資料庫!$G$374:$G$385=K49)),成型機資料庫!$I$374:$I$385),0)</f>
        <v>0</v>
      </c>
      <c r="U49" s="944">
        <f>IFERROR(LOOKUP(1,0/((成型機資料庫!$F$374:$F$385=J49)*(成型機資料庫!$G$374:$G$385=K49)),成型機資料庫!$J$374:$J$385),0)</f>
        <v>0</v>
      </c>
      <c r="V49" s="900">
        <f>IFERROR(LOOKUP(1,0/((成型機資料庫!$F$374:$F$385=J49)*(成型機資料庫!$G$374:$G$385=K49)),成型機資料庫!$L$374:$L$385),0)</f>
        <v>0</v>
      </c>
      <c r="W49" s="898">
        <f t="shared" ref="W49:W77" si="14">IFERROR(M49/V49,0)</f>
        <v>0</v>
      </c>
      <c r="X49" s="923">
        <f t="shared" ref="X49:X77" si="15">IFERROR(T49*U49*60*AA49/Q49,0)</f>
        <v>0</v>
      </c>
      <c r="Y49" s="898">
        <f t="shared" ref="Y49:Y77" si="16">IFERROR(M49/X49,0)</f>
        <v>0</v>
      </c>
      <c r="Z49" s="923"/>
      <c r="AA49" s="478">
        <f t="shared" si="12"/>
        <v>0</v>
      </c>
      <c r="AB49" s="438"/>
      <c r="AC49" s="482"/>
      <c r="AD49" s="464"/>
      <c r="AE49" s="438"/>
      <c r="AF49" s="438"/>
    </row>
    <row r="50" spans="1:32" s="433" customFormat="1" ht="15.75">
      <c r="A50" s="434">
        <v>113</v>
      </c>
      <c r="B50" s="581"/>
      <c r="C50" s="581">
        <v>3</v>
      </c>
      <c r="D50" s="581"/>
      <c r="E50" s="581" t="s">
        <v>43</v>
      </c>
      <c r="F50" s="435" t="s">
        <v>42</v>
      </c>
      <c r="G50" s="926"/>
      <c r="H50" s="464"/>
      <c r="I50" s="429"/>
      <c r="J50" s="429"/>
      <c r="K50" s="429"/>
      <c r="L50" s="464"/>
      <c r="M50" s="464"/>
      <c r="N50" s="900">
        <f t="shared" si="13"/>
        <v>0</v>
      </c>
      <c r="O50" s="901">
        <f t="shared" si="9"/>
        <v>0</v>
      </c>
      <c r="P50" s="460"/>
      <c r="Q50" s="438">
        <f>IFERROR(LOOKUP(1,0/((成型機資料庫!$F$374:$F$385=J50)*(成型機資料庫!$G$374:$G$385=K50)),成型機資料庫!$K$374:$K$385),0)</f>
        <v>0</v>
      </c>
      <c r="R50" s="899">
        <f t="shared" si="10"/>
        <v>0</v>
      </c>
      <c r="S50" s="898">
        <f t="shared" si="11"/>
        <v>0</v>
      </c>
      <c r="T50" s="923">
        <f>IFERROR(LOOKUP(1,0/((成型機資料庫!$F$374:$F$385=J50)*(成型機資料庫!$G$374:$G$385=K50)),成型機資料庫!$I$374:$I$385),0)</f>
        <v>0</v>
      </c>
      <c r="U50" s="944">
        <f>IFERROR(LOOKUP(1,0/((成型機資料庫!$F$374:$F$385=J50)*(成型機資料庫!$G$374:$G$385=K50)),成型機資料庫!$J$374:$J$385),0)</f>
        <v>0</v>
      </c>
      <c r="V50" s="900">
        <f>IFERROR(LOOKUP(1,0/((成型機資料庫!$F$374:$F$385=J50)*(成型機資料庫!$G$374:$G$385=K50)),成型機資料庫!$L$374:$L$385),0)</f>
        <v>0</v>
      </c>
      <c r="W50" s="898">
        <f t="shared" si="14"/>
        <v>0</v>
      </c>
      <c r="X50" s="923">
        <f t="shared" si="15"/>
        <v>0</v>
      </c>
      <c r="Y50" s="898">
        <f t="shared" si="16"/>
        <v>0</v>
      </c>
      <c r="Z50" s="923"/>
      <c r="AA50" s="478">
        <f t="shared" si="12"/>
        <v>0</v>
      </c>
      <c r="AB50" s="438"/>
      <c r="AC50" s="482"/>
      <c r="AD50" s="438"/>
      <c r="AE50" s="438"/>
      <c r="AF50" s="438"/>
    </row>
    <row r="51" spans="1:32" s="433" customFormat="1" ht="15.75">
      <c r="A51" s="434">
        <v>113</v>
      </c>
      <c r="B51" s="581"/>
      <c r="C51" s="581">
        <v>4</v>
      </c>
      <c r="D51" s="581"/>
      <c r="E51" s="581" t="s">
        <v>43</v>
      </c>
      <c r="F51" s="435" t="s">
        <v>42</v>
      </c>
      <c r="G51" s="926"/>
      <c r="H51" s="464"/>
      <c r="I51" s="429"/>
      <c r="J51" s="429"/>
      <c r="K51" s="429"/>
      <c r="L51" s="464"/>
      <c r="M51" s="464"/>
      <c r="N51" s="900">
        <f t="shared" si="13"/>
        <v>0</v>
      </c>
      <c r="O51" s="901">
        <f t="shared" si="9"/>
        <v>0</v>
      </c>
      <c r="P51" s="460"/>
      <c r="Q51" s="438">
        <f>IFERROR(LOOKUP(1,0/((成型機資料庫!$F$374:$F$385=J51)*(成型機資料庫!$G$374:$G$385=K51)),成型機資料庫!$K$374:$K$385),0)</f>
        <v>0</v>
      </c>
      <c r="R51" s="899">
        <f t="shared" si="10"/>
        <v>0</v>
      </c>
      <c r="S51" s="898">
        <f t="shared" si="11"/>
        <v>0</v>
      </c>
      <c r="T51" s="923">
        <f>IFERROR(LOOKUP(1,0/((成型機資料庫!$F$374:$F$385=J51)*(成型機資料庫!$G$374:$G$385=K51)),成型機資料庫!$I$374:$I$385),0)</f>
        <v>0</v>
      </c>
      <c r="U51" s="944">
        <f>IFERROR(LOOKUP(1,0/((成型機資料庫!$F$374:$F$385=J51)*(成型機資料庫!$G$374:$G$385=K51)),成型機資料庫!$J$374:$J$385),0)</f>
        <v>0</v>
      </c>
      <c r="V51" s="900">
        <f>IFERROR(LOOKUP(1,0/((成型機資料庫!$F$374:$F$385=J51)*(成型機資料庫!$G$374:$G$385=K51)),成型機資料庫!$L$374:$L$385),0)</f>
        <v>0</v>
      </c>
      <c r="W51" s="898">
        <f t="shared" si="14"/>
        <v>0</v>
      </c>
      <c r="X51" s="923">
        <f t="shared" si="15"/>
        <v>0</v>
      </c>
      <c r="Y51" s="898">
        <f t="shared" si="16"/>
        <v>0</v>
      </c>
      <c r="Z51" s="923"/>
      <c r="AA51" s="478">
        <f t="shared" si="12"/>
        <v>0</v>
      </c>
      <c r="AB51" s="438"/>
      <c r="AC51" s="482"/>
      <c r="AD51" s="438"/>
      <c r="AE51" s="464"/>
      <c r="AF51" s="438"/>
    </row>
    <row r="52" spans="1:32" s="433" customFormat="1" ht="15.75">
      <c r="A52" s="434">
        <v>113</v>
      </c>
      <c r="B52" s="581"/>
      <c r="C52" s="581">
        <v>5</v>
      </c>
      <c r="D52" s="581"/>
      <c r="E52" s="581" t="s">
        <v>43</v>
      </c>
      <c r="F52" s="435" t="s">
        <v>42</v>
      </c>
      <c r="G52" s="926"/>
      <c r="H52" s="464"/>
      <c r="I52" s="429"/>
      <c r="J52" s="429"/>
      <c r="K52" s="429"/>
      <c r="L52" s="464"/>
      <c r="M52" s="464"/>
      <c r="N52" s="900">
        <f t="shared" si="13"/>
        <v>0</v>
      </c>
      <c r="O52" s="901">
        <f t="shared" si="9"/>
        <v>0</v>
      </c>
      <c r="P52" s="460"/>
      <c r="Q52" s="438">
        <f>IFERROR(LOOKUP(1,0/((成型機資料庫!$F$374:$F$385=J52)*(成型機資料庫!$G$374:$G$385=K52)),成型機資料庫!$K$374:$K$385),0)</f>
        <v>0</v>
      </c>
      <c r="R52" s="899">
        <f t="shared" si="10"/>
        <v>0</v>
      </c>
      <c r="S52" s="898">
        <f t="shared" si="11"/>
        <v>0</v>
      </c>
      <c r="T52" s="923">
        <f>IFERROR(LOOKUP(1,0/((成型機資料庫!$F$374:$F$385=J52)*(成型機資料庫!$G$374:$G$385=K52)),成型機資料庫!$I$374:$I$385),0)</f>
        <v>0</v>
      </c>
      <c r="U52" s="944">
        <f>IFERROR(LOOKUP(1,0/((成型機資料庫!$F$374:$F$385=J52)*(成型機資料庫!$G$374:$G$385=K52)),成型機資料庫!$J$374:$J$385),0)</f>
        <v>0</v>
      </c>
      <c r="V52" s="900">
        <f>IFERROR(LOOKUP(1,0/((成型機資料庫!$F$374:$F$385=J52)*(成型機資料庫!$G$374:$G$385=K52)),成型機資料庫!$L$374:$L$385),0)</f>
        <v>0</v>
      </c>
      <c r="W52" s="898">
        <f t="shared" si="14"/>
        <v>0</v>
      </c>
      <c r="X52" s="923">
        <f t="shared" si="15"/>
        <v>0</v>
      </c>
      <c r="Y52" s="898">
        <f t="shared" si="16"/>
        <v>0</v>
      </c>
      <c r="Z52" s="923"/>
      <c r="AA52" s="478">
        <f t="shared" si="12"/>
        <v>0</v>
      </c>
      <c r="AB52" s="438"/>
      <c r="AC52" s="482"/>
      <c r="AD52" s="438"/>
      <c r="AE52" s="438"/>
      <c r="AF52" s="438"/>
    </row>
    <row r="53" spans="1:32" s="433" customFormat="1" ht="15.75">
      <c r="A53" s="434">
        <v>113</v>
      </c>
      <c r="B53" s="581"/>
      <c r="C53" s="581">
        <v>6</v>
      </c>
      <c r="D53" s="581"/>
      <c r="E53" s="581" t="s">
        <v>43</v>
      </c>
      <c r="F53" s="435" t="s">
        <v>42</v>
      </c>
      <c r="G53" s="926"/>
      <c r="H53" s="464"/>
      <c r="I53" s="429"/>
      <c r="J53" s="429"/>
      <c r="K53" s="429"/>
      <c r="L53" s="464"/>
      <c r="M53" s="464"/>
      <c r="N53" s="900">
        <f t="shared" si="13"/>
        <v>0</v>
      </c>
      <c r="O53" s="901">
        <f t="shared" si="9"/>
        <v>0</v>
      </c>
      <c r="P53" s="460"/>
      <c r="Q53" s="438">
        <f>IFERROR(LOOKUP(1,0/((成型機資料庫!$F$374:$F$385=J53)*(成型機資料庫!$G$374:$G$385=K53)),成型機資料庫!$K$374:$K$385),0)</f>
        <v>0</v>
      </c>
      <c r="R53" s="899">
        <f t="shared" si="10"/>
        <v>0</v>
      </c>
      <c r="S53" s="898">
        <f t="shared" si="11"/>
        <v>0</v>
      </c>
      <c r="T53" s="923">
        <f>IFERROR(LOOKUP(1,0/((成型機資料庫!$F$374:$F$385=J53)*(成型機資料庫!$G$374:$G$385=K53)),成型機資料庫!$I$374:$I$385),0)</f>
        <v>0</v>
      </c>
      <c r="U53" s="944">
        <f>IFERROR(LOOKUP(1,0/((成型機資料庫!$F$374:$F$385=J53)*(成型機資料庫!$G$374:$G$385=K53)),成型機資料庫!$J$374:$J$385),0)</f>
        <v>0</v>
      </c>
      <c r="V53" s="900">
        <f>IFERROR(LOOKUP(1,0/((成型機資料庫!$F$374:$F$385=J53)*(成型機資料庫!$G$374:$G$385=K53)),成型機資料庫!$L$374:$L$385),0)</f>
        <v>0</v>
      </c>
      <c r="W53" s="898">
        <f t="shared" si="14"/>
        <v>0</v>
      </c>
      <c r="X53" s="923">
        <f t="shared" si="15"/>
        <v>0</v>
      </c>
      <c r="Y53" s="898">
        <f t="shared" si="16"/>
        <v>0</v>
      </c>
      <c r="Z53" s="923"/>
      <c r="AA53" s="478">
        <f t="shared" si="12"/>
        <v>0</v>
      </c>
      <c r="AB53" s="438"/>
      <c r="AC53" s="482"/>
      <c r="AD53" s="879"/>
      <c r="AE53" s="438"/>
      <c r="AF53" s="438"/>
    </row>
    <row r="54" spans="1:32" s="433" customFormat="1" ht="15.75">
      <c r="A54" s="434">
        <v>113</v>
      </c>
      <c r="B54" s="581"/>
      <c r="C54" s="581">
        <v>7</v>
      </c>
      <c r="D54" s="581"/>
      <c r="E54" s="581" t="s">
        <v>43</v>
      </c>
      <c r="F54" s="435" t="s">
        <v>42</v>
      </c>
      <c r="G54" s="927"/>
      <c r="H54" s="464"/>
      <c r="I54" s="429"/>
      <c r="J54" s="429"/>
      <c r="K54" s="429"/>
      <c r="L54" s="464"/>
      <c r="M54" s="464"/>
      <c r="N54" s="900">
        <f t="shared" si="13"/>
        <v>0</v>
      </c>
      <c r="O54" s="901">
        <f t="shared" si="9"/>
        <v>0</v>
      </c>
      <c r="P54" s="460"/>
      <c r="Q54" s="438">
        <f>IFERROR(LOOKUP(1,0/((成型機資料庫!$F$374:$F$385=J54)*(成型機資料庫!$G$374:$G$385=K54)),成型機資料庫!$K$374:$K$385),0)</f>
        <v>0</v>
      </c>
      <c r="R54" s="899">
        <f t="shared" si="10"/>
        <v>0</v>
      </c>
      <c r="S54" s="898">
        <f t="shared" si="11"/>
        <v>0</v>
      </c>
      <c r="T54" s="923">
        <f>IFERROR(LOOKUP(1,0/((成型機資料庫!$F$374:$F$385=J54)*(成型機資料庫!$G$374:$G$385=K54)),成型機資料庫!$I$374:$I$385),0)</f>
        <v>0</v>
      </c>
      <c r="U54" s="944">
        <f>IFERROR(LOOKUP(1,0/((成型機資料庫!$F$374:$F$385=J54)*(成型機資料庫!$G$374:$G$385=K54)),成型機資料庫!$J$374:$J$385),0)</f>
        <v>0</v>
      </c>
      <c r="V54" s="900">
        <f>IFERROR(LOOKUP(1,0/((成型機資料庫!$F$374:$F$385=J54)*(成型機資料庫!$G$374:$G$385=K54)),成型機資料庫!$L$374:$L$385),0)</f>
        <v>0</v>
      </c>
      <c r="W54" s="898">
        <f t="shared" si="14"/>
        <v>0</v>
      </c>
      <c r="X54" s="923">
        <f t="shared" si="15"/>
        <v>0</v>
      </c>
      <c r="Y54" s="898">
        <f t="shared" si="16"/>
        <v>0</v>
      </c>
      <c r="Z54" s="923"/>
      <c r="AA54" s="478">
        <f t="shared" si="12"/>
        <v>0</v>
      </c>
      <c r="AB54" s="438"/>
      <c r="AC54" s="482"/>
      <c r="AD54" s="464"/>
      <c r="AE54" s="438"/>
      <c r="AF54" s="438"/>
    </row>
    <row r="55" spans="1:32" s="433" customFormat="1" ht="15.75">
      <c r="A55" s="434">
        <v>113</v>
      </c>
      <c r="B55" s="581"/>
      <c r="C55" s="581">
        <v>8</v>
      </c>
      <c r="D55" s="581"/>
      <c r="E55" s="581" t="s">
        <v>43</v>
      </c>
      <c r="F55" s="435" t="s">
        <v>42</v>
      </c>
      <c r="G55" s="927"/>
      <c r="H55" s="464"/>
      <c r="I55" s="429"/>
      <c r="J55" s="429"/>
      <c r="K55" s="429"/>
      <c r="L55" s="464"/>
      <c r="M55" s="464"/>
      <c r="N55" s="900">
        <f t="shared" si="13"/>
        <v>0</v>
      </c>
      <c r="O55" s="901">
        <f t="shared" si="9"/>
        <v>0</v>
      </c>
      <c r="P55" s="460"/>
      <c r="Q55" s="438">
        <f>IFERROR(LOOKUP(1,0/((成型機資料庫!$F$374:$F$385=J55)*(成型機資料庫!$G$374:$G$385=K55)),成型機資料庫!$K$374:$K$385),0)</f>
        <v>0</v>
      </c>
      <c r="R55" s="899">
        <f t="shared" si="10"/>
        <v>0</v>
      </c>
      <c r="S55" s="898">
        <f t="shared" si="11"/>
        <v>0</v>
      </c>
      <c r="T55" s="923">
        <f>IFERROR(LOOKUP(1,0/((成型機資料庫!$F$374:$F$385=J55)*(成型機資料庫!$G$374:$G$385=K55)),成型機資料庫!$I$374:$I$385),0)</f>
        <v>0</v>
      </c>
      <c r="U55" s="944">
        <f>IFERROR(LOOKUP(1,0/((成型機資料庫!$F$374:$F$385=J55)*(成型機資料庫!$G$374:$G$385=K55)),成型機資料庫!$J$374:$J$385),0)</f>
        <v>0</v>
      </c>
      <c r="V55" s="900">
        <f>IFERROR(LOOKUP(1,0/((成型機資料庫!$F$374:$F$385=J55)*(成型機資料庫!$G$374:$G$385=K55)),成型機資料庫!$L$374:$L$385),0)</f>
        <v>0</v>
      </c>
      <c r="W55" s="898">
        <f t="shared" si="14"/>
        <v>0</v>
      </c>
      <c r="X55" s="923">
        <f t="shared" si="15"/>
        <v>0</v>
      </c>
      <c r="Y55" s="898">
        <f t="shared" si="16"/>
        <v>0</v>
      </c>
      <c r="Z55" s="923"/>
      <c r="AA55" s="478">
        <f t="shared" si="12"/>
        <v>0</v>
      </c>
      <c r="AB55" s="438"/>
      <c r="AC55" s="482"/>
      <c r="AD55" s="464"/>
      <c r="AE55" s="438"/>
      <c r="AF55" s="438"/>
    </row>
    <row r="56" spans="1:32" s="433" customFormat="1" ht="15.75">
      <c r="A56" s="434">
        <v>113</v>
      </c>
      <c r="B56" s="581"/>
      <c r="C56" s="581">
        <v>9</v>
      </c>
      <c r="D56" s="581"/>
      <c r="E56" s="581" t="s">
        <v>43</v>
      </c>
      <c r="F56" s="435" t="s">
        <v>42</v>
      </c>
      <c r="G56" s="926"/>
      <c r="H56" s="464"/>
      <c r="I56" s="429"/>
      <c r="J56" s="429"/>
      <c r="K56" s="429"/>
      <c r="L56" s="464"/>
      <c r="M56" s="464"/>
      <c r="N56" s="900">
        <f t="shared" si="13"/>
        <v>0</v>
      </c>
      <c r="O56" s="901">
        <f t="shared" si="9"/>
        <v>0</v>
      </c>
      <c r="P56" s="460"/>
      <c r="Q56" s="438">
        <f>IFERROR(LOOKUP(1,0/((成型機資料庫!$F$374:$F$385=J56)*(成型機資料庫!$G$374:$G$385=K56)),成型機資料庫!$K$374:$K$385),0)</f>
        <v>0</v>
      </c>
      <c r="R56" s="899">
        <f t="shared" si="10"/>
        <v>0</v>
      </c>
      <c r="S56" s="898">
        <f t="shared" si="11"/>
        <v>0</v>
      </c>
      <c r="T56" s="923">
        <f>IFERROR(LOOKUP(1,0/((成型機資料庫!$F$374:$F$385=J56)*(成型機資料庫!$G$374:$G$385=K56)),成型機資料庫!$I$374:$I$385),0)</f>
        <v>0</v>
      </c>
      <c r="U56" s="944">
        <f>IFERROR(LOOKUP(1,0/((成型機資料庫!$F$374:$F$385=J56)*(成型機資料庫!$G$374:$G$385=K56)),成型機資料庫!$J$374:$J$385),0)</f>
        <v>0</v>
      </c>
      <c r="V56" s="900">
        <f>IFERROR(LOOKUP(1,0/((成型機資料庫!$F$374:$F$385=J56)*(成型機資料庫!$G$374:$G$385=K56)),成型機資料庫!$L$374:$L$385),0)</f>
        <v>0</v>
      </c>
      <c r="W56" s="898">
        <f t="shared" si="14"/>
        <v>0</v>
      </c>
      <c r="X56" s="923">
        <f t="shared" si="15"/>
        <v>0</v>
      </c>
      <c r="Y56" s="898">
        <f t="shared" si="16"/>
        <v>0</v>
      </c>
      <c r="Z56" s="923"/>
      <c r="AA56" s="478">
        <f t="shared" si="12"/>
        <v>0</v>
      </c>
      <c r="AB56" s="438"/>
      <c r="AC56" s="482"/>
      <c r="AD56" s="464"/>
      <c r="AE56" s="438"/>
      <c r="AF56" s="438"/>
    </row>
    <row r="57" spans="1:32" s="433" customFormat="1" ht="15.75">
      <c r="A57" s="434">
        <v>113</v>
      </c>
      <c r="B57" s="581"/>
      <c r="C57" s="581">
        <v>10</v>
      </c>
      <c r="D57" s="581"/>
      <c r="E57" s="581" t="s">
        <v>43</v>
      </c>
      <c r="F57" s="435" t="s">
        <v>42</v>
      </c>
      <c r="G57" s="926"/>
      <c r="H57" s="464"/>
      <c r="I57" s="429"/>
      <c r="J57" s="429"/>
      <c r="K57" s="429"/>
      <c r="L57" s="464"/>
      <c r="M57" s="464"/>
      <c r="N57" s="900">
        <f t="shared" si="13"/>
        <v>0</v>
      </c>
      <c r="O57" s="901">
        <f t="shared" si="9"/>
        <v>0</v>
      </c>
      <c r="P57" s="460"/>
      <c r="Q57" s="438">
        <f>IFERROR(LOOKUP(1,0/((成型機資料庫!$F$374:$F$385=J57)*(成型機資料庫!$G$374:$G$385=K57)),成型機資料庫!$K$374:$K$385),0)</f>
        <v>0</v>
      </c>
      <c r="R57" s="899">
        <f t="shared" si="10"/>
        <v>0</v>
      </c>
      <c r="S57" s="898">
        <f t="shared" si="11"/>
        <v>0</v>
      </c>
      <c r="T57" s="923">
        <f>IFERROR(LOOKUP(1,0/((成型機資料庫!$F$374:$F$385=J57)*(成型機資料庫!$G$374:$G$385=K57)),成型機資料庫!$I$374:$I$385),0)</f>
        <v>0</v>
      </c>
      <c r="U57" s="944">
        <f>IFERROR(LOOKUP(1,0/((成型機資料庫!$F$374:$F$385=J57)*(成型機資料庫!$G$374:$G$385=K57)),成型機資料庫!$J$374:$J$385),0)</f>
        <v>0</v>
      </c>
      <c r="V57" s="900">
        <f>IFERROR(LOOKUP(1,0/((成型機資料庫!$F$374:$F$385=J57)*(成型機資料庫!$G$374:$G$385=K57)),成型機資料庫!$L$374:$L$385),0)</f>
        <v>0</v>
      </c>
      <c r="W57" s="898">
        <f t="shared" si="14"/>
        <v>0</v>
      </c>
      <c r="X57" s="923">
        <f t="shared" si="15"/>
        <v>0</v>
      </c>
      <c r="Y57" s="898">
        <f t="shared" si="16"/>
        <v>0</v>
      </c>
      <c r="Z57" s="923"/>
      <c r="AA57" s="478">
        <f t="shared" si="12"/>
        <v>0</v>
      </c>
      <c r="AB57" s="438"/>
      <c r="AC57" s="482"/>
      <c r="AD57" s="438"/>
      <c r="AE57" s="438"/>
      <c r="AF57" s="438"/>
    </row>
    <row r="58" spans="1:32" s="433" customFormat="1" ht="15.75">
      <c r="A58" s="434">
        <v>113</v>
      </c>
      <c r="B58" s="581"/>
      <c r="C58" s="581">
        <v>11</v>
      </c>
      <c r="D58" s="581"/>
      <c r="E58" s="581" t="s">
        <v>43</v>
      </c>
      <c r="F58" s="435" t="s">
        <v>42</v>
      </c>
      <c r="G58" s="926"/>
      <c r="H58" s="464"/>
      <c r="I58" s="429"/>
      <c r="J58" s="429"/>
      <c r="K58" s="429"/>
      <c r="L58" s="464"/>
      <c r="M58" s="464"/>
      <c r="N58" s="900">
        <f t="shared" si="13"/>
        <v>0</v>
      </c>
      <c r="O58" s="901">
        <f t="shared" si="9"/>
        <v>0</v>
      </c>
      <c r="P58" s="460"/>
      <c r="Q58" s="438">
        <f>IFERROR(LOOKUP(1,0/((成型機資料庫!$F$374:$F$385=J58)*(成型機資料庫!$G$374:$G$385=K58)),成型機資料庫!$K$374:$K$385),0)</f>
        <v>0</v>
      </c>
      <c r="R58" s="899">
        <f t="shared" si="10"/>
        <v>0</v>
      </c>
      <c r="S58" s="898">
        <f t="shared" si="11"/>
        <v>0</v>
      </c>
      <c r="T58" s="923">
        <f>IFERROR(LOOKUP(1,0/((成型機資料庫!$F$374:$F$385=J58)*(成型機資料庫!$G$374:$G$385=K58)),成型機資料庫!$I$374:$I$385),0)</f>
        <v>0</v>
      </c>
      <c r="U58" s="944">
        <f>IFERROR(LOOKUP(1,0/((成型機資料庫!$F$374:$F$385=J58)*(成型機資料庫!$G$374:$G$385=K58)),成型機資料庫!$J$374:$J$385),0)</f>
        <v>0</v>
      </c>
      <c r="V58" s="900">
        <f>IFERROR(LOOKUP(1,0/((成型機資料庫!$F$374:$F$385=J58)*(成型機資料庫!$G$374:$G$385=K58)),成型機資料庫!$L$374:$L$385),0)</f>
        <v>0</v>
      </c>
      <c r="W58" s="898">
        <f t="shared" si="14"/>
        <v>0</v>
      </c>
      <c r="X58" s="923">
        <f t="shared" si="15"/>
        <v>0</v>
      </c>
      <c r="Y58" s="898">
        <f t="shared" si="16"/>
        <v>0</v>
      </c>
      <c r="Z58" s="923"/>
      <c r="AA58" s="478">
        <f t="shared" si="12"/>
        <v>0</v>
      </c>
      <c r="AB58" s="438"/>
      <c r="AC58" s="482"/>
      <c r="AD58" s="464"/>
      <c r="AE58" s="438"/>
      <c r="AF58" s="438"/>
    </row>
    <row r="59" spans="1:32" s="433" customFormat="1" ht="15.75">
      <c r="A59" s="434">
        <v>113</v>
      </c>
      <c r="B59" s="581"/>
      <c r="C59" s="581">
        <v>12</v>
      </c>
      <c r="D59" s="581"/>
      <c r="E59" s="581" t="s">
        <v>43</v>
      </c>
      <c r="F59" s="435" t="s">
        <v>42</v>
      </c>
      <c r="G59" s="926"/>
      <c r="H59" s="464"/>
      <c r="I59" s="429"/>
      <c r="J59" s="429"/>
      <c r="K59" s="429"/>
      <c r="L59" s="464"/>
      <c r="M59" s="464"/>
      <c r="N59" s="900">
        <f t="shared" si="13"/>
        <v>0</v>
      </c>
      <c r="O59" s="901">
        <f t="shared" si="9"/>
        <v>0</v>
      </c>
      <c r="P59" s="460"/>
      <c r="Q59" s="438">
        <f>IFERROR(LOOKUP(1,0/((成型機資料庫!$F$374:$F$385=J59)*(成型機資料庫!$G$374:$G$385=K59)),成型機資料庫!$K$374:$K$385),0)</f>
        <v>0</v>
      </c>
      <c r="R59" s="899">
        <f t="shared" si="10"/>
        <v>0</v>
      </c>
      <c r="S59" s="898">
        <f t="shared" si="11"/>
        <v>0</v>
      </c>
      <c r="T59" s="923">
        <f>IFERROR(LOOKUP(1,0/((成型機資料庫!$F$374:$F$385=J59)*(成型機資料庫!$G$374:$G$385=K59)),成型機資料庫!$I$374:$I$385),0)</f>
        <v>0</v>
      </c>
      <c r="U59" s="944">
        <f>IFERROR(LOOKUP(1,0/((成型機資料庫!$F$374:$F$385=J59)*(成型機資料庫!$G$374:$G$385=K59)),成型機資料庫!$J$374:$J$385),0)</f>
        <v>0</v>
      </c>
      <c r="V59" s="900">
        <f>IFERROR(LOOKUP(1,0/((成型機資料庫!$F$374:$F$385=J59)*(成型機資料庫!$G$374:$G$385=K59)),成型機資料庫!$L$374:$L$385),0)</f>
        <v>0</v>
      </c>
      <c r="W59" s="898">
        <f t="shared" si="14"/>
        <v>0</v>
      </c>
      <c r="X59" s="923">
        <f t="shared" si="15"/>
        <v>0</v>
      </c>
      <c r="Y59" s="898">
        <f t="shared" si="16"/>
        <v>0</v>
      </c>
      <c r="Z59" s="923"/>
      <c r="AA59" s="478">
        <f t="shared" si="12"/>
        <v>0</v>
      </c>
      <c r="AB59" s="438"/>
      <c r="AC59" s="482"/>
      <c r="AD59" s="438"/>
      <c r="AE59" s="438"/>
      <c r="AF59" s="438"/>
    </row>
    <row r="60" spans="1:32" s="433" customFormat="1" ht="15.75">
      <c r="A60" s="434">
        <v>113</v>
      </c>
      <c r="B60" s="581"/>
      <c r="C60" s="581">
        <v>13</v>
      </c>
      <c r="D60" s="581"/>
      <c r="E60" s="581" t="s">
        <v>43</v>
      </c>
      <c r="F60" s="435" t="s">
        <v>42</v>
      </c>
      <c r="G60" s="926"/>
      <c r="H60" s="464"/>
      <c r="I60" s="429"/>
      <c r="J60" s="429"/>
      <c r="K60" s="429"/>
      <c r="L60" s="464"/>
      <c r="M60" s="464"/>
      <c r="N60" s="900">
        <f t="shared" si="13"/>
        <v>0</v>
      </c>
      <c r="O60" s="901">
        <f t="shared" si="9"/>
        <v>0</v>
      </c>
      <c r="P60" s="460"/>
      <c r="Q60" s="438">
        <f>IFERROR(LOOKUP(1,0/((成型機資料庫!$F$374:$F$385=J60)*(成型機資料庫!$G$374:$G$385=K60)),成型機資料庫!$K$374:$K$385),0)</f>
        <v>0</v>
      </c>
      <c r="R60" s="899">
        <f t="shared" si="10"/>
        <v>0</v>
      </c>
      <c r="S60" s="898">
        <f t="shared" si="11"/>
        <v>0</v>
      </c>
      <c r="T60" s="923">
        <f>IFERROR(LOOKUP(1,0/((成型機資料庫!$F$374:$F$385=J60)*(成型機資料庫!$G$374:$G$385=K60)),成型機資料庫!$I$374:$I$385),0)</f>
        <v>0</v>
      </c>
      <c r="U60" s="944">
        <f>IFERROR(LOOKUP(1,0/((成型機資料庫!$F$374:$F$385=J60)*(成型機資料庫!$G$374:$G$385=K60)),成型機資料庫!$J$374:$J$385),0)</f>
        <v>0</v>
      </c>
      <c r="V60" s="900">
        <f>IFERROR(LOOKUP(1,0/((成型機資料庫!$F$374:$F$385=J60)*(成型機資料庫!$G$374:$G$385=K60)),成型機資料庫!$L$374:$L$385),0)</f>
        <v>0</v>
      </c>
      <c r="W60" s="898">
        <f t="shared" si="14"/>
        <v>0</v>
      </c>
      <c r="X60" s="923">
        <f t="shared" si="15"/>
        <v>0</v>
      </c>
      <c r="Y60" s="898">
        <f t="shared" si="16"/>
        <v>0</v>
      </c>
      <c r="Z60" s="923"/>
      <c r="AA60" s="478">
        <f t="shared" si="12"/>
        <v>0</v>
      </c>
      <c r="AB60" s="438"/>
      <c r="AC60" s="482"/>
      <c r="AD60" s="464"/>
      <c r="AE60" s="438"/>
      <c r="AF60" s="438"/>
    </row>
    <row r="61" spans="1:32" s="433" customFormat="1" ht="15.75">
      <c r="A61" s="434">
        <v>113</v>
      </c>
      <c r="B61" s="581"/>
      <c r="C61" s="581">
        <v>14</v>
      </c>
      <c r="D61" s="581"/>
      <c r="E61" s="581" t="s">
        <v>43</v>
      </c>
      <c r="F61" s="435" t="s">
        <v>42</v>
      </c>
      <c r="G61" s="926"/>
      <c r="H61" s="464"/>
      <c r="I61" s="429"/>
      <c r="J61" s="429"/>
      <c r="K61" s="429"/>
      <c r="L61" s="464"/>
      <c r="M61" s="464"/>
      <c r="N61" s="900">
        <f t="shared" si="13"/>
        <v>0</v>
      </c>
      <c r="O61" s="901">
        <f t="shared" si="9"/>
        <v>0</v>
      </c>
      <c r="P61" s="460"/>
      <c r="Q61" s="438">
        <f>IFERROR(LOOKUP(1,0/((成型機資料庫!$F$374:$F$385=J61)*(成型機資料庫!$G$374:$G$385=K61)),成型機資料庫!$K$374:$K$385),0)</f>
        <v>0</v>
      </c>
      <c r="R61" s="899">
        <f t="shared" si="10"/>
        <v>0</v>
      </c>
      <c r="S61" s="898">
        <f t="shared" si="11"/>
        <v>0</v>
      </c>
      <c r="T61" s="923">
        <f>IFERROR(LOOKUP(1,0/((成型機資料庫!$F$374:$F$385=J61)*(成型機資料庫!$G$374:$G$385=K61)),成型機資料庫!$I$374:$I$385),0)</f>
        <v>0</v>
      </c>
      <c r="U61" s="944">
        <f>IFERROR(LOOKUP(1,0/((成型機資料庫!$F$374:$F$385=J61)*(成型機資料庫!$G$374:$G$385=K61)),成型機資料庫!$J$374:$J$385),0)</f>
        <v>0</v>
      </c>
      <c r="V61" s="900">
        <f>IFERROR(LOOKUP(1,0/((成型機資料庫!$F$374:$F$385=J61)*(成型機資料庫!$G$374:$G$385=K61)),成型機資料庫!$L$374:$L$385),0)</f>
        <v>0</v>
      </c>
      <c r="W61" s="898">
        <f t="shared" si="14"/>
        <v>0</v>
      </c>
      <c r="X61" s="923">
        <f t="shared" si="15"/>
        <v>0</v>
      </c>
      <c r="Y61" s="898">
        <f t="shared" si="16"/>
        <v>0</v>
      </c>
      <c r="Z61" s="923"/>
      <c r="AA61" s="478">
        <f t="shared" si="12"/>
        <v>0</v>
      </c>
      <c r="AB61" s="438"/>
      <c r="AC61" s="482"/>
      <c r="AD61" s="464"/>
      <c r="AE61" s="438"/>
      <c r="AF61" s="438"/>
    </row>
    <row r="62" spans="1:32" s="433" customFormat="1" ht="15.75">
      <c r="A62" s="434">
        <v>113</v>
      </c>
      <c r="B62" s="581"/>
      <c r="C62" s="581">
        <v>15</v>
      </c>
      <c r="D62" s="581"/>
      <c r="E62" s="581" t="s">
        <v>43</v>
      </c>
      <c r="F62" s="435" t="s">
        <v>42</v>
      </c>
      <c r="G62" s="927"/>
      <c r="H62" s="464"/>
      <c r="I62" s="429"/>
      <c r="J62" s="429"/>
      <c r="K62" s="429"/>
      <c r="L62" s="464"/>
      <c r="M62" s="464"/>
      <c r="N62" s="900">
        <f t="shared" si="13"/>
        <v>0</v>
      </c>
      <c r="O62" s="901">
        <f t="shared" si="9"/>
        <v>0</v>
      </c>
      <c r="P62" s="460"/>
      <c r="Q62" s="438">
        <f>IFERROR(LOOKUP(1,0/((成型機資料庫!$F$374:$F$385=J62)*(成型機資料庫!$G$374:$G$385=K62)),成型機資料庫!$K$374:$K$385),0)</f>
        <v>0</v>
      </c>
      <c r="R62" s="899">
        <f t="shared" si="10"/>
        <v>0</v>
      </c>
      <c r="S62" s="898">
        <f t="shared" si="11"/>
        <v>0</v>
      </c>
      <c r="T62" s="923">
        <f>IFERROR(LOOKUP(1,0/((成型機資料庫!$F$374:$F$385=J62)*(成型機資料庫!$G$374:$G$385=K62)),成型機資料庫!$I$374:$I$385),0)</f>
        <v>0</v>
      </c>
      <c r="U62" s="944">
        <f>IFERROR(LOOKUP(1,0/((成型機資料庫!$F$374:$F$385=J62)*(成型機資料庫!$G$374:$G$385=K62)),成型機資料庫!$J$374:$J$385),0)</f>
        <v>0</v>
      </c>
      <c r="V62" s="900">
        <f>IFERROR(LOOKUP(1,0/((成型機資料庫!$F$374:$F$385=J62)*(成型機資料庫!$G$374:$G$385=K62)),成型機資料庫!$L$374:$L$385),0)</f>
        <v>0</v>
      </c>
      <c r="W62" s="898">
        <f t="shared" si="14"/>
        <v>0</v>
      </c>
      <c r="X62" s="923">
        <f t="shared" si="15"/>
        <v>0</v>
      </c>
      <c r="Y62" s="898">
        <f t="shared" si="16"/>
        <v>0</v>
      </c>
      <c r="Z62" s="923"/>
      <c r="AA62" s="478">
        <f t="shared" si="12"/>
        <v>0</v>
      </c>
      <c r="AB62" s="438"/>
      <c r="AC62" s="482"/>
      <c r="AD62" s="438"/>
      <c r="AE62" s="438"/>
      <c r="AF62" s="438"/>
    </row>
    <row r="63" spans="1:32" s="433" customFormat="1" ht="15.75">
      <c r="A63" s="434">
        <v>113</v>
      </c>
      <c r="B63" s="581"/>
      <c r="C63" s="581">
        <v>16</v>
      </c>
      <c r="D63" s="581"/>
      <c r="E63" s="581" t="s">
        <v>43</v>
      </c>
      <c r="F63" s="435" t="s">
        <v>42</v>
      </c>
      <c r="G63" s="927"/>
      <c r="H63" s="464"/>
      <c r="I63" s="429"/>
      <c r="J63" s="429"/>
      <c r="K63" s="429"/>
      <c r="L63" s="464"/>
      <c r="M63" s="464"/>
      <c r="N63" s="900">
        <f t="shared" si="13"/>
        <v>0</v>
      </c>
      <c r="O63" s="901">
        <f t="shared" si="9"/>
        <v>0</v>
      </c>
      <c r="P63" s="460"/>
      <c r="Q63" s="438">
        <f>IFERROR(LOOKUP(1,0/((成型機資料庫!$F$374:$F$385=J63)*(成型機資料庫!$G$374:$G$385=K63)),成型機資料庫!$K$374:$K$385),0)</f>
        <v>0</v>
      </c>
      <c r="R63" s="899">
        <f t="shared" si="10"/>
        <v>0</v>
      </c>
      <c r="S63" s="898">
        <f t="shared" si="11"/>
        <v>0</v>
      </c>
      <c r="T63" s="923">
        <f>IFERROR(LOOKUP(1,0/((成型機資料庫!$F$374:$F$385=J63)*(成型機資料庫!$G$374:$G$385=K63)),成型機資料庫!$I$374:$I$385),0)</f>
        <v>0</v>
      </c>
      <c r="U63" s="944">
        <f>IFERROR(LOOKUP(1,0/((成型機資料庫!$F$374:$F$385=J63)*(成型機資料庫!$G$374:$G$385=K63)),成型機資料庫!$J$374:$J$385),0)</f>
        <v>0</v>
      </c>
      <c r="V63" s="900">
        <f>IFERROR(LOOKUP(1,0/((成型機資料庫!$F$374:$F$385=J63)*(成型機資料庫!$G$374:$G$385=K63)),成型機資料庫!$L$374:$L$385),0)</f>
        <v>0</v>
      </c>
      <c r="W63" s="898">
        <f t="shared" si="14"/>
        <v>0</v>
      </c>
      <c r="X63" s="923">
        <f t="shared" si="15"/>
        <v>0</v>
      </c>
      <c r="Y63" s="898">
        <f t="shared" si="16"/>
        <v>0</v>
      </c>
      <c r="Z63" s="923"/>
      <c r="AA63" s="478">
        <f t="shared" si="12"/>
        <v>0</v>
      </c>
      <c r="AB63" s="438"/>
      <c r="AC63" s="482"/>
      <c r="AD63" s="464"/>
      <c r="AE63" s="464"/>
      <c r="AF63" s="438"/>
    </row>
    <row r="64" spans="1:32" s="433" customFormat="1" ht="15.75">
      <c r="A64" s="434">
        <v>113</v>
      </c>
      <c r="B64" s="581"/>
      <c r="C64" s="581">
        <v>17</v>
      </c>
      <c r="D64" s="581"/>
      <c r="E64" s="581" t="s">
        <v>43</v>
      </c>
      <c r="F64" s="435" t="s">
        <v>42</v>
      </c>
      <c r="G64" s="927"/>
      <c r="H64" s="464"/>
      <c r="I64" s="429"/>
      <c r="J64" s="429"/>
      <c r="K64" s="429"/>
      <c r="L64" s="464"/>
      <c r="M64" s="464"/>
      <c r="N64" s="900">
        <f t="shared" si="13"/>
        <v>0</v>
      </c>
      <c r="O64" s="901">
        <f t="shared" si="9"/>
        <v>0</v>
      </c>
      <c r="P64" s="460"/>
      <c r="Q64" s="438">
        <f>IFERROR(LOOKUP(1,0/((成型機資料庫!$F$374:$F$385=J64)*(成型機資料庫!$G$374:$G$385=K64)),成型機資料庫!$K$374:$K$385),0)</f>
        <v>0</v>
      </c>
      <c r="R64" s="899">
        <f t="shared" si="10"/>
        <v>0</v>
      </c>
      <c r="S64" s="898">
        <f t="shared" si="11"/>
        <v>0</v>
      </c>
      <c r="T64" s="923">
        <f>IFERROR(LOOKUP(1,0/((成型機資料庫!$F$374:$F$385=J64)*(成型機資料庫!$G$374:$G$385=K64)),成型機資料庫!$I$374:$I$385),0)</f>
        <v>0</v>
      </c>
      <c r="U64" s="944">
        <f>IFERROR(LOOKUP(1,0/((成型機資料庫!$F$374:$F$385=J64)*(成型機資料庫!$G$374:$G$385=K64)),成型機資料庫!$J$374:$J$385),0)</f>
        <v>0</v>
      </c>
      <c r="V64" s="900">
        <f>IFERROR(LOOKUP(1,0/((成型機資料庫!$F$374:$F$385=J64)*(成型機資料庫!$G$374:$G$385=K64)),成型機資料庫!$L$374:$L$385),0)</f>
        <v>0</v>
      </c>
      <c r="W64" s="898">
        <f t="shared" si="14"/>
        <v>0</v>
      </c>
      <c r="X64" s="923">
        <f t="shared" si="15"/>
        <v>0</v>
      </c>
      <c r="Y64" s="898">
        <f t="shared" si="16"/>
        <v>0</v>
      </c>
      <c r="Z64" s="923"/>
      <c r="AA64" s="478">
        <f t="shared" si="12"/>
        <v>0</v>
      </c>
      <c r="AB64" s="438"/>
      <c r="AC64" s="482"/>
      <c r="AD64" s="464"/>
      <c r="AE64" s="438"/>
      <c r="AF64" s="438"/>
    </row>
    <row r="65" spans="1:32" s="433" customFormat="1" ht="15.75">
      <c r="A65" s="434">
        <v>113</v>
      </c>
      <c r="B65" s="434"/>
      <c r="C65" s="434">
        <v>18</v>
      </c>
      <c r="D65" s="581"/>
      <c r="E65" s="581" t="s">
        <v>43</v>
      </c>
      <c r="F65" s="435" t="s">
        <v>42</v>
      </c>
      <c r="G65" s="926"/>
      <c r="H65" s="464"/>
      <c r="I65" s="429"/>
      <c r="J65" s="429"/>
      <c r="K65" s="429"/>
      <c r="L65" s="464"/>
      <c r="M65" s="464"/>
      <c r="N65" s="900">
        <f t="shared" si="13"/>
        <v>0</v>
      </c>
      <c r="O65" s="901">
        <f t="shared" si="9"/>
        <v>0</v>
      </c>
      <c r="P65" s="460"/>
      <c r="Q65" s="438">
        <f>IFERROR(LOOKUP(1,0/((成型機資料庫!$F$374:$F$385=J65)*(成型機資料庫!$G$374:$G$385=K65)),成型機資料庫!$K$374:$K$385),0)</f>
        <v>0</v>
      </c>
      <c r="R65" s="899">
        <f t="shared" si="10"/>
        <v>0</v>
      </c>
      <c r="S65" s="898">
        <f t="shared" si="11"/>
        <v>0</v>
      </c>
      <c r="T65" s="923">
        <f>IFERROR(LOOKUP(1,0/((成型機資料庫!$F$374:$F$385=J65)*(成型機資料庫!$G$374:$G$385=K65)),成型機資料庫!$I$374:$I$385),0)</f>
        <v>0</v>
      </c>
      <c r="U65" s="944">
        <f>IFERROR(LOOKUP(1,0/((成型機資料庫!$F$374:$F$385=J65)*(成型機資料庫!$G$374:$G$385=K65)),成型機資料庫!$J$374:$J$385),0)</f>
        <v>0</v>
      </c>
      <c r="V65" s="900">
        <f>IFERROR(LOOKUP(1,0/((成型機資料庫!$F$374:$F$385=J65)*(成型機資料庫!$G$374:$G$385=K65)),成型機資料庫!$L$374:$L$385),0)</f>
        <v>0</v>
      </c>
      <c r="W65" s="898">
        <f t="shared" si="14"/>
        <v>0</v>
      </c>
      <c r="X65" s="923">
        <f t="shared" si="15"/>
        <v>0</v>
      </c>
      <c r="Y65" s="898">
        <f t="shared" si="16"/>
        <v>0</v>
      </c>
      <c r="Z65" s="923"/>
      <c r="AA65" s="478">
        <f t="shared" si="12"/>
        <v>0</v>
      </c>
      <c r="AB65" s="438"/>
      <c r="AC65" s="482"/>
      <c r="AD65" s="464"/>
      <c r="AE65" s="438"/>
      <c r="AF65" s="438"/>
    </row>
    <row r="66" spans="1:32" s="433" customFormat="1" ht="15.75">
      <c r="A66" s="434">
        <v>113</v>
      </c>
      <c r="B66" s="434"/>
      <c r="C66" s="434">
        <v>19</v>
      </c>
      <c r="D66" s="581"/>
      <c r="E66" s="581" t="s">
        <v>43</v>
      </c>
      <c r="F66" s="435" t="s">
        <v>42</v>
      </c>
      <c r="G66" s="926"/>
      <c r="H66" s="464"/>
      <c r="I66" s="429"/>
      <c r="J66" s="429"/>
      <c r="K66" s="429"/>
      <c r="L66" s="464"/>
      <c r="M66" s="464"/>
      <c r="N66" s="900">
        <f t="shared" si="13"/>
        <v>0</v>
      </c>
      <c r="O66" s="901">
        <f t="shared" si="9"/>
        <v>0</v>
      </c>
      <c r="P66" s="460"/>
      <c r="Q66" s="438">
        <f>IFERROR(LOOKUP(1,0/((成型機資料庫!$F$374:$F$385=J66)*(成型機資料庫!$G$374:$G$385=K66)),成型機資料庫!$K$374:$K$385),0)</f>
        <v>0</v>
      </c>
      <c r="R66" s="899">
        <f t="shared" si="10"/>
        <v>0</v>
      </c>
      <c r="S66" s="898">
        <f t="shared" si="11"/>
        <v>0</v>
      </c>
      <c r="T66" s="923">
        <f>IFERROR(LOOKUP(1,0/((成型機資料庫!$F$374:$F$385=J66)*(成型機資料庫!$G$374:$G$385=K66)),成型機資料庫!$I$374:$I$385),0)</f>
        <v>0</v>
      </c>
      <c r="U66" s="944">
        <f>IFERROR(LOOKUP(1,0/((成型機資料庫!$F$374:$F$385=J66)*(成型機資料庫!$G$374:$G$385=K66)),成型機資料庫!$J$374:$J$385),0)</f>
        <v>0</v>
      </c>
      <c r="V66" s="900">
        <f>IFERROR(LOOKUP(1,0/((成型機資料庫!$F$374:$F$385=J66)*(成型機資料庫!$G$374:$G$385=K66)),成型機資料庫!$L$374:$L$385),0)</f>
        <v>0</v>
      </c>
      <c r="W66" s="898">
        <f t="shared" si="14"/>
        <v>0</v>
      </c>
      <c r="X66" s="923">
        <f t="shared" si="15"/>
        <v>0</v>
      </c>
      <c r="Y66" s="898">
        <f t="shared" si="16"/>
        <v>0</v>
      </c>
      <c r="Z66" s="923"/>
      <c r="AA66" s="478">
        <f t="shared" si="12"/>
        <v>0</v>
      </c>
      <c r="AB66" s="438"/>
      <c r="AC66" s="482"/>
      <c r="AD66" s="464"/>
      <c r="AE66" s="438"/>
      <c r="AF66" s="438"/>
    </row>
    <row r="67" spans="1:32" s="433" customFormat="1" ht="15.75">
      <c r="A67" s="434">
        <v>113</v>
      </c>
      <c r="B67" s="434"/>
      <c r="C67" s="434">
        <v>20</v>
      </c>
      <c r="D67" s="581"/>
      <c r="E67" s="581" t="s">
        <v>43</v>
      </c>
      <c r="F67" s="435" t="s">
        <v>42</v>
      </c>
      <c r="G67" s="926"/>
      <c r="H67" s="464"/>
      <c r="I67" s="429"/>
      <c r="J67" s="429"/>
      <c r="K67" s="429"/>
      <c r="L67" s="464"/>
      <c r="M67" s="464"/>
      <c r="N67" s="900">
        <f t="shared" si="13"/>
        <v>0</v>
      </c>
      <c r="O67" s="901">
        <f t="shared" si="9"/>
        <v>0</v>
      </c>
      <c r="P67" s="460"/>
      <c r="Q67" s="438">
        <f>IFERROR(LOOKUP(1,0/((成型機資料庫!$F$374:$F$385=J67)*(成型機資料庫!$G$374:$G$385=K67)),成型機資料庫!$K$374:$K$385),0)</f>
        <v>0</v>
      </c>
      <c r="R67" s="899">
        <f t="shared" si="10"/>
        <v>0</v>
      </c>
      <c r="S67" s="898">
        <f t="shared" si="11"/>
        <v>0</v>
      </c>
      <c r="T67" s="923">
        <f>IFERROR(LOOKUP(1,0/((成型機資料庫!$F$374:$F$385=J67)*(成型機資料庫!$G$374:$G$385=K67)),成型機資料庫!$I$374:$I$385),0)</f>
        <v>0</v>
      </c>
      <c r="U67" s="944">
        <f>IFERROR(LOOKUP(1,0/((成型機資料庫!$F$374:$F$385=J67)*(成型機資料庫!$G$374:$G$385=K67)),成型機資料庫!$J$374:$J$385),0)</f>
        <v>0</v>
      </c>
      <c r="V67" s="900">
        <f>IFERROR(LOOKUP(1,0/((成型機資料庫!$F$374:$F$385=J67)*(成型機資料庫!$G$374:$G$385=K67)),成型機資料庫!$L$374:$L$385),0)</f>
        <v>0</v>
      </c>
      <c r="W67" s="898">
        <f t="shared" si="14"/>
        <v>0</v>
      </c>
      <c r="X67" s="923">
        <f t="shared" si="15"/>
        <v>0</v>
      </c>
      <c r="Y67" s="898">
        <f t="shared" si="16"/>
        <v>0</v>
      </c>
      <c r="Z67" s="923"/>
      <c r="AA67" s="478">
        <f t="shared" si="12"/>
        <v>0</v>
      </c>
      <c r="AB67" s="438"/>
      <c r="AC67" s="482"/>
      <c r="AD67" s="464"/>
      <c r="AE67" s="438"/>
      <c r="AF67" s="438"/>
    </row>
    <row r="68" spans="1:32" s="433" customFormat="1" ht="15.75">
      <c r="A68" s="434">
        <v>113</v>
      </c>
      <c r="B68" s="434"/>
      <c r="C68" s="434">
        <v>21</v>
      </c>
      <c r="D68" s="581"/>
      <c r="E68" s="581" t="s">
        <v>43</v>
      </c>
      <c r="F68" s="435" t="s">
        <v>42</v>
      </c>
      <c r="G68" s="926"/>
      <c r="H68" s="464"/>
      <c r="I68" s="429"/>
      <c r="J68" s="429"/>
      <c r="K68" s="429"/>
      <c r="L68" s="464"/>
      <c r="M68" s="464"/>
      <c r="N68" s="900">
        <f t="shared" si="13"/>
        <v>0</v>
      </c>
      <c r="O68" s="901">
        <f t="shared" si="9"/>
        <v>0</v>
      </c>
      <c r="P68" s="460"/>
      <c r="Q68" s="438">
        <f>IFERROR(LOOKUP(1,0/((成型機資料庫!$F$374:$F$385=J68)*(成型機資料庫!$G$374:$G$385=K68)),成型機資料庫!$K$374:$K$385),0)</f>
        <v>0</v>
      </c>
      <c r="R68" s="899">
        <f t="shared" si="10"/>
        <v>0</v>
      </c>
      <c r="S68" s="898">
        <f t="shared" si="11"/>
        <v>0</v>
      </c>
      <c r="T68" s="923">
        <f>IFERROR(LOOKUP(1,0/((成型機資料庫!$F$374:$F$385=J68)*(成型機資料庫!$G$374:$G$385=K68)),成型機資料庫!$I$374:$I$385),0)</f>
        <v>0</v>
      </c>
      <c r="U68" s="944">
        <f>IFERROR(LOOKUP(1,0/((成型機資料庫!$F$374:$F$385=J68)*(成型機資料庫!$G$374:$G$385=K68)),成型機資料庫!$J$374:$J$385),0)</f>
        <v>0</v>
      </c>
      <c r="V68" s="900">
        <f>IFERROR(LOOKUP(1,0/((成型機資料庫!$F$374:$F$385=J68)*(成型機資料庫!$G$374:$G$385=K68)),成型機資料庫!$L$374:$L$385),0)</f>
        <v>0</v>
      </c>
      <c r="W68" s="898">
        <f t="shared" si="14"/>
        <v>0</v>
      </c>
      <c r="X68" s="923">
        <f t="shared" si="15"/>
        <v>0</v>
      </c>
      <c r="Y68" s="898">
        <f t="shared" si="16"/>
        <v>0</v>
      </c>
      <c r="Z68" s="923"/>
      <c r="AA68" s="478">
        <f t="shared" si="12"/>
        <v>0</v>
      </c>
      <c r="AB68" s="438"/>
      <c r="AC68" s="482"/>
      <c r="AD68" s="464"/>
      <c r="AE68" s="438"/>
      <c r="AF68" s="438"/>
    </row>
    <row r="69" spans="1:32" s="433" customFormat="1" ht="15.75">
      <c r="A69" s="434">
        <v>113</v>
      </c>
      <c r="B69" s="434"/>
      <c r="C69" s="434">
        <v>22</v>
      </c>
      <c r="D69" s="581"/>
      <c r="E69" s="581" t="s">
        <v>43</v>
      </c>
      <c r="F69" s="435" t="s">
        <v>42</v>
      </c>
      <c r="G69" s="927"/>
      <c r="H69" s="464"/>
      <c r="I69" s="429"/>
      <c r="J69" s="429"/>
      <c r="K69" s="429"/>
      <c r="L69" s="464"/>
      <c r="M69" s="464"/>
      <c r="N69" s="900">
        <f t="shared" si="13"/>
        <v>0</v>
      </c>
      <c r="O69" s="901">
        <f t="shared" si="9"/>
        <v>0</v>
      </c>
      <c r="P69" s="460"/>
      <c r="Q69" s="438">
        <f>IFERROR(LOOKUP(1,0/((成型機資料庫!$F$374:$F$385=J69)*(成型機資料庫!$G$374:$G$385=K69)),成型機資料庫!$K$374:$K$385),0)</f>
        <v>0</v>
      </c>
      <c r="R69" s="899">
        <f t="shared" si="10"/>
        <v>0</v>
      </c>
      <c r="S69" s="898">
        <f t="shared" si="11"/>
        <v>0</v>
      </c>
      <c r="T69" s="923">
        <f>IFERROR(LOOKUP(1,0/((成型機資料庫!$F$374:$F$385=J69)*(成型機資料庫!$G$374:$G$385=K69)),成型機資料庫!$I$374:$I$385),0)</f>
        <v>0</v>
      </c>
      <c r="U69" s="944">
        <f>IFERROR(LOOKUP(1,0/((成型機資料庫!$F$374:$F$385=J69)*(成型機資料庫!$G$374:$G$385=K69)),成型機資料庫!$J$374:$J$385),0)</f>
        <v>0</v>
      </c>
      <c r="V69" s="900">
        <f>IFERROR(LOOKUP(1,0/((成型機資料庫!$F$374:$F$385=J69)*(成型機資料庫!$G$374:$G$385=K69)),成型機資料庫!$L$374:$L$385),0)</f>
        <v>0</v>
      </c>
      <c r="W69" s="898">
        <f t="shared" si="14"/>
        <v>0</v>
      </c>
      <c r="X69" s="923">
        <f t="shared" si="15"/>
        <v>0</v>
      </c>
      <c r="Y69" s="898">
        <f t="shared" si="16"/>
        <v>0</v>
      </c>
      <c r="Z69" s="923"/>
      <c r="AA69" s="478">
        <f t="shared" si="12"/>
        <v>0</v>
      </c>
      <c r="AB69" s="438"/>
      <c r="AC69" s="482"/>
      <c r="AD69" s="464"/>
      <c r="AE69" s="438"/>
      <c r="AF69" s="438"/>
    </row>
    <row r="70" spans="1:32" s="433" customFormat="1" ht="15.75">
      <c r="A70" s="434">
        <v>113</v>
      </c>
      <c r="B70" s="434"/>
      <c r="C70" s="434">
        <v>23</v>
      </c>
      <c r="D70" s="581"/>
      <c r="E70" s="581" t="s">
        <v>43</v>
      </c>
      <c r="F70" s="435" t="s">
        <v>42</v>
      </c>
      <c r="G70" s="926"/>
      <c r="H70" s="464"/>
      <c r="I70" s="429"/>
      <c r="J70" s="429"/>
      <c r="K70" s="429"/>
      <c r="L70" s="464"/>
      <c r="M70" s="464"/>
      <c r="N70" s="900">
        <f t="shared" si="13"/>
        <v>0</v>
      </c>
      <c r="O70" s="901">
        <f t="shared" si="9"/>
        <v>0</v>
      </c>
      <c r="P70" s="460"/>
      <c r="Q70" s="438">
        <f>IFERROR(LOOKUP(1,0/((成型機資料庫!$F$374:$F$385=J70)*(成型機資料庫!$G$374:$G$385=K70)),成型機資料庫!$K$374:$K$385),0)</f>
        <v>0</v>
      </c>
      <c r="R70" s="899">
        <f t="shared" si="10"/>
        <v>0</v>
      </c>
      <c r="S70" s="898">
        <f t="shared" si="11"/>
        <v>0</v>
      </c>
      <c r="T70" s="923">
        <f>IFERROR(LOOKUP(1,0/((成型機資料庫!$F$374:$F$385=J70)*(成型機資料庫!$G$374:$G$385=K70)),成型機資料庫!$I$374:$I$385),0)</f>
        <v>0</v>
      </c>
      <c r="U70" s="944">
        <f>IFERROR(LOOKUP(1,0/((成型機資料庫!$F$374:$F$385=J70)*(成型機資料庫!$G$374:$G$385=K70)),成型機資料庫!$J$374:$J$385),0)</f>
        <v>0</v>
      </c>
      <c r="V70" s="900">
        <f>IFERROR(LOOKUP(1,0/((成型機資料庫!$F$374:$F$385=J70)*(成型機資料庫!$G$374:$G$385=K70)),成型機資料庫!$L$374:$L$385),0)</f>
        <v>0</v>
      </c>
      <c r="W70" s="898">
        <f t="shared" si="14"/>
        <v>0</v>
      </c>
      <c r="X70" s="923">
        <f t="shared" si="15"/>
        <v>0</v>
      </c>
      <c r="Y70" s="898">
        <f t="shared" si="16"/>
        <v>0</v>
      </c>
      <c r="Z70" s="923"/>
      <c r="AA70" s="478">
        <f t="shared" si="12"/>
        <v>0</v>
      </c>
      <c r="AB70" s="438"/>
      <c r="AC70" s="482"/>
      <c r="AD70" s="464"/>
      <c r="AE70" s="464"/>
      <c r="AF70" s="438"/>
    </row>
    <row r="71" spans="1:32" s="433" customFormat="1" ht="15.75">
      <c r="A71" s="434">
        <v>113</v>
      </c>
      <c r="B71" s="434"/>
      <c r="C71" s="434">
        <v>24</v>
      </c>
      <c r="D71" s="581"/>
      <c r="E71" s="581" t="s">
        <v>43</v>
      </c>
      <c r="F71" s="435" t="s">
        <v>42</v>
      </c>
      <c r="G71" s="926"/>
      <c r="H71" s="464"/>
      <c r="I71" s="429"/>
      <c r="J71" s="429"/>
      <c r="K71" s="429"/>
      <c r="L71" s="464"/>
      <c r="M71" s="464"/>
      <c r="N71" s="900">
        <f t="shared" si="13"/>
        <v>0</v>
      </c>
      <c r="O71" s="901">
        <f t="shared" si="9"/>
        <v>0</v>
      </c>
      <c r="P71" s="460"/>
      <c r="Q71" s="438">
        <f>IFERROR(LOOKUP(1,0/((成型機資料庫!$F$374:$F$385=J71)*(成型機資料庫!$G$374:$G$385=K71)),成型機資料庫!$K$374:$K$385),0)</f>
        <v>0</v>
      </c>
      <c r="R71" s="899">
        <f t="shared" si="10"/>
        <v>0</v>
      </c>
      <c r="S71" s="898">
        <f t="shared" si="11"/>
        <v>0</v>
      </c>
      <c r="T71" s="923">
        <f>IFERROR(LOOKUP(1,0/((成型機資料庫!$F$374:$F$385=J71)*(成型機資料庫!$G$374:$G$385=K71)),成型機資料庫!$I$374:$I$385),0)</f>
        <v>0</v>
      </c>
      <c r="U71" s="944">
        <f>IFERROR(LOOKUP(1,0/((成型機資料庫!$F$374:$F$385=J71)*(成型機資料庫!$G$374:$G$385=K71)),成型機資料庫!$J$374:$J$385),0)</f>
        <v>0</v>
      </c>
      <c r="V71" s="900">
        <f>IFERROR(LOOKUP(1,0/((成型機資料庫!$F$374:$F$385=J71)*(成型機資料庫!$G$374:$G$385=K71)),成型機資料庫!$L$374:$L$385),0)</f>
        <v>0</v>
      </c>
      <c r="W71" s="898">
        <f t="shared" si="14"/>
        <v>0</v>
      </c>
      <c r="X71" s="923">
        <f t="shared" si="15"/>
        <v>0</v>
      </c>
      <c r="Y71" s="898">
        <f t="shared" si="16"/>
        <v>0</v>
      </c>
      <c r="Z71" s="923"/>
      <c r="AA71" s="478">
        <f t="shared" si="12"/>
        <v>0</v>
      </c>
      <c r="AB71" s="438"/>
      <c r="AC71" s="482"/>
      <c r="AD71" s="464"/>
      <c r="AE71" s="438"/>
      <c r="AF71" s="438"/>
    </row>
    <row r="72" spans="1:32" s="433" customFormat="1" ht="15.75">
      <c r="A72" s="434">
        <v>113</v>
      </c>
      <c r="B72" s="434"/>
      <c r="C72" s="434">
        <v>25</v>
      </c>
      <c r="D72" s="581"/>
      <c r="E72" s="581" t="s">
        <v>43</v>
      </c>
      <c r="F72" s="435" t="s">
        <v>42</v>
      </c>
      <c r="G72" s="926"/>
      <c r="H72" s="464"/>
      <c r="I72" s="429"/>
      <c r="J72" s="429"/>
      <c r="K72" s="429"/>
      <c r="L72" s="464"/>
      <c r="M72" s="464"/>
      <c r="N72" s="900">
        <f t="shared" si="13"/>
        <v>0</v>
      </c>
      <c r="O72" s="901">
        <f t="shared" si="9"/>
        <v>0</v>
      </c>
      <c r="P72" s="460"/>
      <c r="Q72" s="438">
        <f>IFERROR(LOOKUP(1,0/((成型機資料庫!$F$374:$F$385=J72)*(成型機資料庫!$G$374:$G$385=K72)),成型機資料庫!$K$374:$K$385),0)</f>
        <v>0</v>
      </c>
      <c r="R72" s="899">
        <f t="shared" si="10"/>
        <v>0</v>
      </c>
      <c r="S72" s="898">
        <f t="shared" si="11"/>
        <v>0</v>
      </c>
      <c r="T72" s="923">
        <f>IFERROR(LOOKUP(1,0/((成型機資料庫!$F$374:$F$385=J72)*(成型機資料庫!$G$374:$G$385=K72)),成型機資料庫!$I$374:$I$385),0)</f>
        <v>0</v>
      </c>
      <c r="U72" s="944">
        <f>IFERROR(LOOKUP(1,0/((成型機資料庫!$F$374:$F$385=J72)*(成型機資料庫!$G$374:$G$385=K72)),成型機資料庫!$J$374:$J$385),0)</f>
        <v>0</v>
      </c>
      <c r="V72" s="900">
        <f>IFERROR(LOOKUP(1,0/((成型機資料庫!$F$374:$F$385=J72)*(成型機資料庫!$G$374:$G$385=K72)),成型機資料庫!$L$374:$L$385),0)</f>
        <v>0</v>
      </c>
      <c r="W72" s="898">
        <f t="shared" si="14"/>
        <v>0</v>
      </c>
      <c r="X72" s="923">
        <f t="shared" si="15"/>
        <v>0</v>
      </c>
      <c r="Y72" s="898">
        <f t="shared" si="16"/>
        <v>0</v>
      </c>
      <c r="Z72" s="923"/>
      <c r="AA72" s="478">
        <f t="shared" si="12"/>
        <v>0</v>
      </c>
      <c r="AB72" s="438"/>
      <c r="AC72" s="482"/>
      <c r="AD72" s="464"/>
      <c r="AE72" s="464"/>
      <c r="AF72" s="438"/>
    </row>
    <row r="73" spans="1:32" s="433" customFormat="1" ht="15.75">
      <c r="A73" s="434">
        <v>113</v>
      </c>
      <c r="B73" s="434"/>
      <c r="C73" s="434">
        <v>26</v>
      </c>
      <c r="D73" s="581"/>
      <c r="E73" s="581" t="s">
        <v>43</v>
      </c>
      <c r="F73" s="435" t="s">
        <v>42</v>
      </c>
      <c r="G73" s="926"/>
      <c r="H73" s="464"/>
      <c r="I73" s="429"/>
      <c r="J73" s="429"/>
      <c r="K73" s="429"/>
      <c r="L73" s="464"/>
      <c r="M73" s="464"/>
      <c r="N73" s="900">
        <f t="shared" si="13"/>
        <v>0</v>
      </c>
      <c r="O73" s="901">
        <f t="shared" si="9"/>
        <v>0</v>
      </c>
      <c r="P73" s="460"/>
      <c r="Q73" s="438">
        <f>IFERROR(LOOKUP(1,0/((成型機資料庫!$F$374:$F$385=J73)*(成型機資料庫!$G$374:$G$385=K73)),成型機資料庫!$K$374:$K$385),0)</f>
        <v>0</v>
      </c>
      <c r="R73" s="899">
        <f t="shared" si="10"/>
        <v>0</v>
      </c>
      <c r="S73" s="898">
        <f t="shared" si="11"/>
        <v>0</v>
      </c>
      <c r="T73" s="923">
        <f>IFERROR(LOOKUP(1,0/((成型機資料庫!$F$374:$F$385=J73)*(成型機資料庫!$G$374:$G$385=K73)),成型機資料庫!$I$374:$I$385),0)</f>
        <v>0</v>
      </c>
      <c r="U73" s="944">
        <f>IFERROR(LOOKUP(1,0/((成型機資料庫!$F$374:$F$385=J73)*(成型機資料庫!$G$374:$G$385=K73)),成型機資料庫!$J$374:$J$385),0)</f>
        <v>0</v>
      </c>
      <c r="V73" s="900">
        <f>IFERROR(LOOKUP(1,0/((成型機資料庫!$F$374:$F$385=J73)*(成型機資料庫!$G$374:$G$385=K73)),成型機資料庫!$L$374:$L$385),0)</f>
        <v>0</v>
      </c>
      <c r="W73" s="898">
        <f t="shared" si="14"/>
        <v>0</v>
      </c>
      <c r="X73" s="923">
        <f t="shared" si="15"/>
        <v>0</v>
      </c>
      <c r="Y73" s="898">
        <f t="shared" si="16"/>
        <v>0</v>
      </c>
      <c r="Z73" s="923"/>
      <c r="AA73" s="478">
        <f t="shared" si="12"/>
        <v>0</v>
      </c>
      <c r="AB73" s="438"/>
      <c r="AC73" s="482"/>
      <c r="AD73" s="438"/>
      <c r="AE73" s="464"/>
      <c r="AF73" s="438"/>
    </row>
    <row r="74" spans="1:32" s="433" customFormat="1" ht="15.75">
      <c r="A74" s="434">
        <v>113</v>
      </c>
      <c r="B74" s="434"/>
      <c r="C74" s="434">
        <v>27</v>
      </c>
      <c r="D74" s="581"/>
      <c r="E74" s="581" t="s">
        <v>43</v>
      </c>
      <c r="F74" s="435" t="s">
        <v>42</v>
      </c>
      <c r="G74" s="926"/>
      <c r="H74" s="464"/>
      <c r="I74" s="429"/>
      <c r="J74" s="429"/>
      <c r="K74" s="429"/>
      <c r="L74" s="464"/>
      <c r="M74" s="464"/>
      <c r="N74" s="900">
        <f t="shared" si="13"/>
        <v>0</v>
      </c>
      <c r="O74" s="901">
        <f t="shared" si="9"/>
        <v>0</v>
      </c>
      <c r="P74" s="460"/>
      <c r="Q74" s="438">
        <f>IFERROR(LOOKUP(1,0/((成型機資料庫!$F$374:$F$385=J74)*(成型機資料庫!$G$374:$G$385=K74)),成型機資料庫!$K$374:$K$385),0)</f>
        <v>0</v>
      </c>
      <c r="R74" s="899">
        <f t="shared" si="10"/>
        <v>0</v>
      </c>
      <c r="S74" s="898">
        <f t="shared" si="11"/>
        <v>0</v>
      </c>
      <c r="T74" s="923">
        <f>IFERROR(LOOKUP(1,0/((成型機資料庫!$F$374:$F$385=J74)*(成型機資料庫!$G$374:$G$385=K74)),成型機資料庫!$I$374:$I$385),0)</f>
        <v>0</v>
      </c>
      <c r="U74" s="944">
        <f>IFERROR(LOOKUP(1,0/((成型機資料庫!$F$374:$F$385=J74)*(成型機資料庫!$G$374:$G$385=K74)),成型機資料庫!$J$374:$J$385),0)</f>
        <v>0</v>
      </c>
      <c r="V74" s="900">
        <f>IFERROR(LOOKUP(1,0/((成型機資料庫!$F$374:$F$385=J74)*(成型機資料庫!$G$374:$G$385=K74)),成型機資料庫!$L$374:$L$385),0)</f>
        <v>0</v>
      </c>
      <c r="W74" s="898">
        <f t="shared" si="14"/>
        <v>0</v>
      </c>
      <c r="X74" s="923">
        <f t="shared" si="15"/>
        <v>0</v>
      </c>
      <c r="Y74" s="898">
        <f t="shared" si="16"/>
        <v>0</v>
      </c>
      <c r="Z74" s="923"/>
      <c r="AA74" s="478">
        <f t="shared" si="12"/>
        <v>0</v>
      </c>
      <c r="AB74" s="438"/>
      <c r="AC74" s="482"/>
      <c r="AD74" s="464"/>
      <c r="AE74" s="438"/>
      <c r="AF74" s="438"/>
    </row>
    <row r="75" spans="1:32" s="433" customFormat="1" ht="15.75">
      <c r="A75" s="434">
        <v>113</v>
      </c>
      <c r="B75" s="581"/>
      <c r="C75" s="581">
        <v>28</v>
      </c>
      <c r="D75" s="581"/>
      <c r="E75" s="581" t="s">
        <v>43</v>
      </c>
      <c r="F75" s="435" t="s">
        <v>42</v>
      </c>
      <c r="G75" s="926"/>
      <c r="H75" s="464"/>
      <c r="I75" s="429"/>
      <c r="J75" s="429"/>
      <c r="K75" s="429"/>
      <c r="L75" s="464"/>
      <c r="M75" s="464"/>
      <c r="N75" s="900">
        <f t="shared" si="13"/>
        <v>0</v>
      </c>
      <c r="O75" s="901">
        <f t="shared" si="9"/>
        <v>0</v>
      </c>
      <c r="P75" s="460"/>
      <c r="Q75" s="438">
        <f>IFERROR(LOOKUP(1,0/((成型機資料庫!$F$374:$F$385=J75)*(成型機資料庫!$G$374:$G$385=K75)),成型機資料庫!$K$374:$K$385),0)</f>
        <v>0</v>
      </c>
      <c r="R75" s="899">
        <f t="shared" si="10"/>
        <v>0</v>
      </c>
      <c r="S75" s="898">
        <f t="shared" si="11"/>
        <v>0</v>
      </c>
      <c r="T75" s="923">
        <f>IFERROR(LOOKUP(1,0/((成型機資料庫!$F$374:$F$385=J75)*(成型機資料庫!$G$374:$G$385=K75)),成型機資料庫!$I$374:$I$385),0)</f>
        <v>0</v>
      </c>
      <c r="U75" s="944">
        <f>IFERROR(LOOKUP(1,0/((成型機資料庫!$F$374:$F$385=J75)*(成型機資料庫!$G$374:$G$385=K75)),成型機資料庫!$J$374:$J$385),0)</f>
        <v>0</v>
      </c>
      <c r="V75" s="900">
        <f>IFERROR(LOOKUP(1,0/((成型機資料庫!$F$374:$F$385=J75)*(成型機資料庫!$G$374:$G$385=K75)),成型機資料庫!$L$374:$L$385),0)</f>
        <v>0</v>
      </c>
      <c r="W75" s="898">
        <f t="shared" si="14"/>
        <v>0</v>
      </c>
      <c r="X75" s="923">
        <f t="shared" si="15"/>
        <v>0</v>
      </c>
      <c r="Y75" s="898">
        <f t="shared" si="16"/>
        <v>0</v>
      </c>
      <c r="Z75" s="923"/>
      <c r="AA75" s="478">
        <f t="shared" si="12"/>
        <v>0</v>
      </c>
      <c r="AB75" s="438"/>
      <c r="AC75" s="482"/>
      <c r="AD75" s="464"/>
      <c r="AE75" s="438"/>
      <c r="AF75" s="438"/>
    </row>
    <row r="76" spans="1:32" s="433" customFormat="1" ht="15.75">
      <c r="A76" s="434">
        <v>113</v>
      </c>
      <c r="B76" s="581"/>
      <c r="C76" s="581">
        <v>29</v>
      </c>
      <c r="D76" s="581"/>
      <c r="E76" s="581" t="s">
        <v>43</v>
      </c>
      <c r="F76" s="435" t="s">
        <v>42</v>
      </c>
      <c r="G76" s="926"/>
      <c r="H76" s="464"/>
      <c r="I76" s="429"/>
      <c r="J76" s="429"/>
      <c r="K76" s="429"/>
      <c r="L76" s="464"/>
      <c r="M76" s="464"/>
      <c r="N76" s="900">
        <f t="shared" si="13"/>
        <v>0</v>
      </c>
      <c r="O76" s="901">
        <f t="shared" si="9"/>
        <v>0</v>
      </c>
      <c r="P76" s="460"/>
      <c r="Q76" s="438">
        <f>IFERROR(LOOKUP(1,0/((成型機資料庫!$F$374:$F$385=J76)*(成型機資料庫!$G$374:$G$385=K76)),成型機資料庫!$K$374:$K$385),0)</f>
        <v>0</v>
      </c>
      <c r="R76" s="899">
        <f t="shared" si="10"/>
        <v>0</v>
      </c>
      <c r="S76" s="898">
        <f t="shared" si="11"/>
        <v>0</v>
      </c>
      <c r="T76" s="923">
        <f>IFERROR(LOOKUP(1,0/((成型機資料庫!$F$374:$F$385=J76)*(成型機資料庫!$G$374:$G$385=K76)),成型機資料庫!$I$374:$I$385),0)</f>
        <v>0</v>
      </c>
      <c r="U76" s="944">
        <f>IFERROR(LOOKUP(1,0/((成型機資料庫!$F$374:$F$385=J76)*(成型機資料庫!$G$374:$G$385=K76)),成型機資料庫!$J$374:$J$385),0)</f>
        <v>0</v>
      </c>
      <c r="V76" s="900">
        <f>IFERROR(LOOKUP(1,0/((成型機資料庫!$F$374:$F$385=J76)*(成型機資料庫!$G$374:$G$385=K76)),成型機資料庫!$L$374:$L$385),0)</f>
        <v>0</v>
      </c>
      <c r="W76" s="898">
        <f t="shared" si="14"/>
        <v>0</v>
      </c>
      <c r="X76" s="923">
        <f t="shared" si="15"/>
        <v>0</v>
      </c>
      <c r="Y76" s="898">
        <f t="shared" si="16"/>
        <v>0</v>
      </c>
      <c r="Z76" s="923"/>
      <c r="AA76" s="478">
        <f t="shared" si="12"/>
        <v>0</v>
      </c>
      <c r="AB76" s="438"/>
      <c r="AC76" s="482"/>
      <c r="AD76" s="464"/>
      <c r="AE76" s="464"/>
      <c r="AF76" s="438"/>
    </row>
    <row r="77" spans="1:32" s="433" customFormat="1" ht="15.75">
      <c r="A77" s="434">
        <v>113</v>
      </c>
      <c r="B77" s="581"/>
      <c r="C77" s="581">
        <v>30</v>
      </c>
      <c r="D77" s="581"/>
      <c r="E77" s="581" t="s">
        <v>43</v>
      </c>
      <c r="F77" s="435" t="s">
        <v>42</v>
      </c>
      <c r="G77" s="926"/>
      <c r="H77" s="464"/>
      <c r="I77" s="429"/>
      <c r="J77" s="429"/>
      <c r="K77" s="429"/>
      <c r="L77" s="464"/>
      <c r="M77" s="464"/>
      <c r="N77" s="900">
        <f t="shared" si="13"/>
        <v>0</v>
      </c>
      <c r="O77" s="901">
        <f t="shared" si="9"/>
        <v>0</v>
      </c>
      <c r="P77" s="460"/>
      <c r="Q77" s="438">
        <f>IFERROR(LOOKUP(1,0/((成型機資料庫!$F$374:$F$385=J77)*(成型機資料庫!$G$374:$G$385=K77)),成型機資料庫!$K$374:$K$385),0)</f>
        <v>0</v>
      </c>
      <c r="R77" s="899">
        <f t="shared" si="10"/>
        <v>0</v>
      </c>
      <c r="S77" s="898">
        <f t="shared" si="11"/>
        <v>0</v>
      </c>
      <c r="T77" s="923">
        <f>IFERROR(LOOKUP(1,0/((成型機資料庫!$F$374:$F$385=J77)*(成型機資料庫!$G$374:$G$385=K77)),成型機資料庫!$I$374:$I$385),0)</f>
        <v>0</v>
      </c>
      <c r="U77" s="944">
        <f>IFERROR(LOOKUP(1,0/((成型機資料庫!$F$374:$F$385=J77)*(成型機資料庫!$G$374:$G$385=K77)),成型機資料庫!$J$374:$J$385),0)</f>
        <v>0</v>
      </c>
      <c r="V77" s="900">
        <f>IFERROR(LOOKUP(1,0/((成型機資料庫!$F$374:$F$385=J77)*(成型機資料庫!$G$374:$G$385=K77)),成型機資料庫!$L$374:$L$385),0)</f>
        <v>0</v>
      </c>
      <c r="W77" s="898">
        <f t="shared" si="14"/>
        <v>0</v>
      </c>
      <c r="X77" s="923">
        <f t="shared" si="15"/>
        <v>0</v>
      </c>
      <c r="Y77" s="898">
        <f t="shared" si="16"/>
        <v>0</v>
      </c>
      <c r="Z77" s="923"/>
      <c r="AA77" s="478">
        <f t="shared" si="12"/>
        <v>0</v>
      </c>
      <c r="AB77" s="438"/>
      <c r="AC77" s="482"/>
      <c r="AD77" s="464"/>
      <c r="AE77" s="438"/>
      <c r="AF77" s="438"/>
    </row>
    <row r="78" spans="1:32" s="433" customFormat="1" ht="15.75">
      <c r="A78" s="446"/>
      <c r="B78" s="456"/>
      <c r="C78" s="456"/>
      <c r="D78" s="456"/>
      <c r="E78" s="456"/>
      <c r="F78" s="448"/>
      <c r="G78" s="951"/>
      <c r="H78" s="452"/>
      <c r="I78" s="430"/>
      <c r="J78" s="430"/>
      <c r="K78" s="430"/>
      <c r="L78" s="452"/>
      <c r="M78" s="452"/>
      <c r="N78" s="945"/>
      <c r="O78" s="946"/>
      <c r="P78" s="868"/>
      <c r="Q78" s="467"/>
      <c r="R78" s="948"/>
      <c r="S78" s="936"/>
      <c r="T78" s="936"/>
      <c r="U78" s="936"/>
      <c r="V78" s="945"/>
      <c r="W78" s="936"/>
      <c r="X78" s="947"/>
      <c r="Y78" s="936"/>
      <c r="Z78" s="947"/>
      <c r="AA78" s="488"/>
      <c r="AB78" s="439"/>
      <c r="AC78" s="471"/>
      <c r="AD78" s="452"/>
      <c r="AE78" s="439"/>
      <c r="AF78" s="439"/>
    </row>
    <row r="79" spans="1:32" s="433" customFormat="1" ht="15.75">
      <c r="A79" s="446"/>
      <c r="B79" s="456"/>
      <c r="C79" s="456"/>
      <c r="D79" s="456"/>
      <c r="E79" s="456"/>
      <c r="F79" s="448"/>
      <c r="G79" s="951"/>
      <c r="H79" s="452"/>
      <c r="I79" s="430"/>
      <c r="J79" s="430"/>
      <c r="K79" s="430"/>
      <c r="L79" s="452"/>
      <c r="M79" s="452"/>
      <c r="N79" s="945"/>
      <c r="O79" s="946"/>
      <c r="P79" s="868"/>
      <c r="Q79" s="467"/>
      <c r="R79" s="948"/>
      <c r="S79" s="936"/>
      <c r="T79" s="936"/>
      <c r="U79" s="936"/>
      <c r="V79" s="945"/>
      <c r="W79" s="936"/>
      <c r="X79" s="947"/>
      <c r="Y79" s="936"/>
      <c r="Z79" s="947"/>
      <c r="AA79" s="488"/>
      <c r="AB79" s="439"/>
      <c r="AC79" s="471"/>
      <c r="AD79" s="452"/>
      <c r="AE79" s="439"/>
      <c r="AF79" s="439"/>
    </row>
    <row r="80" spans="1:32" s="433" customFormat="1" thickBot="1">
      <c r="A80" s="446"/>
      <c r="B80" s="446"/>
      <c r="C80" s="446"/>
      <c r="D80" s="446"/>
      <c r="E80" s="446"/>
      <c r="F80" s="448"/>
      <c r="G80" s="448"/>
      <c r="H80" s="430"/>
      <c r="I80" s="430"/>
      <c r="J80" s="430"/>
      <c r="K80" s="430"/>
      <c r="L80" s="439"/>
      <c r="M80" s="452"/>
      <c r="N80" s="452"/>
      <c r="O80" s="457"/>
      <c r="P80" s="466"/>
      <c r="Q80" s="467"/>
      <c r="R80" s="486"/>
      <c r="S80" s="457"/>
      <c r="T80" s="457"/>
      <c r="U80" s="457"/>
      <c r="V80" s="458"/>
      <c r="W80" s="487">
        <f>SUM(W48:W77)</f>
        <v>0</v>
      </c>
      <c r="X80" s="487"/>
      <c r="Y80" s="487"/>
      <c r="Z80" s="487"/>
      <c r="AA80" s="488"/>
      <c r="AB80" s="489"/>
      <c r="AC80" s="489"/>
      <c r="AD80" s="469" t="s">
        <v>46</v>
      </c>
      <c r="AE80" s="439"/>
      <c r="AF80" s="439"/>
    </row>
    <row r="81" spans="1:32" s="469" customFormat="1" ht="31.5">
      <c r="A81" s="479"/>
      <c r="B81" s="479"/>
      <c r="C81" s="479"/>
      <c r="D81" s="479"/>
      <c r="E81" s="479"/>
      <c r="F81" s="452"/>
      <c r="G81" s="524" t="s">
        <v>503</v>
      </c>
      <c r="H81" s="517"/>
      <c r="I81" s="518"/>
      <c r="L81" s="1842" t="s">
        <v>1349</v>
      </c>
      <c r="M81" s="525" t="s">
        <v>1294</v>
      </c>
      <c r="N81" s="525" t="s">
        <v>1295</v>
      </c>
      <c r="O81" s="526" t="s">
        <v>458</v>
      </c>
      <c r="P81" s="520"/>
      <c r="Q81" s="521"/>
      <c r="R81" s="524" t="s">
        <v>504</v>
      </c>
      <c r="S81" s="524" t="s">
        <v>455</v>
      </c>
      <c r="T81" s="521"/>
      <c r="U81" s="521"/>
      <c r="V81" s="524" t="s">
        <v>1293</v>
      </c>
      <c r="W81" s="524" t="s">
        <v>459</v>
      </c>
      <c r="X81" s="521"/>
      <c r="Y81" s="524" t="s">
        <v>1345</v>
      </c>
      <c r="Z81" s="524" t="s">
        <v>1350</v>
      </c>
      <c r="AA81" s="524" t="s">
        <v>1351</v>
      </c>
      <c r="AB81" s="524" t="s">
        <v>1353</v>
      </c>
      <c r="AC81" s="524" t="s">
        <v>1352</v>
      </c>
      <c r="AD81" s="469" t="s">
        <v>253</v>
      </c>
      <c r="AE81" s="452"/>
      <c r="AF81" s="452"/>
    </row>
    <row r="82" spans="1:32" thickBot="1">
      <c r="G82" s="522">
        <f>SUM(G48:G77)</f>
        <v>0</v>
      </c>
      <c r="I82" s="431"/>
      <c r="J82" s="518"/>
      <c r="K82" s="518"/>
      <c r="L82" s="1843"/>
      <c r="M82" s="522">
        <f>SUM(M48:M77)</f>
        <v>0</v>
      </c>
      <c r="N82" s="522">
        <f>SUM(N48:N77)</f>
        <v>0</v>
      </c>
      <c r="O82" s="902">
        <f>SUM(O48:O77)</f>
        <v>0</v>
      </c>
      <c r="P82" s="470"/>
      <c r="R82" s="924">
        <f>SUM(R48:R77)</f>
        <v>0</v>
      </c>
      <c r="S82" s="897" t="e">
        <f>(G82-R82)/G82</f>
        <v>#DIV/0!</v>
      </c>
      <c r="T82" s="446"/>
      <c r="U82" s="446"/>
      <c r="V82" s="686" t="e">
        <f>N82/W82</f>
        <v>#DIV/0!</v>
      </c>
      <c r="W82" s="516" t="e">
        <f>W80/Z82</f>
        <v>#DIV/0!</v>
      </c>
      <c r="X82" s="446"/>
      <c r="Y82" s="516"/>
      <c r="Z82" s="958">
        <f>SUM(Z48:Z77)</f>
        <v>0</v>
      </c>
      <c r="AA82" s="516">
        <f>SUM(AA48:AA77)</f>
        <v>0</v>
      </c>
      <c r="AB82" s="516">
        <f>Z82-AA82</f>
        <v>0</v>
      </c>
      <c r="AC82" s="896" t="e">
        <f>AA82/Z82</f>
        <v>#DIV/0!</v>
      </c>
    </row>
    <row r="83" spans="1:32">
      <c r="O83" s="472"/>
    </row>
  </sheetData>
  <sheetProtection formatCells="0" formatColumns="0" formatRows="0" insertColumns="0" insertRows="0" insertHyperlinks="0" deleteColumns="0" deleteRows="0" sort="0" autoFilter="0" pivotTables="0"/>
  <mergeCells count="65">
    <mergeCell ref="B1:AF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L2:L3"/>
    <mergeCell ref="M2:M3"/>
    <mergeCell ref="N2:N3"/>
    <mergeCell ref="O2:O3"/>
    <mergeCell ref="K2:K3"/>
    <mergeCell ref="P2:P3"/>
    <mergeCell ref="Q2:Q3"/>
    <mergeCell ref="R2:R3"/>
    <mergeCell ref="S2:S3"/>
    <mergeCell ref="V2:V3"/>
    <mergeCell ref="AE2:AE3"/>
    <mergeCell ref="AF2:AF3"/>
    <mergeCell ref="X2:X3"/>
    <mergeCell ref="Y2:Y3"/>
    <mergeCell ref="T2:T3"/>
    <mergeCell ref="U2:U3"/>
    <mergeCell ref="W2:W3"/>
    <mergeCell ref="Z2:Z3"/>
    <mergeCell ref="AA2:AA3"/>
    <mergeCell ref="AB2:AC2"/>
    <mergeCell ref="AD2:AD3"/>
    <mergeCell ref="A46:A47"/>
    <mergeCell ref="B46:B47"/>
    <mergeCell ref="C46:C47"/>
    <mergeCell ref="D46:D47"/>
    <mergeCell ref="E46:E47"/>
    <mergeCell ref="F46:F47"/>
    <mergeCell ref="R46:R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L81:L82"/>
    <mergeCell ref="L42:L43"/>
    <mergeCell ref="AF46:AF47"/>
    <mergeCell ref="Y46:Y47"/>
    <mergeCell ref="Z46:Z47"/>
    <mergeCell ref="AA46:AA47"/>
    <mergeCell ref="AB46:AC46"/>
    <mergeCell ref="AD46:AD47"/>
    <mergeCell ref="AE46:AE47"/>
    <mergeCell ref="S46:S47"/>
    <mergeCell ref="T46:T47"/>
    <mergeCell ref="U46:U47"/>
    <mergeCell ref="V46:V47"/>
    <mergeCell ref="W46:W47"/>
    <mergeCell ref="X46:X47"/>
  </mergeCells>
  <phoneticPr fontId="26" type="noConversion"/>
  <conditionalFormatting sqref="G1:G1048576">
    <cfRule type="cellIs" dxfId="187" priority="55" stopIfTrue="1" operator="equal">
      <formula>"未開機"</formula>
    </cfRule>
  </conditionalFormatting>
  <conditionalFormatting sqref="R48:U79">
    <cfRule type="expression" dxfId="186" priority="1" stopIfTrue="1">
      <formula>R48=0</formula>
    </cfRule>
  </conditionalFormatting>
  <conditionalFormatting sqref="W9:W40">
    <cfRule type="expression" dxfId="185" priority="37" stopIfTrue="1">
      <formula>W9=0</formula>
    </cfRule>
    <cfRule type="expression" dxfId="184" priority="41" stopIfTrue="1">
      <formula>W9=0</formula>
    </cfRule>
    <cfRule type="cellIs" dxfId="183" priority="40" stopIfTrue="1" operator="between">
      <formula>0.7</formula>
      <formula>0.85</formula>
    </cfRule>
    <cfRule type="cellIs" dxfId="182" priority="39" stopIfTrue="1" operator="between">
      <formula>0.851</formula>
      <formula>1</formula>
    </cfRule>
    <cfRule type="cellIs" dxfId="181" priority="38" stopIfTrue="1" operator="lessThan">
      <formula>0.7</formula>
    </cfRule>
  </conditionalFormatting>
  <conditionalFormatting sqref="W48:W79">
    <cfRule type="cellIs" dxfId="180" priority="19" stopIfTrue="1" operator="between">
      <formula>0.7</formula>
      <formula>0.85</formula>
    </cfRule>
    <cfRule type="expression" dxfId="179" priority="20" stopIfTrue="1">
      <formula>W48=0</formula>
    </cfRule>
    <cfRule type="expression" dxfId="178" priority="16" stopIfTrue="1">
      <formula>W48=0</formula>
    </cfRule>
    <cfRule type="cellIs" dxfId="177" priority="17" stopIfTrue="1" operator="lessThan">
      <formula>0.7</formula>
    </cfRule>
    <cfRule type="cellIs" dxfId="176" priority="18" stopIfTrue="1" operator="between">
      <formula>0.851</formula>
      <formula>1</formula>
    </cfRule>
  </conditionalFormatting>
  <conditionalFormatting sqref="W4:Y7 S4:U4 S5:S7 T5:U38 R9:S38 Z9:Z40 R39:U40">
    <cfRule type="expression" dxfId="175" priority="54" stopIfTrue="1">
      <formula>R4=0</formula>
    </cfRule>
  </conditionalFormatting>
  <conditionalFormatting sqref="W4:Y7">
    <cfRule type="cellIs" dxfId="174" priority="51" stopIfTrue="1" operator="between">
      <formula>0.7</formula>
      <formula>0.85</formula>
    </cfRule>
    <cfRule type="cellIs" dxfId="173" priority="50" stopIfTrue="1" operator="between">
      <formula>0.851</formula>
      <formula>1</formula>
    </cfRule>
    <cfRule type="cellIs" dxfId="172" priority="49" stopIfTrue="1" operator="lessThan">
      <formula>0.7</formula>
    </cfRule>
    <cfRule type="expression" dxfId="171" priority="42" stopIfTrue="1">
      <formula>W4=0</formula>
    </cfRule>
  </conditionalFormatting>
  <conditionalFormatting sqref="X10:X40">
    <cfRule type="cellIs" dxfId="170" priority="28" stopIfTrue="1" operator="between">
      <formula>0.851</formula>
      <formula>1</formula>
    </cfRule>
    <cfRule type="cellIs" dxfId="169" priority="29" stopIfTrue="1" operator="between">
      <formula>0.7</formula>
      <formula>0.85</formula>
    </cfRule>
    <cfRule type="expression" dxfId="168" priority="30" stopIfTrue="1">
      <formula>X10=0</formula>
    </cfRule>
    <cfRule type="expression" dxfId="167" priority="26" stopIfTrue="1">
      <formula>X10=0</formula>
    </cfRule>
    <cfRule type="cellIs" dxfId="166" priority="27" stopIfTrue="1" operator="lessThan">
      <formula>0.7</formula>
    </cfRule>
  </conditionalFormatting>
  <conditionalFormatting sqref="X49:X79">
    <cfRule type="expression" dxfId="165" priority="5" stopIfTrue="1">
      <formula>X49=0</formula>
    </cfRule>
    <cfRule type="cellIs" dxfId="164" priority="6" stopIfTrue="1" operator="lessThan">
      <formula>0.7</formula>
    </cfRule>
    <cfRule type="expression" dxfId="163" priority="9" stopIfTrue="1">
      <formula>X49=0</formula>
    </cfRule>
    <cfRule type="cellIs" dxfId="162" priority="8" stopIfTrue="1" operator="between">
      <formula>0.7</formula>
      <formula>0.85</formula>
    </cfRule>
    <cfRule type="cellIs" dxfId="161" priority="7" stopIfTrue="1" operator="between">
      <formula>0.851</formula>
      <formula>1</formula>
    </cfRule>
  </conditionalFormatting>
  <conditionalFormatting sqref="X9:Y9 Y10:Y40">
    <cfRule type="expression" dxfId="160" priority="32" stopIfTrue="1">
      <formula>X9=0</formula>
    </cfRule>
    <cfRule type="cellIs" dxfId="159" priority="33" stopIfTrue="1" operator="lessThan">
      <formula>0.7</formula>
    </cfRule>
    <cfRule type="cellIs" dxfId="158" priority="34" stopIfTrue="1" operator="between">
      <formula>0.851</formula>
      <formula>1</formula>
    </cfRule>
    <cfRule type="cellIs" dxfId="157" priority="35" stopIfTrue="1" operator="between">
      <formula>0.7</formula>
      <formula>0.85</formula>
    </cfRule>
    <cfRule type="expression" dxfId="156" priority="36" stopIfTrue="1">
      <formula>X9=0</formula>
    </cfRule>
  </conditionalFormatting>
  <conditionalFormatting sqref="X48:Y48 Y49:Y79">
    <cfRule type="expression" dxfId="155" priority="15" stopIfTrue="1">
      <formula>X48=0</formula>
    </cfRule>
    <cfRule type="cellIs" dxfId="154" priority="14" stopIfTrue="1" operator="between">
      <formula>0.7</formula>
      <formula>0.85</formula>
    </cfRule>
    <cfRule type="cellIs" dxfId="153" priority="13" stopIfTrue="1" operator="between">
      <formula>0.851</formula>
      <formula>1</formula>
    </cfRule>
    <cfRule type="cellIs" dxfId="152" priority="12" stopIfTrue="1" operator="lessThan">
      <formula>0.7</formula>
    </cfRule>
    <cfRule type="expression" dxfId="151" priority="11" stopIfTrue="1">
      <formula>X48=0</formula>
    </cfRule>
  </conditionalFormatting>
  <conditionalFormatting sqref="Y9:Y40">
    <cfRule type="cellIs" dxfId="150" priority="31" stopIfTrue="1" operator="greaterThan">
      <formula>1</formula>
    </cfRule>
  </conditionalFormatting>
  <conditionalFormatting sqref="Y48:Y79">
    <cfRule type="cellIs" dxfId="149" priority="10" stopIfTrue="1" operator="greaterThan">
      <formula>1</formula>
    </cfRule>
  </conditionalFormatting>
  <conditionalFormatting sqref="Z48:Z79">
    <cfRule type="expression" dxfId="148" priority="25" stopIfTrue="1">
      <formula>Z48=0</formula>
    </cfRule>
  </conditionalFormatting>
  <dataValidations disablePrompts="1" count="1">
    <dataValidation type="list" allowBlank="1" showInputMessage="1" showErrorMessage="1" sqref="J39:K40 J78:K79" xr:uid="{00000000-0002-0000-5500-000000000000}">
      <formula1>#REF!</formula1>
    </dataValidation>
  </dataValidations>
  <pageMargins left="0" right="0" top="0.39" bottom="0.39" header="0.51" footer="0.51"/>
  <pageSetup paperSize="9" scale="65" orientation="landscape" r:id="rId1"/>
  <headerFooter alignWithMargins="0"/>
  <colBreaks count="1" manualBreakCount="1">
    <brk id="32" max="1048575" man="1"/>
  </col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752993B-9440-49EB-AE5C-6B41F8533B33}">
          <x14:formula1>
            <xm:f>規格清單!$I$42:$I$45</xm:f>
          </x14:formula1>
          <xm:sqref>J4:J38 J48:J77</xm:sqref>
        </x14:dataValidation>
        <x14:dataValidation type="list" allowBlank="1" showInputMessage="1" showErrorMessage="1" xr:uid="{BB12ED53-2F71-4755-A7B1-8608A4339FDC}">
          <x14:formula1>
            <xm:f>成型機資料庫!$A$9:$A$11</xm:f>
          </x14:formula1>
          <xm:sqref>K4:K38 K48:K77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工作表23"/>
  <dimension ref="A1:BA105"/>
  <sheetViews>
    <sheetView zoomScale="70" zoomScaleNormal="70" workbookViewId="0">
      <pane xSplit="4" ySplit="3" topLeftCell="E4" activePane="bottomRight" state="frozen"/>
      <selection pane="topRight"/>
      <selection pane="bottomLeft"/>
      <selection pane="bottomRight" sqref="A1:AC1"/>
    </sheetView>
  </sheetViews>
  <sheetFormatPr defaultRowHeight="16.5"/>
  <cols>
    <col min="1" max="2" width="4.25" style="446" bestFit="1" customWidth="1"/>
    <col min="3" max="4" width="4" style="446" bestFit="1" customWidth="1"/>
    <col min="5" max="5" width="6" style="433" bestFit="1" customWidth="1"/>
    <col min="6" max="6" width="23.875" style="449" bestFit="1" customWidth="1"/>
    <col min="7" max="7" width="20.5" style="449" bestFit="1" customWidth="1"/>
    <col min="8" max="8" width="15.875" style="450" bestFit="1" customWidth="1"/>
    <col min="9" max="9" width="36" style="450" bestFit="1" customWidth="1"/>
    <col min="10" max="10" width="10" style="450" bestFit="1" customWidth="1"/>
    <col min="11" max="11" width="14" style="446" bestFit="1" customWidth="1"/>
    <col min="12" max="12" width="14.625" style="446" bestFit="1" customWidth="1"/>
    <col min="13" max="13" width="20.5" style="446" bestFit="1" customWidth="1"/>
    <col min="14" max="14" width="10.625" style="456" bestFit="1" customWidth="1"/>
    <col min="15" max="15" width="6.375" style="446" bestFit="1" customWidth="1"/>
    <col min="16" max="16" width="14.625" style="446" bestFit="1" customWidth="1"/>
    <col min="17" max="17" width="10" style="440" bestFit="1" customWidth="1"/>
    <col min="18" max="18" width="18.5" style="455" bestFit="1" customWidth="1"/>
    <col min="19" max="19" width="14.625" style="456" bestFit="1" customWidth="1"/>
    <col min="20" max="20" width="12.25" bestFit="1" customWidth="1"/>
    <col min="21" max="22" width="10" bestFit="1" customWidth="1"/>
    <col min="23" max="23" width="12.25" style="76" bestFit="1" customWidth="1"/>
    <col min="24" max="24" width="12.25" bestFit="1" customWidth="1"/>
    <col min="25" max="25" width="12.25" style="432" bestFit="1" customWidth="1"/>
    <col min="26" max="26" width="9.125" style="432" bestFit="1" customWidth="1"/>
    <col min="27" max="27" width="10.625" style="451" bestFit="1" customWidth="1"/>
    <col min="28" max="28" width="10.625" style="433" bestFit="1" customWidth="1"/>
    <col min="29" max="29" width="6.5" style="433" bestFit="1" customWidth="1"/>
    <col min="30" max="125" width="8.875" style="446" customWidth="1"/>
    <col min="126" max="16384" width="9" style="446"/>
  </cols>
  <sheetData>
    <row r="1" spans="1:53" ht="21.75" thickBot="1">
      <c r="A1" s="1882" t="s">
        <v>516</v>
      </c>
      <c r="B1" s="1882"/>
      <c r="C1" s="1882"/>
      <c r="D1" s="1882"/>
      <c r="E1" s="1882"/>
      <c r="F1" s="1882"/>
      <c r="G1" s="1882"/>
      <c r="H1" s="1882"/>
      <c r="I1" s="1882"/>
      <c r="J1" s="1882"/>
      <c r="K1" s="1882"/>
      <c r="L1" s="1882"/>
      <c r="M1" s="1882"/>
      <c r="N1" s="1882"/>
      <c r="O1" s="1882"/>
      <c r="P1" s="1882"/>
      <c r="Q1" s="1882"/>
      <c r="R1" s="1882"/>
      <c r="S1" s="1882"/>
      <c r="T1" s="1882"/>
      <c r="U1" s="1882"/>
      <c r="V1" s="1882"/>
      <c r="W1" s="1882"/>
      <c r="X1" s="1882"/>
      <c r="Y1" s="1882"/>
      <c r="Z1" s="1882"/>
      <c r="AA1" s="1882"/>
      <c r="AB1" s="1882"/>
      <c r="AC1" s="1882"/>
    </row>
    <row r="2" spans="1:53" ht="15.75">
      <c r="A2" s="1824" t="s">
        <v>330</v>
      </c>
      <c r="B2" s="1826" t="s">
        <v>311</v>
      </c>
      <c r="C2" s="1828" t="s">
        <v>331</v>
      </c>
      <c r="D2" s="1828" t="s">
        <v>332</v>
      </c>
      <c r="E2" s="1830" t="s">
        <v>194</v>
      </c>
      <c r="F2" s="1832" t="s">
        <v>510</v>
      </c>
      <c r="G2" s="1872" t="s">
        <v>628</v>
      </c>
      <c r="H2" s="1874" t="s">
        <v>629</v>
      </c>
      <c r="I2" s="1832" t="s">
        <v>361</v>
      </c>
      <c r="J2" s="1832" t="s">
        <v>1320</v>
      </c>
      <c r="K2" s="1828" t="s">
        <v>362</v>
      </c>
      <c r="L2" s="1828" t="s">
        <v>514</v>
      </c>
      <c r="M2" s="1856" t="s">
        <v>511</v>
      </c>
      <c r="N2" s="1858" t="s">
        <v>457</v>
      </c>
      <c r="O2" s="1828" t="s">
        <v>380</v>
      </c>
      <c r="P2" s="1876" t="s">
        <v>515</v>
      </c>
      <c r="Q2" s="1854" t="s">
        <v>3</v>
      </c>
      <c r="R2" s="1836" t="s">
        <v>512</v>
      </c>
      <c r="S2" s="1844" t="s">
        <v>1286</v>
      </c>
      <c r="T2" s="1846" t="s">
        <v>201</v>
      </c>
      <c r="U2" s="1846" t="s">
        <v>1318</v>
      </c>
      <c r="V2" s="1846" t="s">
        <v>1319</v>
      </c>
      <c r="W2" s="1849" t="s">
        <v>1285</v>
      </c>
      <c r="X2" s="1866" t="s">
        <v>1297</v>
      </c>
      <c r="Y2" s="1860" t="s">
        <v>340</v>
      </c>
      <c r="Z2" s="1861"/>
      <c r="AA2" s="1867" t="s">
        <v>371</v>
      </c>
      <c r="AB2" s="1867" t="s">
        <v>383</v>
      </c>
      <c r="AC2" s="1864" t="s">
        <v>29</v>
      </c>
    </row>
    <row r="3" spans="1:53" s="447" customFormat="1" thickBot="1">
      <c r="A3" s="1879"/>
      <c r="B3" s="1880"/>
      <c r="C3" s="1839"/>
      <c r="D3" s="1839"/>
      <c r="E3" s="1881"/>
      <c r="F3" s="1838"/>
      <c r="G3" s="1873"/>
      <c r="H3" s="1875"/>
      <c r="I3" s="1838"/>
      <c r="J3" s="1838"/>
      <c r="K3" s="1839"/>
      <c r="L3" s="1839"/>
      <c r="M3" s="1857"/>
      <c r="N3" s="1871"/>
      <c r="O3" s="1839"/>
      <c r="P3" s="1877"/>
      <c r="Q3" s="1869"/>
      <c r="R3" s="1870"/>
      <c r="S3" s="1878"/>
      <c r="T3" s="1848"/>
      <c r="U3" s="1848"/>
      <c r="V3" s="1848"/>
      <c r="W3" s="1850"/>
      <c r="X3" s="1850"/>
      <c r="Y3" s="491" t="s">
        <v>350</v>
      </c>
      <c r="Z3" s="491" t="s">
        <v>351</v>
      </c>
      <c r="AA3" s="1868"/>
      <c r="AB3" s="1868"/>
      <c r="AC3" s="1865"/>
      <c r="AD3" s="446"/>
      <c r="AE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</row>
    <row r="4" spans="1:53" s="439" customFormat="1" ht="15.75">
      <c r="A4" s="434"/>
      <c r="B4" s="434"/>
      <c r="C4" s="434"/>
      <c r="D4" s="434"/>
      <c r="E4" s="435" t="s">
        <v>58</v>
      </c>
      <c r="F4" s="464" t="s">
        <v>517</v>
      </c>
      <c r="G4" s="464"/>
      <c r="H4" s="464"/>
      <c r="I4" s="429" t="s">
        <v>525</v>
      </c>
      <c r="J4" s="429" t="s">
        <v>1301</v>
      </c>
      <c r="K4" s="464">
        <v>463</v>
      </c>
      <c r="L4" s="464"/>
      <c r="M4" s="927"/>
      <c r="N4" s="443">
        <f t="shared" ref="N4:N15" si="0">K4*L4</f>
        <v>0</v>
      </c>
      <c r="O4" s="438">
        <f>IFERROR(LOOKUP(1,0/((印刷機資料庫!$F$2:$F$46=F4)*(印刷機資料庫!$G$2:$G$46=J4)),印刷機資料庫!$J$2:$J$46),0)</f>
        <v>1000</v>
      </c>
      <c r="P4" s="438"/>
      <c r="Q4" s="442">
        <f t="shared" ref="Q4:Q15" si="1">IFERROR(P4/(M4+P4),0)</f>
        <v>0</v>
      </c>
      <c r="R4" s="482">
        <f>IFERROR(LOOKUP(1,0/((印刷機資料庫!$F$2:$F$46=F4)*(印刷機資料庫!$G$2:$G$46=J4)),印刷機資料庫!$I$2:$I$46),0)</f>
        <v>200</v>
      </c>
      <c r="S4" s="900">
        <f>IFERROR(LOOKUP(1,0/((印刷機資料庫!$F$2:$F$46=F4)*(印刷機資料庫!$G$2:$G$46=J4)),印刷機資料庫!$K$2:$K$46),0)</f>
        <v>132</v>
      </c>
      <c r="T4" s="898">
        <f t="shared" ref="T4:T15" si="2">IFERROR(L4/S4,0)</f>
        <v>0</v>
      </c>
      <c r="U4" s="923">
        <f t="shared" ref="U4:U15" si="3">IFERROR(R4*X4*60/O4,0)</f>
        <v>0</v>
      </c>
      <c r="V4" s="898">
        <f t="shared" ref="V4:V15" si="4">IFERROR(L4/U4,0)</f>
        <v>0</v>
      </c>
      <c r="W4" s="953"/>
      <c r="X4" s="478"/>
      <c r="Y4" s="438">
        <v>0</v>
      </c>
      <c r="Z4" s="482">
        <v>0</v>
      </c>
      <c r="AA4" s="536"/>
      <c r="AB4" s="438"/>
      <c r="AC4" s="438"/>
    </row>
    <row r="5" spans="1:53" s="439" customFormat="1" ht="15.75">
      <c r="A5" s="434"/>
      <c r="B5" s="434"/>
      <c r="C5" s="434"/>
      <c r="D5" s="434"/>
      <c r="E5" s="435" t="s">
        <v>58</v>
      </c>
      <c r="F5" s="464" t="s">
        <v>518</v>
      </c>
      <c r="G5" s="464"/>
      <c r="H5" s="464"/>
      <c r="I5" s="429" t="s">
        <v>526</v>
      </c>
      <c r="J5" s="429" t="s">
        <v>1301</v>
      </c>
      <c r="K5" s="464">
        <v>636</v>
      </c>
      <c r="L5" s="464"/>
      <c r="M5" s="927"/>
      <c r="N5" s="443">
        <f t="shared" si="0"/>
        <v>0</v>
      </c>
      <c r="O5" s="438">
        <f>IFERROR(LOOKUP(1,0/((印刷機資料庫!$F$2:$F$46=F5)*(印刷機資料庫!$G$2:$G$46=J5)),印刷機資料庫!$J$2:$J$46),0)</f>
        <v>1000</v>
      </c>
      <c r="P5" s="438"/>
      <c r="Q5" s="442">
        <f t="shared" si="1"/>
        <v>0</v>
      </c>
      <c r="R5" s="482">
        <f>IFERROR(LOOKUP(1,0/((印刷機資料庫!$F$2:$F$46=F5)*(印刷機資料庫!$G$2:$G$46=J5)),印刷機資料庫!$I$2:$I$46),0)</f>
        <v>200</v>
      </c>
      <c r="S5" s="900">
        <f>IFERROR(LOOKUP(1,0/((印刷機資料庫!$F$2:$F$46=F5)*(印刷機資料庫!$G$2:$G$46=J5)),印刷機資料庫!$K$2:$K$46),0)</f>
        <v>132</v>
      </c>
      <c r="T5" s="898">
        <f t="shared" si="2"/>
        <v>0</v>
      </c>
      <c r="U5" s="923">
        <f t="shared" si="3"/>
        <v>0</v>
      </c>
      <c r="V5" s="898">
        <f t="shared" si="4"/>
        <v>0</v>
      </c>
      <c r="W5" s="953"/>
      <c r="X5" s="478"/>
      <c r="Y5" s="438">
        <v>0</v>
      </c>
      <c r="Z5" s="482">
        <v>0</v>
      </c>
      <c r="AA5" s="536"/>
      <c r="AB5" s="438"/>
      <c r="AC5" s="438"/>
    </row>
    <row r="6" spans="1:53" s="439" customFormat="1" ht="15.75">
      <c r="A6" s="434"/>
      <c r="B6" s="434"/>
      <c r="C6" s="434"/>
      <c r="D6" s="434"/>
      <c r="E6" s="435" t="s">
        <v>58</v>
      </c>
      <c r="F6" s="464" t="s">
        <v>519</v>
      </c>
      <c r="G6" s="464"/>
      <c r="H6" s="464"/>
      <c r="I6" s="429" t="s">
        <v>527</v>
      </c>
      <c r="J6" s="429" t="s">
        <v>1301</v>
      </c>
      <c r="K6" s="464">
        <v>720</v>
      </c>
      <c r="L6" s="464"/>
      <c r="M6" s="927"/>
      <c r="N6" s="443">
        <f t="shared" si="0"/>
        <v>0</v>
      </c>
      <c r="O6" s="438">
        <f>IFERROR(LOOKUP(1,0/((印刷機資料庫!$F$2:$F$46=F6)*(印刷機資料庫!$G$2:$G$46=J6)),印刷機資料庫!$J$2:$J$46),0)</f>
        <v>1000</v>
      </c>
      <c r="P6" s="438"/>
      <c r="Q6" s="442">
        <f t="shared" si="1"/>
        <v>0</v>
      </c>
      <c r="R6" s="482">
        <f>IFERROR(LOOKUP(1,0/((印刷機資料庫!$F$2:$F$46=F6)*(印刷機資料庫!$G$2:$G$46=J6)),印刷機資料庫!$I$2:$I$46),0)</f>
        <v>200</v>
      </c>
      <c r="S6" s="900">
        <f>IFERROR(LOOKUP(1,0/((印刷機資料庫!$F$2:$F$46=F6)*(印刷機資料庫!$G$2:$G$46=J6)),印刷機資料庫!$K$2:$K$46),0)</f>
        <v>132</v>
      </c>
      <c r="T6" s="898">
        <f t="shared" si="2"/>
        <v>0</v>
      </c>
      <c r="U6" s="923">
        <f t="shared" si="3"/>
        <v>0</v>
      </c>
      <c r="V6" s="898">
        <f t="shared" si="4"/>
        <v>0</v>
      </c>
      <c r="W6" s="953"/>
      <c r="X6" s="478"/>
      <c r="Y6" s="438">
        <v>0</v>
      </c>
      <c r="Z6" s="482">
        <v>0</v>
      </c>
      <c r="AA6" s="536"/>
      <c r="AB6" s="438"/>
      <c r="AC6" s="438"/>
    </row>
    <row r="7" spans="1:53" s="439" customFormat="1" ht="15.75">
      <c r="A7" s="434"/>
      <c r="B7" s="434"/>
      <c r="C7" s="434"/>
      <c r="D7" s="434"/>
      <c r="E7" s="435" t="s">
        <v>58</v>
      </c>
      <c r="F7" s="464" t="s">
        <v>520</v>
      </c>
      <c r="G7" s="464"/>
      <c r="H7" s="464"/>
      <c r="I7" s="429" t="s">
        <v>528</v>
      </c>
      <c r="J7" s="429" t="s">
        <v>1301</v>
      </c>
      <c r="K7" s="464">
        <v>860</v>
      </c>
      <c r="L7" s="464"/>
      <c r="M7" s="927"/>
      <c r="N7" s="443">
        <f t="shared" si="0"/>
        <v>0</v>
      </c>
      <c r="O7" s="438">
        <f>IFERROR(LOOKUP(1,0/((印刷機資料庫!$F$2:$F$46=F7)*(印刷機資料庫!$G$2:$G$46=J7)),印刷機資料庫!$J$2:$J$46),0)</f>
        <v>1000</v>
      </c>
      <c r="P7" s="438"/>
      <c r="Q7" s="442">
        <f t="shared" si="1"/>
        <v>0</v>
      </c>
      <c r="R7" s="482">
        <f>IFERROR(LOOKUP(1,0/((印刷機資料庫!$F$2:$F$46=F7)*(印刷機資料庫!$G$2:$G$46=J7)),印刷機資料庫!$I$2:$I$46),0)</f>
        <v>200</v>
      </c>
      <c r="S7" s="900">
        <f>IFERROR(LOOKUP(1,0/((印刷機資料庫!$F$2:$F$46=F7)*(印刷機資料庫!$G$2:$G$46=J7)),印刷機資料庫!$K$2:$K$46),0)</f>
        <v>132</v>
      </c>
      <c r="T7" s="898">
        <f t="shared" si="2"/>
        <v>0</v>
      </c>
      <c r="U7" s="923">
        <f t="shared" si="3"/>
        <v>0</v>
      </c>
      <c r="V7" s="898">
        <f t="shared" si="4"/>
        <v>0</v>
      </c>
      <c r="W7" s="953"/>
      <c r="X7" s="478"/>
      <c r="Y7" s="438">
        <v>0</v>
      </c>
      <c r="Z7" s="482">
        <v>0</v>
      </c>
      <c r="AA7" s="536"/>
      <c r="AB7" s="438"/>
      <c r="AC7" s="438"/>
    </row>
    <row r="8" spans="1:53" s="439" customFormat="1" ht="15.75">
      <c r="A8" s="434"/>
      <c r="B8" s="434"/>
      <c r="C8" s="434"/>
      <c r="D8" s="434"/>
      <c r="E8" s="435" t="s">
        <v>58</v>
      </c>
      <c r="F8" s="464" t="s">
        <v>521</v>
      </c>
      <c r="G8" s="464"/>
      <c r="H8" s="464"/>
      <c r="I8" s="429" t="s">
        <v>529</v>
      </c>
      <c r="J8" s="429" t="s">
        <v>1301</v>
      </c>
      <c r="K8" s="464">
        <v>980</v>
      </c>
      <c r="L8" s="464"/>
      <c r="M8" s="927"/>
      <c r="N8" s="443">
        <f t="shared" si="0"/>
        <v>0</v>
      </c>
      <c r="O8" s="438">
        <f>IFERROR(LOOKUP(1,0/((印刷機資料庫!$F$2:$F$46=F8)*(印刷機資料庫!$G$2:$G$46=J8)),印刷機資料庫!$J$2:$J$46),0)</f>
        <v>1000</v>
      </c>
      <c r="P8" s="438"/>
      <c r="Q8" s="442">
        <f t="shared" si="1"/>
        <v>0</v>
      </c>
      <c r="R8" s="482">
        <f>IFERROR(LOOKUP(1,0/((印刷機資料庫!$F$2:$F$46=F8)*(印刷機資料庫!$G$2:$G$46=J8)),印刷機資料庫!$I$2:$I$46),0)</f>
        <v>200</v>
      </c>
      <c r="S8" s="900">
        <f>IFERROR(LOOKUP(1,0/((印刷機資料庫!$F$2:$F$46=F8)*(印刷機資料庫!$G$2:$G$46=J8)),印刷機資料庫!$K$2:$K$46),0)</f>
        <v>132</v>
      </c>
      <c r="T8" s="898">
        <f t="shared" si="2"/>
        <v>0</v>
      </c>
      <c r="U8" s="923">
        <f t="shared" si="3"/>
        <v>0</v>
      </c>
      <c r="V8" s="898">
        <f t="shared" si="4"/>
        <v>0</v>
      </c>
      <c r="W8" s="953"/>
      <c r="X8" s="478"/>
      <c r="Y8" s="438">
        <v>0</v>
      </c>
      <c r="Z8" s="482">
        <v>0</v>
      </c>
      <c r="AA8" s="536"/>
      <c r="AB8" s="438"/>
      <c r="AC8" s="438"/>
    </row>
    <row r="9" spans="1:53" s="439" customFormat="1" ht="15.75">
      <c r="A9" s="434"/>
      <c r="B9" s="434"/>
      <c r="C9" s="434"/>
      <c r="D9" s="434"/>
      <c r="E9" s="435" t="s">
        <v>58</v>
      </c>
      <c r="F9" s="464" t="s">
        <v>522</v>
      </c>
      <c r="G9" s="464"/>
      <c r="H9" s="464"/>
      <c r="I9" s="429" t="s">
        <v>530</v>
      </c>
      <c r="J9" s="429" t="s">
        <v>1301</v>
      </c>
      <c r="K9" s="464">
        <v>720</v>
      </c>
      <c r="L9" s="464"/>
      <c r="M9" s="927"/>
      <c r="N9" s="443">
        <f t="shared" si="0"/>
        <v>0</v>
      </c>
      <c r="O9" s="438">
        <f>IFERROR(LOOKUP(1,0/((印刷機資料庫!$F$2:$F$46=F9)*(印刷機資料庫!$G$2:$G$46=J9)),印刷機資料庫!$J$2:$J$46),0)</f>
        <v>1000</v>
      </c>
      <c r="P9" s="438"/>
      <c r="Q9" s="442">
        <f t="shared" si="1"/>
        <v>0</v>
      </c>
      <c r="R9" s="482">
        <f>IFERROR(LOOKUP(1,0/((印刷機資料庫!$F$2:$F$46=F9)*(印刷機資料庫!$G$2:$G$46=J9)),印刷機資料庫!$I$2:$I$46),0)</f>
        <v>200</v>
      </c>
      <c r="S9" s="900">
        <f>IFERROR(LOOKUP(1,0/((印刷機資料庫!$F$2:$F$46=F9)*(印刷機資料庫!$G$2:$G$46=J9)),印刷機資料庫!$K$2:$K$46),0)</f>
        <v>132</v>
      </c>
      <c r="T9" s="898">
        <f t="shared" si="2"/>
        <v>0</v>
      </c>
      <c r="U9" s="923">
        <f t="shared" si="3"/>
        <v>0</v>
      </c>
      <c r="V9" s="898">
        <f t="shared" si="4"/>
        <v>0</v>
      </c>
      <c r="W9" s="953"/>
      <c r="X9" s="478"/>
      <c r="Y9" s="438">
        <v>0</v>
      </c>
      <c r="Z9" s="482">
        <v>0</v>
      </c>
      <c r="AA9" s="536"/>
      <c r="AB9" s="438"/>
      <c r="AC9" s="438"/>
    </row>
    <row r="10" spans="1:53" s="439" customFormat="1" ht="15.75">
      <c r="A10" s="434"/>
      <c r="B10" s="434"/>
      <c r="C10" s="434"/>
      <c r="D10" s="434"/>
      <c r="E10" s="435" t="s">
        <v>58</v>
      </c>
      <c r="F10" s="464" t="s">
        <v>523</v>
      </c>
      <c r="G10" s="464"/>
      <c r="H10" s="464"/>
      <c r="I10" s="429" t="s">
        <v>531</v>
      </c>
      <c r="J10" s="429" t="s">
        <v>1301</v>
      </c>
      <c r="K10" s="464">
        <v>830</v>
      </c>
      <c r="L10" s="464"/>
      <c r="M10" s="927"/>
      <c r="N10" s="443">
        <f t="shared" si="0"/>
        <v>0</v>
      </c>
      <c r="O10" s="438">
        <f>IFERROR(LOOKUP(1,0/((印刷機資料庫!$F$2:$F$46=F10)*(印刷機資料庫!$G$2:$G$46=J10)),印刷機資料庫!$J$2:$J$46),0)</f>
        <v>1000</v>
      </c>
      <c r="P10" s="438"/>
      <c r="Q10" s="442">
        <f t="shared" si="1"/>
        <v>0</v>
      </c>
      <c r="R10" s="482">
        <f>IFERROR(LOOKUP(1,0/((印刷機資料庫!$F$2:$F$46=F10)*(印刷機資料庫!$G$2:$G$46=J10)),印刷機資料庫!$I$2:$I$46),0)</f>
        <v>200</v>
      </c>
      <c r="S10" s="900">
        <f>IFERROR(LOOKUP(1,0/((印刷機資料庫!$F$2:$F$46=F10)*(印刷機資料庫!$G$2:$G$46=J10)),印刷機資料庫!$K$2:$K$46),0)</f>
        <v>132</v>
      </c>
      <c r="T10" s="898">
        <f t="shared" si="2"/>
        <v>0</v>
      </c>
      <c r="U10" s="923">
        <f t="shared" si="3"/>
        <v>0</v>
      </c>
      <c r="V10" s="898">
        <f t="shared" si="4"/>
        <v>0</v>
      </c>
      <c r="W10" s="953"/>
      <c r="X10" s="478"/>
      <c r="Y10" s="438">
        <v>0</v>
      </c>
      <c r="Z10" s="482">
        <v>0</v>
      </c>
      <c r="AA10" s="536"/>
      <c r="AB10" s="438"/>
      <c r="AC10" s="438"/>
    </row>
    <row r="11" spans="1:53" s="439" customFormat="1" ht="15.75">
      <c r="A11" s="434"/>
      <c r="B11" s="434"/>
      <c r="C11" s="434"/>
      <c r="D11" s="434"/>
      <c r="E11" s="435" t="s">
        <v>58</v>
      </c>
      <c r="F11" s="464" t="s">
        <v>524</v>
      </c>
      <c r="G11" s="464"/>
      <c r="H11" s="464"/>
      <c r="I11" s="429" t="s">
        <v>532</v>
      </c>
      <c r="J11" s="429" t="s">
        <v>1301</v>
      </c>
      <c r="K11" s="464">
        <v>900</v>
      </c>
      <c r="L11" s="464"/>
      <c r="M11" s="927"/>
      <c r="N11" s="443">
        <f t="shared" si="0"/>
        <v>0</v>
      </c>
      <c r="O11" s="438">
        <f>IFERROR(LOOKUP(1,0/((印刷機資料庫!$F$2:$F$46=F11)*(印刷機資料庫!$G$2:$G$46=J11)),印刷機資料庫!$J$2:$J$46),0)</f>
        <v>1000</v>
      </c>
      <c r="P11" s="438"/>
      <c r="Q11" s="442">
        <f t="shared" si="1"/>
        <v>0</v>
      </c>
      <c r="R11" s="482">
        <f>IFERROR(LOOKUP(1,0/((印刷機資料庫!$F$2:$F$46=F11)*(印刷機資料庫!$G$2:$G$46=J11)),印刷機資料庫!$I$2:$I$46),0)</f>
        <v>200</v>
      </c>
      <c r="S11" s="900">
        <f>IFERROR(LOOKUP(1,0/((印刷機資料庫!$F$2:$F$46=F11)*(印刷機資料庫!$G$2:$G$46=J11)),印刷機資料庫!$K$2:$K$46),0)</f>
        <v>132</v>
      </c>
      <c r="T11" s="898">
        <f t="shared" si="2"/>
        <v>0</v>
      </c>
      <c r="U11" s="923">
        <f t="shared" si="3"/>
        <v>0</v>
      </c>
      <c r="V11" s="898">
        <f t="shared" si="4"/>
        <v>0</v>
      </c>
      <c r="W11" s="953"/>
      <c r="X11" s="478"/>
      <c r="Y11" s="438">
        <v>0</v>
      </c>
      <c r="Z11" s="482">
        <v>0</v>
      </c>
      <c r="AA11" s="536"/>
      <c r="AB11" s="438"/>
      <c r="AC11" s="438"/>
    </row>
    <row r="12" spans="1:53" s="439" customFormat="1" ht="15.75">
      <c r="A12" s="434"/>
      <c r="B12" s="434"/>
      <c r="C12" s="434"/>
      <c r="D12" s="434"/>
      <c r="E12" s="435" t="s">
        <v>664</v>
      </c>
      <c r="F12" s="464" t="s">
        <v>1405</v>
      </c>
      <c r="G12" s="464"/>
      <c r="H12" s="464"/>
      <c r="I12" s="429" t="s">
        <v>533</v>
      </c>
      <c r="J12" s="429" t="s">
        <v>1301</v>
      </c>
      <c r="K12" s="464">
        <v>880</v>
      </c>
      <c r="L12" s="464"/>
      <c r="M12" s="927"/>
      <c r="N12" s="443">
        <f t="shared" si="0"/>
        <v>0</v>
      </c>
      <c r="O12" s="438">
        <f>IFERROR(LOOKUP(1,0/((印刷機資料庫!$F$2:$F$46=F12)*(印刷機資料庫!$G$2:$G$46=J12)),印刷機資料庫!$J$2:$J$46),0)</f>
        <v>2000</v>
      </c>
      <c r="P12" s="438"/>
      <c r="Q12" s="442">
        <f t="shared" si="1"/>
        <v>0</v>
      </c>
      <c r="R12" s="482">
        <f>IFERROR(LOOKUP(1,0/((印刷機資料庫!$F$2:$F$46=F12)*(印刷機資料庫!$G$2:$G$46=J12)),印刷機資料庫!$I$2:$I$46),0)</f>
        <v>200</v>
      </c>
      <c r="S12" s="900">
        <f>IFERROR(LOOKUP(1,0/((印刷機資料庫!$F$2:$F$46=F12)*(印刷機資料庫!$G$2:$G$46=J12)),印刷機資料庫!$K$2:$K$46),0)</f>
        <v>66</v>
      </c>
      <c r="T12" s="898">
        <f>IFERROR(L12/S12,0)</f>
        <v>0</v>
      </c>
      <c r="U12" s="923">
        <f t="shared" si="3"/>
        <v>0</v>
      </c>
      <c r="V12" s="898">
        <f t="shared" si="4"/>
        <v>0</v>
      </c>
      <c r="W12" s="953"/>
      <c r="X12" s="478"/>
      <c r="Y12" s="438">
        <v>0</v>
      </c>
      <c r="Z12" s="482">
        <v>0</v>
      </c>
      <c r="AA12" s="536"/>
      <c r="AB12" s="438"/>
      <c r="AC12" s="438"/>
    </row>
    <row r="13" spans="1:53" s="439" customFormat="1" ht="15.75">
      <c r="A13" s="434"/>
      <c r="B13" s="434"/>
      <c r="C13" s="434"/>
      <c r="D13" s="434"/>
      <c r="E13" s="435" t="s">
        <v>664</v>
      </c>
      <c r="F13" s="464" t="s">
        <v>1406</v>
      </c>
      <c r="G13" s="464"/>
      <c r="H13" s="464"/>
      <c r="I13" s="429" t="s">
        <v>534</v>
      </c>
      <c r="J13" s="429" t="s">
        <v>1301</v>
      </c>
      <c r="K13" s="464">
        <v>1100</v>
      </c>
      <c r="L13" s="464"/>
      <c r="M13" s="927"/>
      <c r="N13" s="443">
        <f t="shared" si="0"/>
        <v>0</v>
      </c>
      <c r="O13" s="438">
        <f>IFERROR(LOOKUP(1,0/((印刷機資料庫!$F$2:$F$46=F13)*(印刷機資料庫!$G$2:$G$46=J13)),印刷機資料庫!$J$2:$J$46),0)</f>
        <v>2000</v>
      </c>
      <c r="P13" s="438"/>
      <c r="Q13" s="442">
        <f t="shared" si="1"/>
        <v>0</v>
      </c>
      <c r="R13" s="482">
        <f>IFERROR(LOOKUP(1,0/((印刷機資料庫!$F$2:$F$46=F13)*(印刷機資料庫!$G$2:$G$46=J13)),印刷機資料庫!$I$2:$I$46),0)</f>
        <v>200</v>
      </c>
      <c r="S13" s="900">
        <f>IFERROR(LOOKUP(1,0/((印刷機資料庫!$F$2:$F$46=F13)*(印刷機資料庫!$G$2:$G$46=J13)),印刷機資料庫!$K$2:$K$46),0)</f>
        <v>66</v>
      </c>
      <c r="T13" s="898">
        <f t="shared" si="2"/>
        <v>0</v>
      </c>
      <c r="U13" s="923">
        <f t="shared" si="3"/>
        <v>0</v>
      </c>
      <c r="V13" s="898">
        <f t="shared" si="4"/>
        <v>0</v>
      </c>
      <c r="W13" s="953"/>
      <c r="X13" s="478"/>
      <c r="Y13" s="438">
        <v>0</v>
      </c>
      <c r="Z13" s="482">
        <v>0</v>
      </c>
      <c r="AA13" s="536"/>
      <c r="AB13" s="438"/>
      <c r="AC13" s="438"/>
    </row>
    <row r="14" spans="1:53" s="439" customFormat="1" ht="15.75">
      <c r="A14" s="434"/>
      <c r="B14" s="434"/>
      <c r="C14" s="434"/>
      <c r="D14" s="434"/>
      <c r="E14" s="435" t="s">
        <v>664</v>
      </c>
      <c r="F14" s="464" t="s">
        <v>661</v>
      </c>
      <c r="G14" s="464"/>
      <c r="H14" s="464"/>
      <c r="I14" s="429" t="s">
        <v>674</v>
      </c>
      <c r="J14" s="429" t="s">
        <v>1301</v>
      </c>
      <c r="K14" s="464">
        <v>800</v>
      </c>
      <c r="L14" s="464"/>
      <c r="M14" s="927"/>
      <c r="N14" s="443">
        <f t="shared" si="0"/>
        <v>0</v>
      </c>
      <c r="O14" s="438">
        <f>IFERROR(LOOKUP(1,0/((印刷機資料庫!$F$2:$F$46=F14)*(印刷機資料庫!$G$2:$G$46=J14)),印刷機資料庫!$J$2:$J$46),0)</f>
        <v>1000</v>
      </c>
      <c r="P14" s="438"/>
      <c r="Q14" s="442">
        <f t="shared" si="1"/>
        <v>0</v>
      </c>
      <c r="R14" s="482">
        <f>IFERROR(LOOKUP(1,0/((印刷機資料庫!$F$2:$F$46=F14)*(印刷機資料庫!$G$2:$G$46=J14)),印刷機資料庫!$I$2:$I$46),0)</f>
        <v>200</v>
      </c>
      <c r="S14" s="900">
        <f>IFERROR(LOOKUP(1,0/((印刷機資料庫!$F$2:$F$46=F14)*(印刷機資料庫!$G$2:$G$46=J14)),印刷機資料庫!$K$2:$K$46),0)</f>
        <v>132</v>
      </c>
      <c r="T14" s="898">
        <f t="shared" si="2"/>
        <v>0</v>
      </c>
      <c r="U14" s="923">
        <f t="shared" si="3"/>
        <v>0</v>
      </c>
      <c r="V14" s="898">
        <f t="shared" si="4"/>
        <v>0</v>
      </c>
      <c r="W14" s="953"/>
      <c r="X14" s="478"/>
      <c r="Y14" s="438">
        <v>0</v>
      </c>
      <c r="Z14" s="482">
        <v>0</v>
      </c>
      <c r="AA14" s="536"/>
      <c r="AB14" s="438"/>
      <c r="AC14" s="438"/>
    </row>
    <row r="15" spans="1:53" s="439" customFormat="1" ht="15.75">
      <c r="A15" s="434"/>
      <c r="B15" s="434"/>
      <c r="C15" s="434"/>
      <c r="D15" s="434"/>
      <c r="E15" s="435" t="s">
        <v>664</v>
      </c>
      <c r="F15" s="464" t="s">
        <v>662</v>
      </c>
      <c r="G15" s="464"/>
      <c r="H15" s="464"/>
      <c r="I15" s="429" t="s">
        <v>47</v>
      </c>
      <c r="J15" s="429" t="s">
        <v>1301</v>
      </c>
      <c r="K15" s="464">
        <v>840</v>
      </c>
      <c r="L15" s="464"/>
      <c r="M15" s="927"/>
      <c r="N15" s="443">
        <f t="shared" si="0"/>
        <v>0</v>
      </c>
      <c r="O15" s="438">
        <f>IFERROR(LOOKUP(1,0/((印刷機資料庫!$F$2:$F$46=F15)*(印刷機資料庫!$G$2:$G$46=J15)),印刷機資料庫!$J$2:$J$46),0)</f>
        <v>1000</v>
      </c>
      <c r="P15" s="438"/>
      <c r="Q15" s="442">
        <f t="shared" si="1"/>
        <v>0</v>
      </c>
      <c r="R15" s="482">
        <f>IFERROR(LOOKUP(1,0/((印刷機資料庫!$F$2:$F$46=F15)*(印刷機資料庫!$G$2:$G$46=J15)),印刷機資料庫!$I$2:$I$46),0)</f>
        <v>200</v>
      </c>
      <c r="S15" s="900">
        <f>IFERROR(LOOKUP(1,0/((印刷機資料庫!$F$2:$F$46=F15)*(印刷機資料庫!$G$2:$G$46=J15)),印刷機資料庫!$K$2:$K$46),0)</f>
        <v>132</v>
      </c>
      <c r="T15" s="898">
        <f t="shared" si="2"/>
        <v>0</v>
      </c>
      <c r="U15" s="923">
        <f t="shared" si="3"/>
        <v>0</v>
      </c>
      <c r="V15" s="898">
        <f t="shared" si="4"/>
        <v>0</v>
      </c>
      <c r="W15" s="953"/>
      <c r="X15" s="478"/>
      <c r="Y15" s="438">
        <v>0</v>
      </c>
      <c r="Z15" s="482">
        <v>0</v>
      </c>
      <c r="AA15" s="536"/>
      <c r="AB15" s="438"/>
      <c r="AC15" s="438"/>
    </row>
    <row r="16" spans="1:53" s="439" customFormat="1" thickBot="1">
      <c r="A16" s="496"/>
      <c r="B16" s="496"/>
      <c r="C16" s="496"/>
      <c r="D16" s="496"/>
      <c r="E16" s="497"/>
      <c r="F16" s="994"/>
      <c r="G16" s="500"/>
      <c r="H16" s="500"/>
      <c r="I16" s="498"/>
      <c r="J16" s="498"/>
      <c r="K16" s="500"/>
      <c r="L16" s="500"/>
      <c r="M16" s="991"/>
      <c r="N16" s="501"/>
      <c r="O16" s="499">
        <f>IFERROR(LOOKUP(1,0/((印刷機資料庫!$F$2:$F$46=F16)*(印刷機資料庫!$G$2:$G$46=J16)),印刷機資料庫!$J$2:$J$46),0)</f>
        <v>0</v>
      </c>
      <c r="P16" s="499"/>
      <c r="Q16" s="503"/>
      <c r="R16" s="509">
        <f>IFERROR(LOOKUP(1,0/((印刷機資料庫!$F$2:$F$46=F16)*(印刷機資料庫!$G$2:$G$46=J16)),印刷機資料庫!$I$2:$I$46),0)</f>
        <v>0</v>
      </c>
      <c r="S16" s="991">
        <f>IFERROR(LOOKUP(1,0/((印刷機資料庫!$F$2:$F$46=F16)*(印刷機資料庫!$G$2:$G$46=J16)),印刷機資料庫!$K$2:$K$46),0)</f>
        <v>0</v>
      </c>
      <c r="T16" s="551"/>
      <c r="U16" s="551"/>
      <c r="V16" s="551"/>
      <c r="W16" s="954"/>
      <c r="X16" s="508"/>
      <c r="Y16" s="499"/>
      <c r="Z16" s="509"/>
      <c r="AA16" s="529"/>
      <c r="AB16" s="499"/>
      <c r="AC16" s="499"/>
    </row>
    <row r="17" spans="1:29" s="433" customFormat="1" ht="15.75">
      <c r="A17" s="889">
        <v>11</v>
      </c>
      <c r="B17" s="889">
        <v>1</v>
      </c>
      <c r="C17" s="889" t="s">
        <v>720</v>
      </c>
      <c r="D17" s="889" t="s">
        <v>691</v>
      </c>
      <c r="E17" s="963" t="s">
        <v>736</v>
      </c>
      <c r="F17" s="993"/>
      <c r="G17" s="532"/>
      <c r="H17" s="532">
        <f>IFERROR(#REF!*G17,0)</f>
        <v>0</v>
      </c>
      <c r="I17" s="964"/>
      <c r="J17" s="964"/>
      <c r="K17" s="532"/>
      <c r="L17" s="480"/>
      <c r="M17" s="927">
        <f>L17*O17</f>
        <v>0</v>
      </c>
      <c r="N17" s="995">
        <f t="shared" ref="N17:N26" si="5">K17*L17</f>
        <v>0</v>
      </c>
      <c r="O17" s="480">
        <f>IFERROR(LOOKUP(1,0/((印刷機資料庫!$F$2:$F$46=F17)*(印刷機資料庫!$G$2:$G$46=J17)),印刷機資料庫!$J$2:$J$46),0)</f>
        <v>0</v>
      </c>
      <c r="P17" s="965"/>
      <c r="Q17" s="493"/>
      <c r="R17" s="968">
        <f>IFERROR(LOOKUP(1,0/((印刷機資料庫!$F$2:$F$46=F17)*(印刷機資料庫!$G$2:$G$46=J17)),印刷機資料庫!$I$2:$I$46),0)</f>
        <v>0</v>
      </c>
      <c r="S17" s="927">
        <f>IFERROR(LOOKUP(1,0/((印刷機資料庫!$F$2:$F$46=F17)*(印刷機資料庫!$G$2:$G$46=J17)),印刷機資料庫!$K$2:$K$46),0)</f>
        <v>0</v>
      </c>
      <c r="T17" s="996">
        <f>IFERROR(L17/S17,0)</f>
        <v>0</v>
      </c>
      <c r="U17" s="987">
        <f>IFERROR(R17*X17*60/O17,0)</f>
        <v>0</v>
      </c>
      <c r="V17" s="996">
        <f>IFERROR(L17/U17,0)</f>
        <v>0</v>
      </c>
      <c r="W17" s="971"/>
      <c r="X17" s="997">
        <f>Y17+Z17/60</f>
        <v>0</v>
      </c>
      <c r="Y17" s="480"/>
      <c r="Z17" s="968"/>
      <c r="AA17" s="998"/>
      <c r="AB17" s="480"/>
      <c r="AC17" s="480"/>
    </row>
    <row r="18" spans="1:29" s="433" customFormat="1" ht="15.75">
      <c r="A18" s="581">
        <v>11</v>
      </c>
      <c r="B18" s="581">
        <v>1</v>
      </c>
      <c r="C18" s="581" t="s">
        <v>720</v>
      </c>
      <c r="D18" s="581" t="s">
        <v>0</v>
      </c>
      <c r="E18" s="435" t="s">
        <v>736</v>
      </c>
      <c r="F18" s="992"/>
      <c r="G18" s="464"/>
      <c r="H18" s="464">
        <f>IFERROR(#REF!*G18,0)</f>
        <v>0</v>
      </c>
      <c r="I18" s="429"/>
      <c r="J18" s="429"/>
      <c r="K18" s="464"/>
      <c r="L18" s="438"/>
      <c r="M18" s="900">
        <f>L18*O18</f>
        <v>0</v>
      </c>
      <c r="N18" s="901">
        <f>K18*L18</f>
        <v>0</v>
      </c>
      <c r="O18" s="438">
        <f>IFERROR(LOOKUP(1,0/((印刷機資料庫!$F$2:$F$46=F18)*(印刷機資料庫!$G$2:$G$46=J18)),印刷機資料庫!$J$2:$J$46),0)</f>
        <v>0</v>
      </c>
      <c r="P18" s="462"/>
      <c r="Q18" s="442"/>
      <c r="R18" s="482">
        <f>IFERROR(LOOKUP(1,0/((印刷機資料庫!$F$2:$F$46=F18)*(印刷機資料庫!$G$2:$G$46=J18)),印刷機資料庫!$I$2:$I$46),0)</f>
        <v>0</v>
      </c>
      <c r="S18" s="900">
        <f>IFERROR(LOOKUP(1,0/((印刷機資料庫!$F$2:$F$46=F18)*(印刷機資料庫!$G$2:$G$46=J18)),印刷機資料庫!$K$2:$K$46),0)</f>
        <v>0</v>
      </c>
      <c r="T18" s="898">
        <f t="shared" ref="T18:T54" si="6">IFERROR(L18/S18,0)</f>
        <v>0</v>
      </c>
      <c r="U18" s="923">
        <f t="shared" ref="U18:U54" si="7">IFERROR(R18*X18*60/O18,0)</f>
        <v>0</v>
      </c>
      <c r="V18" s="898">
        <f t="shared" ref="V18:V54" si="8">IFERROR(L18/U18,0)</f>
        <v>0</v>
      </c>
      <c r="W18" s="952"/>
      <c r="X18" s="899">
        <f t="shared" ref="X18:X54" si="9">Y18+Z18/60</f>
        <v>0</v>
      </c>
      <c r="Y18" s="438"/>
      <c r="Z18" s="482"/>
      <c r="AA18" s="465"/>
      <c r="AB18" s="438"/>
      <c r="AC18" s="438"/>
    </row>
    <row r="19" spans="1:29" s="433" customFormat="1" ht="15.75">
      <c r="A19" s="581">
        <v>11</v>
      </c>
      <c r="B19" s="581">
        <v>2</v>
      </c>
      <c r="C19" s="581" t="s">
        <v>755</v>
      </c>
      <c r="D19" s="581" t="s">
        <v>0</v>
      </c>
      <c r="E19" s="435" t="s">
        <v>42</v>
      </c>
      <c r="F19" s="992"/>
      <c r="G19" s="464"/>
      <c r="H19" s="464">
        <f>IFERROR(#REF!*G19,0)</f>
        <v>0</v>
      </c>
      <c r="I19" s="429"/>
      <c r="J19" s="429"/>
      <c r="K19" s="464"/>
      <c r="L19" s="438"/>
      <c r="M19" s="900">
        <f t="shared" ref="M19:M55" si="10">L19*O19</f>
        <v>0</v>
      </c>
      <c r="N19" s="901">
        <f t="shared" si="5"/>
        <v>0</v>
      </c>
      <c r="O19" s="438">
        <f>IFERROR(LOOKUP(1,0/((印刷機資料庫!$F$2:$F$46=F19)*(印刷機資料庫!$G$2:$G$46=J19)),印刷機資料庫!$J$2:$J$46),0)</f>
        <v>0</v>
      </c>
      <c r="P19" s="462"/>
      <c r="Q19" s="442"/>
      <c r="R19" s="482">
        <f>IFERROR(LOOKUP(1,0/((印刷機資料庫!$F$2:$F$46=F19)*(印刷機資料庫!$G$2:$G$46=J19)),印刷機資料庫!$I$2:$I$46),0)</f>
        <v>0</v>
      </c>
      <c r="S19" s="900">
        <f>IFERROR(LOOKUP(1,0/((印刷機資料庫!$F$2:$F$46=F19)*(印刷機資料庫!$G$2:$G$46=J19)),印刷機資料庫!$K$2:$K$46),0)</f>
        <v>0</v>
      </c>
      <c r="T19" s="898">
        <f t="shared" si="6"/>
        <v>0</v>
      </c>
      <c r="U19" s="923">
        <f>IFERROR(R19*X19*60/O19,0)</f>
        <v>0</v>
      </c>
      <c r="V19" s="898">
        <f t="shared" si="8"/>
        <v>0</v>
      </c>
      <c r="W19" s="952"/>
      <c r="X19" s="899">
        <f t="shared" si="9"/>
        <v>0</v>
      </c>
      <c r="Y19" s="438"/>
      <c r="Z19" s="482"/>
      <c r="AA19" s="465"/>
      <c r="AB19" s="438"/>
      <c r="AC19" s="438"/>
    </row>
    <row r="20" spans="1:29" s="433" customFormat="1" ht="15.75">
      <c r="A20" s="581">
        <v>11</v>
      </c>
      <c r="B20" s="581">
        <v>3</v>
      </c>
      <c r="C20" s="581" t="s">
        <v>784</v>
      </c>
      <c r="D20" s="581" t="s">
        <v>0</v>
      </c>
      <c r="E20" s="435" t="s">
        <v>42</v>
      </c>
      <c r="F20" s="992"/>
      <c r="G20" s="464"/>
      <c r="H20" s="464">
        <f>IFERROR(#REF!*G20,0)</f>
        <v>0</v>
      </c>
      <c r="I20" s="429"/>
      <c r="J20" s="429"/>
      <c r="K20" s="464"/>
      <c r="L20" s="438"/>
      <c r="M20" s="900">
        <f t="shared" si="10"/>
        <v>0</v>
      </c>
      <c r="N20" s="901">
        <f>K20*L20</f>
        <v>0</v>
      </c>
      <c r="O20" s="438">
        <f>IFERROR(LOOKUP(1,0/((印刷機資料庫!$F$2:$F$46=F20)*(印刷機資料庫!$G$2:$G$46=J20)),印刷機資料庫!$J$2:$J$46),0)</f>
        <v>0</v>
      </c>
      <c r="P20" s="462"/>
      <c r="Q20" s="442"/>
      <c r="R20" s="482">
        <f>IFERROR(LOOKUP(1,0/((印刷機資料庫!$F$2:$F$46=F20)*(印刷機資料庫!$G$2:$G$46=J20)),印刷機資料庫!$I$2:$I$46),0)</f>
        <v>0</v>
      </c>
      <c r="S20" s="900">
        <f>IFERROR(LOOKUP(1,0/((印刷機資料庫!$F$2:$F$46=F20)*(印刷機資料庫!$G$2:$G$46=J20)),印刷機資料庫!$K$2:$K$46),0)</f>
        <v>0</v>
      </c>
      <c r="T20" s="898">
        <f t="shared" si="6"/>
        <v>0</v>
      </c>
      <c r="U20" s="923">
        <f>IFERROR(R20*X20*60/O20,0)</f>
        <v>0</v>
      </c>
      <c r="V20" s="898">
        <f t="shared" si="8"/>
        <v>0</v>
      </c>
      <c r="W20" s="952"/>
      <c r="X20" s="899">
        <f t="shared" si="9"/>
        <v>0</v>
      </c>
      <c r="Y20" s="438"/>
      <c r="Z20" s="482"/>
      <c r="AA20" s="465"/>
      <c r="AB20" s="438"/>
      <c r="AC20" s="438"/>
    </row>
    <row r="21" spans="1:29" s="433" customFormat="1" ht="15.75">
      <c r="A21" s="581">
        <v>11</v>
      </c>
      <c r="B21" s="581">
        <v>4</v>
      </c>
      <c r="C21" s="581" t="s">
        <v>805</v>
      </c>
      <c r="D21" s="581" t="s">
        <v>0</v>
      </c>
      <c r="E21" s="435" t="s">
        <v>42</v>
      </c>
      <c r="F21" s="992"/>
      <c r="G21" s="464"/>
      <c r="H21" s="464">
        <f>IFERROR(#REF!*G21,0)</f>
        <v>0</v>
      </c>
      <c r="I21" s="429"/>
      <c r="J21" s="429"/>
      <c r="K21" s="464"/>
      <c r="L21" s="438"/>
      <c r="M21" s="900">
        <f t="shared" si="10"/>
        <v>0</v>
      </c>
      <c r="N21" s="901">
        <f t="shared" si="5"/>
        <v>0</v>
      </c>
      <c r="O21" s="438">
        <f>IFERROR(LOOKUP(1,0/((印刷機資料庫!$F$2:$F$46=F21)*(印刷機資料庫!$G$2:$G$46=J21)),印刷機資料庫!$J$2:$J$46),0)</f>
        <v>0</v>
      </c>
      <c r="P21" s="462"/>
      <c r="Q21" s="442"/>
      <c r="R21" s="482">
        <f>IFERROR(LOOKUP(1,0/((印刷機資料庫!$F$2:$F$46=F21)*(印刷機資料庫!$G$2:$G$46=J21)),印刷機資料庫!$I$2:$I$46),0)</f>
        <v>0</v>
      </c>
      <c r="S21" s="900">
        <f>IFERROR(LOOKUP(1,0/((印刷機資料庫!$F$2:$F$46=F21)*(印刷機資料庫!$G$2:$G$46=J21)),印刷機資料庫!$K$2:$K$46),0)</f>
        <v>0</v>
      </c>
      <c r="T21" s="898">
        <f t="shared" si="6"/>
        <v>0</v>
      </c>
      <c r="U21" s="923">
        <f t="shared" si="7"/>
        <v>0</v>
      </c>
      <c r="V21" s="898">
        <f t="shared" si="8"/>
        <v>0</v>
      </c>
      <c r="W21" s="952"/>
      <c r="X21" s="899">
        <f t="shared" si="9"/>
        <v>0</v>
      </c>
      <c r="Y21" s="438"/>
      <c r="Z21" s="482"/>
      <c r="AA21" s="465"/>
      <c r="AB21" s="438"/>
      <c r="AC21" s="438"/>
    </row>
    <row r="22" spans="1:29" s="433" customFormat="1" ht="15.75">
      <c r="A22" s="581">
        <v>11</v>
      </c>
      <c r="B22" s="581">
        <v>5</v>
      </c>
      <c r="C22" s="581" t="s">
        <v>834</v>
      </c>
      <c r="D22" s="889" t="s">
        <v>0</v>
      </c>
      <c r="E22" s="435" t="s">
        <v>42</v>
      </c>
      <c r="F22" s="992"/>
      <c r="G22" s="464"/>
      <c r="H22" s="464">
        <f>IFERROR(#REF!*G22,0)</f>
        <v>0</v>
      </c>
      <c r="I22" s="429"/>
      <c r="J22" s="429"/>
      <c r="K22" s="464"/>
      <c r="L22" s="438"/>
      <c r="M22" s="900">
        <f t="shared" si="10"/>
        <v>0</v>
      </c>
      <c r="N22" s="901">
        <f t="shared" si="5"/>
        <v>0</v>
      </c>
      <c r="O22" s="438">
        <f>IFERROR(LOOKUP(1,0/((印刷機資料庫!$F$2:$F$46=F22)*(印刷機資料庫!$G$2:$G$46=J22)),印刷機資料庫!$J$2:$J$46),0)</f>
        <v>0</v>
      </c>
      <c r="P22" s="462"/>
      <c r="Q22" s="442"/>
      <c r="R22" s="482">
        <f>IFERROR(LOOKUP(1,0/((印刷機資料庫!$F$2:$F$46=F22)*(印刷機資料庫!$G$2:$G$46=J22)),印刷機資料庫!$I$2:$I$46),0)</f>
        <v>0</v>
      </c>
      <c r="S22" s="900">
        <f>IFERROR(LOOKUP(1,0/((印刷機資料庫!$F$2:$F$46=F22)*(印刷機資料庫!$G$2:$G$46=J22)),印刷機資料庫!$K$2:$K$46),0)</f>
        <v>0</v>
      </c>
      <c r="T22" s="898">
        <f t="shared" si="6"/>
        <v>0</v>
      </c>
      <c r="U22" s="923">
        <f t="shared" si="7"/>
        <v>0</v>
      </c>
      <c r="V22" s="898">
        <f t="shared" si="8"/>
        <v>0</v>
      </c>
      <c r="W22" s="952"/>
      <c r="X22" s="899">
        <f t="shared" si="9"/>
        <v>0</v>
      </c>
      <c r="Y22" s="438"/>
      <c r="Z22" s="482"/>
      <c r="AA22" s="465"/>
      <c r="AB22" s="438"/>
      <c r="AC22" s="438"/>
    </row>
    <row r="23" spans="1:29" s="433" customFormat="1" ht="15.75">
      <c r="A23" s="581">
        <v>11</v>
      </c>
      <c r="B23" s="581">
        <v>6</v>
      </c>
      <c r="C23" s="581" t="s">
        <v>874</v>
      </c>
      <c r="D23" s="889" t="s">
        <v>0</v>
      </c>
      <c r="E23" s="435" t="s">
        <v>42</v>
      </c>
      <c r="F23" s="992"/>
      <c r="G23" s="464"/>
      <c r="H23" s="464">
        <f>IFERROR(#REF!*G23,0)</f>
        <v>0</v>
      </c>
      <c r="I23" s="429"/>
      <c r="J23" s="429"/>
      <c r="K23" s="464"/>
      <c r="L23" s="438"/>
      <c r="M23" s="900">
        <f t="shared" si="10"/>
        <v>0</v>
      </c>
      <c r="N23" s="901">
        <f t="shared" si="5"/>
        <v>0</v>
      </c>
      <c r="O23" s="438">
        <f>IFERROR(LOOKUP(1,0/((印刷機資料庫!$F$2:$F$46=F23)*(印刷機資料庫!$G$2:$G$46=J23)),印刷機資料庫!$J$2:$J$46),0)</f>
        <v>0</v>
      </c>
      <c r="P23" s="462"/>
      <c r="Q23" s="442"/>
      <c r="R23" s="482">
        <f>IFERROR(LOOKUP(1,0/((印刷機資料庫!$F$2:$F$46=F23)*(印刷機資料庫!$G$2:$G$46=J23)),印刷機資料庫!$I$2:$I$46),0)</f>
        <v>0</v>
      </c>
      <c r="S23" s="900">
        <f>IFERROR(LOOKUP(1,0/((印刷機資料庫!$F$2:$F$46=F23)*(印刷機資料庫!$G$2:$G$46=J23)),印刷機資料庫!$K$2:$K$46),0)</f>
        <v>0</v>
      </c>
      <c r="T23" s="898">
        <f t="shared" si="6"/>
        <v>0</v>
      </c>
      <c r="U23" s="923">
        <f t="shared" si="7"/>
        <v>0</v>
      </c>
      <c r="V23" s="898">
        <f t="shared" si="8"/>
        <v>0</v>
      </c>
      <c r="W23" s="952"/>
      <c r="X23" s="899">
        <f t="shared" si="9"/>
        <v>0</v>
      </c>
      <c r="Y23" s="438"/>
      <c r="Z23" s="482"/>
      <c r="AA23" s="465"/>
      <c r="AB23" s="438"/>
      <c r="AC23" s="438"/>
    </row>
    <row r="24" spans="1:29" s="433" customFormat="1" ht="15.75">
      <c r="A24" s="581">
        <v>11</v>
      </c>
      <c r="B24" s="581">
        <v>6</v>
      </c>
      <c r="C24" s="581" t="s">
        <v>874</v>
      </c>
      <c r="D24" s="889" t="s">
        <v>0</v>
      </c>
      <c r="E24" s="435" t="s">
        <v>42</v>
      </c>
      <c r="F24" s="992"/>
      <c r="G24" s="464"/>
      <c r="H24" s="464">
        <f>IFERROR(#REF!*G24,0)</f>
        <v>0</v>
      </c>
      <c r="I24" s="429"/>
      <c r="J24" s="429"/>
      <c r="K24" s="464"/>
      <c r="L24" s="438"/>
      <c r="M24" s="900">
        <f t="shared" si="10"/>
        <v>0</v>
      </c>
      <c r="N24" s="901">
        <f t="shared" si="5"/>
        <v>0</v>
      </c>
      <c r="O24" s="438">
        <f>IFERROR(LOOKUP(1,0/((印刷機資料庫!$F$2:$F$46=F24)*(印刷機資料庫!$G$2:$G$46=J24)),印刷機資料庫!$J$2:$J$46),0)</f>
        <v>0</v>
      </c>
      <c r="P24" s="462"/>
      <c r="Q24" s="442"/>
      <c r="R24" s="482">
        <f>IFERROR(LOOKUP(1,0/((印刷機資料庫!$F$2:$F$46=F24)*(印刷機資料庫!$G$2:$G$46=J24)),印刷機資料庫!$I$2:$I$46),0)</f>
        <v>0</v>
      </c>
      <c r="S24" s="900">
        <f>IFERROR(LOOKUP(1,0/((印刷機資料庫!$F$2:$F$46=F24)*(印刷機資料庫!$G$2:$G$46=J24)),印刷機資料庫!$K$2:$K$46),0)</f>
        <v>0</v>
      </c>
      <c r="T24" s="898">
        <f t="shared" si="6"/>
        <v>0</v>
      </c>
      <c r="U24" s="923">
        <f t="shared" si="7"/>
        <v>0</v>
      </c>
      <c r="V24" s="898">
        <f t="shared" si="8"/>
        <v>0</v>
      </c>
      <c r="W24" s="952"/>
      <c r="X24" s="899">
        <f t="shared" si="9"/>
        <v>0</v>
      </c>
      <c r="Y24" s="438"/>
      <c r="Z24" s="482"/>
      <c r="AA24" s="465"/>
      <c r="AB24" s="438"/>
      <c r="AC24" s="438"/>
    </row>
    <row r="25" spans="1:29" s="433" customFormat="1" ht="15.75">
      <c r="A25" s="581">
        <v>11</v>
      </c>
      <c r="B25" s="581">
        <v>7</v>
      </c>
      <c r="C25" s="581" t="s">
        <v>898</v>
      </c>
      <c r="D25" s="889" t="s">
        <v>0</v>
      </c>
      <c r="E25" s="435" t="s">
        <v>44</v>
      </c>
      <c r="F25" s="992"/>
      <c r="G25" s="464"/>
      <c r="H25" s="464">
        <f>IFERROR(#REF!*G25,0)</f>
        <v>0</v>
      </c>
      <c r="I25" s="429"/>
      <c r="J25" s="429"/>
      <c r="K25" s="464"/>
      <c r="L25" s="438"/>
      <c r="M25" s="900">
        <f t="shared" si="10"/>
        <v>0</v>
      </c>
      <c r="N25" s="901">
        <f t="shared" si="5"/>
        <v>0</v>
      </c>
      <c r="O25" s="438">
        <f>IFERROR(LOOKUP(1,0/((印刷機資料庫!$F$2:$F$46=F25)*(印刷機資料庫!$G$2:$G$46=J25)),印刷機資料庫!$J$2:$J$46),0)</f>
        <v>0</v>
      </c>
      <c r="P25" s="462"/>
      <c r="Q25" s="442"/>
      <c r="R25" s="482">
        <f>IFERROR(LOOKUP(1,0/((印刷機資料庫!$F$2:$F$46=F25)*(印刷機資料庫!$G$2:$G$46=J25)),印刷機資料庫!$I$2:$I$46),0)</f>
        <v>0</v>
      </c>
      <c r="S25" s="900">
        <f>IFERROR(LOOKUP(1,0/((印刷機資料庫!$F$2:$F$46=F25)*(印刷機資料庫!$G$2:$G$46=J25)),印刷機資料庫!$K$2:$K$46),0)</f>
        <v>0</v>
      </c>
      <c r="T25" s="898">
        <f t="shared" si="6"/>
        <v>0</v>
      </c>
      <c r="U25" s="923">
        <f t="shared" si="7"/>
        <v>0</v>
      </c>
      <c r="V25" s="898">
        <f t="shared" si="8"/>
        <v>0</v>
      </c>
      <c r="W25" s="952"/>
      <c r="X25" s="899">
        <f t="shared" si="9"/>
        <v>0</v>
      </c>
      <c r="Y25" s="438"/>
      <c r="Z25" s="482"/>
      <c r="AA25" s="465"/>
      <c r="AB25" s="438"/>
      <c r="AC25" s="438"/>
    </row>
    <row r="26" spans="1:29" s="433" customFormat="1" ht="15.75">
      <c r="A26" s="581">
        <v>11</v>
      </c>
      <c r="B26" s="581">
        <v>7</v>
      </c>
      <c r="C26" s="581" t="s">
        <v>898</v>
      </c>
      <c r="D26" s="889" t="s">
        <v>0</v>
      </c>
      <c r="E26" s="435" t="s">
        <v>44</v>
      </c>
      <c r="F26" s="992"/>
      <c r="G26" s="464"/>
      <c r="H26" s="464">
        <f>IFERROR(#REF!*G26,0)</f>
        <v>0</v>
      </c>
      <c r="I26" s="429"/>
      <c r="J26" s="429"/>
      <c r="K26" s="464"/>
      <c r="L26" s="438"/>
      <c r="M26" s="900">
        <f t="shared" si="10"/>
        <v>0</v>
      </c>
      <c r="N26" s="901">
        <f t="shared" si="5"/>
        <v>0</v>
      </c>
      <c r="O26" s="438">
        <f>IFERROR(LOOKUP(1,0/((印刷機資料庫!$F$2:$F$46=F26)*(印刷機資料庫!$G$2:$G$46=J26)),印刷機資料庫!$J$2:$J$46),0)</f>
        <v>0</v>
      </c>
      <c r="P26" s="462"/>
      <c r="Q26" s="442"/>
      <c r="R26" s="482">
        <f>IFERROR(LOOKUP(1,0/((印刷機資料庫!$F$2:$F$46=F26)*(印刷機資料庫!$G$2:$G$46=J26)),印刷機資料庫!$I$2:$I$46),0)</f>
        <v>0</v>
      </c>
      <c r="S26" s="900">
        <f>IFERROR(LOOKUP(1,0/((印刷機資料庫!$F$2:$F$46=F26)*(印刷機資料庫!$G$2:$G$46=J26)),印刷機資料庫!$K$2:$K$46),0)</f>
        <v>0</v>
      </c>
      <c r="T26" s="898">
        <f t="shared" si="6"/>
        <v>0</v>
      </c>
      <c r="U26" s="923">
        <f t="shared" si="7"/>
        <v>0</v>
      </c>
      <c r="V26" s="898">
        <f t="shared" si="8"/>
        <v>0</v>
      </c>
      <c r="W26" s="952"/>
      <c r="X26" s="899">
        <f t="shared" si="9"/>
        <v>0</v>
      </c>
      <c r="Y26" s="438"/>
      <c r="Z26" s="482"/>
      <c r="AA26" s="465"/>
      <c r="AB26" s="438"/>
      <c r="AC26" s="438"/>
    </row>
    <row r="27" spans="1:29" s="433" customFormat="1" ht="15.75">
      <c r="A27" s="581">
        <v>11</v>
      </c>
      <c r="B27" s="581">
        <v>8</v>
      </c>
      <c r="C27" s="581" t="s">
        <v>908</v>
      </c>
      <c r="D27" s="889" t="s">
        <v>0</v>
      </c>
      <c r="E27" s="435" t="s">
        <v>58</v>
      </c>
      <c r="F27" s="992"/>
      <c r="G27" s="464"/>
      <c r="H27" s="464">
        <f>IFERROR(#REF!*G27,0)</f>
        <v>0</v>
      </c>
      <c r="I27" s="429"/>
      <c r="J27" s="429"/>
      <c r="K27" s="464"/>
      <c r="L27" s="438"/>
      <c r="M27" s="900">
        <f t="shared" si="10"/>
        <v>0</v>
      </c>
      <c r="N27" s="901">
        <f>K27*L27</f>
        <v>0</v>
      </c>
      <c r="O27" s="438">
        <f>IFERROR(LOOKUP(1,0/((印刷機資料庫!$F$2:$F$46=F27)*(印刷機資料庫!$G$2:$G$46=J27)),印刷機資料庫!$J$2:$J$46),0)</f>
        <v>0</v>
      </c>
      <c r="P27" s="462"/>
      <c r="Q27" s="442"/>
      <c r="R27" s="482">
        <f>IFERROR(LOOKUP(1,0/((印刷機資料庫!$F$2:$F$46=F27)*(印刷機資料庫!$G$2:$G$46=J27)),印刷機資料庫!$I$2:$I$46),0)</f>
        <v>0</v>
      </c>
      <c r="S27" s="900">
        <f>IFERROR(LOOKUP(1,0/((印刷機資料庫!$F$2:$F$46=F27)*(印刷機資料庫!$G$2:$G$46=J27)),印刷機資料庫!$K$2:$K$46),0)</f>
        <v>0</v>
      </c>
      <c r="T27" s="898">
        <f>IFERROR(L27/S27,0)</f>
        <v>0</v>
      </c>
      <c r="U27" s="923">
        <f t="shared" si="7"/>
        <v>0</v>
      </c>
      <c r="V27" s="898">
        <f>IFERROR(L27/U27,0)</f>
        <v>0</v>
      </c>
      <c r="W27" s="952"/>
      <c r="X27" s="899">
        <f t="shared" si="9"/>
        <v>0</v>
      </c>
      <c r="Y27" s="438"/>
      <c r="Z27" s="482"/>
      <c r="AA27" s="465"/>
      <c r="AB27" s="438"/>
      <c r="AC27" s="438"/>
    </row>
    <row r="28" spans="1:29" s="433" customFormat="1" ht="15.75">
      <c r="A28" s="581">
        <v>11</v>
      </c>
      <c r="B28" s="581">
        <v>9</v>
      </c>
      <c r="C28" s="581" t="s">
        <v>929</v>
      </c>
      <c r="D28" s="889" t="s">
        <v>0</v>
      </c>
      <c r="E28" s="435" t="s">
        <v>58</v>
      </c>
      <c r="F28" s="992"/>
      <c r="G28" s="464"/>
      <c r="H28" s="464">
        <f>IFERROR(#REF!*G28,0)</f>
        <v>0</v>
      </c>
      <c r="I28" s="429"/>
      <c r="J28" s="429"/>
      <c r="K28" s="464"/>
      <c r="L28" s="438"/>
      <c r="M28" s="900">
        <f t="shared" si="10"/>
        <v>0</v>
      </c>
      <c r="N28" s="901">
        <f>K28*L28</f>
        <v>0</v>
      </c>
      <c r="O28" s="438">
        <f>IFERROR(LOOKUP(1,0/((印刷機資料庫!$F$2:$F$46=F28)*(印刷機資料庫!$G$2:$G$46=J28)),印刷機資料庫!$J$2:$J$46),0)</f>
        <v>0</v>
      </c>
      <c r="P28" s="462"/>
      <c r="Q28" s="442"/>
      <c r="R28" s="482">
        <f>IFERROR(LOOKUP(1,0/((印刷機資料庫!$F$2:$F$46=F28)*(印刷機資料庫!$G$2:$G$46=J28)),印刷機資料庫!$I$2:$I$46),0)</f>
        <v>0</v>
      </c>
      <c r="S28" s="900">
        <f>IFERROR(LOOKUP(1,0/((印刷機資料庫!$F$2:$F$46=F28)*(印刷機資料庫!$G$2:$G$46=J28)),印刷機資料庫!$K$2:$K$46),0)</f>
        <v>0</v>
      </c>
      <c r="T28" s="898">
        <f>IFERROR(L28/S28,0)</f>
        <v>0</v>
      </c>
      <c r="U28" s="923">
        <f t="shared" si="7"/>
        <v>0</v>
      </c>
      <c r="V28" s="898">
        <f t="shared" si="8"/>
        <v>0</v>
      </c>
      <c r="W28" s="952"/>
      <c r="X28" s="899">
        <f t="shared" si="9"/>
        <v>0</v>
      </c>
      <c r="Y28" s="438"/>
      <c r="Z28" s="482"/>
      <c r="AA28" s="465"/>
      <c r="AB28" s="438"/>
      <c r="AC28" s="438"/>
    </row>
    <row r="29" spans="1:29" s="433" customFormat="1" ht="15.75">
      <c r="A29" s="581">
        <v>11</v>
      </c>
      <c r="B29" s="581">
        <v>9</v>
      </c>
      <c r="C29" s="581" t="s">
        <v>929</v>
      </c>
      <c r="D29" s="889" t="s">
        <v>0</v>
      </c>
      <c r="E29" s="435" t="s">
        <v>58</v>
      </c>
      <c r="F29" s="992"/>
      <c r="G29" s="464"/>
      <c r="H29" s="464">
        <f>IFERROR(#REF!*G29,0)</f>
        <v>0</v>
      </c>
      <c r="I29" s="429"/>
      <c r="J29" s="429"/>
      <c r="K29" s="464"/>
      <c r="L29" s="438"/>
      <c r="M29" s="900">
        <f t="shared" si="10"/>
        <v>0</v>
      </c>
      <c r="N29" s="901">
        <f>K29*L29</f>
        <v>0</v>
      </c>
      <c r="O29" s="438">
        <f>IFERROR(LOOKUP(1,0/((印刷機資料庫!$F$2:$F$46=F29)*(印刷機資料庫!$G$2:$G$46=J29)),印刷機資料庫!$J$2:$J$46),0)</f>
        <v>0</v>
      </c>
      <c r="P29" s="462"/>
      <c r="Q29" s="442"/>
      <c r="R29" s="482">
        <f>IFERROR(LOOKUP(1,0/((印刷機資料庫!$F$2:$F$46=F29)*(印刷機資料庫!$G$2:$G$46=J29)),印刷機資料庫!$I$2:$I$46),0)</f>
        <v>0</v>
      </c>
      <c r="S29" s="900">
        <f>IFERROR(LOOKUP(1,0/((印刷機資料庫!$F$2:$F$46=F29)*(印刷機資料庫!$G$2:$G$46=J29)),印刷機資料庫!$K$2:$K$46),0)</f>
        <v>0</v>
      </c>
      <c r="T29" s="898">
        <f t="shared" si="6"/>
        <v>0</v>
      </c>
      <c r="U29" s="923">
        <f t="shared" si="7"/>
        <v>0</v>
      </c>
      <c r="V29" s="898">
        <f t="shared" si="8"/>
        <v>0</v>
      </c>
      <c r="W29" s="952"/>
      <c r="X29" s="899">
        <f t="shared" si="9"/>
        <v>0</v>
      </c>
      <c r="Y29" s="438"/>
      <c r="Z29" s="482"/>
      <c r="AA29" s="465"/>
      <c r="AB29" s="438"/>
      <c r="AC29" s="438"/>
    </row>
    <row r="30" spans="1:29" s="433" customFormat="1" ht="15.75">
      <c r="A30" s="581">
        <v>11</v>
      </c>
      <c r="B30" s="581">
        <v>10</v>
      </c>
      <c r="C30" s="581" t="s">
        <v>954</v>
      </c>
      <c r="D30" s="889" t="s">
        <v>0</v>
      </c>
      <c r="E30" s="435" t="s">
        <v>58</v>
      </c>
      <c r="F30" s="992"/>
      <c r="G30" s="464"/>
      <c r="H30" s="464">
        <f>IFERROR(#REF!*G30,0)</f>
        <v>0</v>
      </c>
      <c r="I30" s="429"/>
      <c r="J30" s="429"/>
      <c r="K30" s="464"/>
      <c r="L30" s="438"/>
      <c r="M30" s="900">
        <f t="shared" si="10"/>
        <v>0</v>
      </c>
      <c r="N30" s="901">
        <f>K30*L30</f>
        <v>0</v>
      </c>
      <c r="O30" s="438">
        <f>IFERROR(LOOKUP(1,0/((印刷機資料庫!$F$2:$F$46=F30)*(印刷機資料庫!$G$2:$G$46=J30)),印刷機資料庫!$J$2:$J$46),0)</f>
        <v>0</v>
      </c>
      <c r="P30" s="462"/>
      <c r="Q30" s="442"/>
      <c r="R30" s="482">
        <f>IFERROR(LOOKUP(1,0/((印刷機資料庫!$F$2:$F$46=F30)*(印刷機資料庫!$G$2:$G$46=J30)),印刷機資料庫!$I$2:$I$46),0)</f>
        <v>0</v>
      </c>
      <c r="S30" s="900">
        <f>IFERROR(LOOKUP(1,0/((印刷機資料庫!$F$2:$F$46=F30)*(印刷機資料庫!$G$2:$G$46=J30)),印刷機資料庫!$K$2:$K$46),0)</f>
        <v>0</v>
      </c>
      <c r="T30" s="898">
        <f t="shared" si="6"/>
        <v>0</v>
      </c>
      <c r="U30" s="923">
        <f t="shared" si="7"/>
        <v>0</v>
      </c>
      <c r="V30" s="898">
        <f t="shared" si="8"/>
        <v>0</v>
      </c>
      <c r="W30" s="952"/>
      <c r="X30" s="899">
        <f t="shared" si="9"/>
        <v>0</v>
      </c>
      <c r="Y30" s="438"/>
      <c r="Z30" s="482"/>
      <c r="AA30" s="465"/>
      <c r="AB30" s="438"/>
      <c r="AC30" s="438"/>
    </row>
    <row r="31" spans="1:29" s="433" customFormat="1" ht="15.75">
      <c r="A31" s="581">
        <v>11</v>
      </c>
      <c r="B31" s="581">
        <v>11</v>
      </c>
      <c r="C31" s="581" t="s">
        <v>670</v>
      </c>
      <c r="D31" s="889" t="s">
        <v>0</v>
      </c>
      <c r="E31" s="435" t="s">
        <v>58</v>
      </c>
      <c r="F31" s="992"/>
      <c r="G31" s="464"/>
      <c r="H31" s="464">
        <f>IFERROR(#REF!*G31,0)</f>
        <v>0</v>
      </c>
      <c r="I31" s="429"/>
      <c r="J31" s="429"/>
      <c r="K31" s="464"/>
      <c r="L31" s="438"/>
      <c r="M31" s="900">
        <f t="shared" si="10"/>
        <v>0</v>
      </c>
      <c r="N31" s="901">
        <f t="shared" ref="N31:N41" si="11">K31*L31</f>
        <v>0</v>
      </c>
      <c r="O31" s="438">
        <f>IFERROR(LOOKUP(1,0/((印刷機資料庫!$F$2:$F$46=F31)*(印刷機資料庫!$G$2:$G$46=J31)),印刷機資料庫!$J$2:$J$46),0)</f>
        <v>0</v>
      </c>
      <c r="P31" s="462"/>
      <c r="Q31" s="442"/>
      <c r="R31" s="482">
        <f>IFERROR(LOOKUP(1,0/((印刷機資料庫!$F$2:$F$46=F31)*(印刷機資料庫!$G$2:$G$46=J31)),印刷機資料庫!$I$2:$I$46),0)</f>
        <v>0</v>
      </c>
      <c r="S31" s="900">
        <f>IFERROR(LOOKUP(1,0/((印刷機資料庫!$F$2:$F$46=F31)*(印刷機資料庫!$G$2:$G$46=J31)),印刷機資料庫!$K$2:$K$46),0)</f>
        <v>0</v>
      </c>
      <c r="T31" s="898">
        <f t="shared" si="6"/>
        <v>0</v>
      </c>
      <c r="U31" s="923">
        <f t="shared" si="7"/>
        <v>0</v>
      </c>
      <c r="V31" s="898">
        <f t="shared" si="8"/>
        <v>0</v>
      </c>
      <c r="W31" s="952"/>
      <c r="X31" s="899">
        <f t="shared" si="9"/>
        <v>0</v>
      </c>
      <c r="Y31" s="438"/>
      <c r="Z31" s="482"/>
      <c r="AA31" s="465"/>
      <c r="AB31" s="438"/>
      <c r="AC31" s="438"/>
    </row>
    <row r="32" spans="1:29" s="433" customFormat="1" ht="15.75">
      <c r="A32" s="581">
        <v>11</v>
      </c>
      <c r="B32" s="581">
        <v>12</v>
      </c>
      <c r="C32" s="581" t="s">
        <v>671</v>
      </c>
      <c r="D32" s="889" t="s">
        <v>0</v>
      </c>
      <c r="E32" s="435" t="s">
        <v>58</v>
      </c>
      <c r="F32" s="992"/>
      <c r="G32" s="464"/>
      <c r="H32" s="464">
        <f>IFERROR(#REF!*G32,0)</f>
        <v>0</v>
      </c>
      <c r="I32" s="429"/>
      <c r="J32" s="429"/>
      <c r="K32" s="464"/>
      <c r="L32" s="438"/>
      <c r="M32" s="900">
        <f t="shared" si="10"/>
        <v>0</v>
      </c>
      <c r="N32" s="901">
        <f t="shared" si="11"/>
        <v>0</v>
      </c>
      <c r="O32" s="438">
        <f>IFERROR(LOOKUP(1,0/((印刷機資料庫!$F$2:$F$46=F32)*(印刷機資料庫!$G$2:$G$46=J32)),印刷機資料庫!$J$2:$J$46),0)</f>
        <v>0</v>
      </c>
      <c r="P32" s="462"/>
      <c r="Q32" s="442"/>
      <c r="R32" s="482">
        <f>IFERROR(LOOKUP(1,0/((印刷機資料庫!$F$2:$F$46=F32)*(印刷機資料庫!$G$2:$G$46=J32)),印刷機資料庫!$I$2:$I$46),0)</f>
        <v>0</v>
      </c>
      <c r="S32" s="900">
        <f>IFERROR(LOOKUP(1,0/((印刷機資料庫!$F$2:$F$46=F32)*(印刷機資料庫!$G$2:$G$46=J32)),印刷機資料庫!$K$2:$K$46),0)</f>
        <v>0</v>
      </c>
      <c r="T32" s="898">
        <f t="shared" si="6"/>
        <v>0</v>
      </c>
      <c r="U32" s="923">
        <f t="shared" si="7"/>
        <v>0</v>
      </c>
      <c r="V32" s="898">
        <f t="shared" si="8"/>
        <v>0</v>
      </c>
      <c r="W32" s="952"/>
      <c r="X32" s="899">
        <f t="shared" si="9"/>
        <v>0</v>
      </c>
      <c r="Y32" s="438"/>
      <c r="Z32" s="482"/>
      <c r="AA32" s="465"/>
      <c r="AB32" s="438"/>
      <c r="AC32" s="438"/>
    </row>
    <row r="33" spans="1:29" s="433" customFormat="1" ht="15.75">
      <c r="A33" s="581">
        <v>11</v>
      </c>
      <c r="B33" s="581">
        <v>13</v>
      </c>
      <c r="C33" s="581" t="s">
        <v>974</v>
      </c>
      <c r="D33" s="889" t="s">
        <v>0</v>
      </c>
      <c r="E33" s="435" t="s">
        <v>58</v>
      </c>
      <c r="F33" s="992"/>
      <c r="G33" s="464"/>
      <c r="H33" s="464">
        <f>IFERROR(#REF!*G33,0)</f>
        <v>0</v>
      </c>
      <c r="I33" s="429"/>
      <c r="J33" s="429"/>
      <c r="K33" s="464"/>
      <c r="L33" s="438"/>
      <c r="M33" s="900">
        <f t="shared" si="10"/>
        <v>0</v>
      </c>
      <c r="N33" s="901">
        <f t="shared" si="11"/>
        <v>0</v>
      </c>
      <c r="O33" s="438">
        <f>IFERROR(LOOKUP(1,0/((印刷機資料庫!$F$2:$F$46=F33)*(印刷機資料庫!$G$2:$G$46=J33)),印刷機資料庫!$J$2:$J$46),0)</f>
        <v>0</v>
      </c>
      <c r="P33" s="462"/>
      <c r="Q33" s="442"/>
      <c r="R33" s="482">
        <f>IFERROR(LOOKUP(1,0/((印刷機資料庫!$F$2:$F$46=F33)*(印刷機資料庫!$G$2:$G$46=J33)),印刷機資料庫!$I$2:$I$46),0)</f>
        <v>0</v>
      </c>
      <c r="S33" s="900">
        <f>IFERROR(LOOKUP(1,0/((印刷機資料庫!$F$2:$F$46=F33)*(印刷機資料庫!$G$2:$G$46=J33)),印刷機資料庫!$K$2:$K$46),0)</f>
        <v>0</v>
      </c>
      <c r="T33" s="898">
        <f t="shared" si="6"/>
        <v>0</v>
      </c>
      <c r="U33" s="923">
        <f t="shared" si="7"/>
        <v>0</v>
      </c>
      <c r="V33" s="898">
        <f t="shared" si="8"/>
        <v>0</v>
      </c>
      <c r="W33" s="952"/>
      <c r="X33" s="899">
        <f t="shared" si="9"/>
        <v>0</v>
      </c>
      <c r="Y33" s="438"/>
      <c r="Z33" s="482"/>
      <c r="AA33" s="465"/>
      <c r="AB33" s="438"/>
      <c r="AC33" s="438"/>
    </row>
    <row r="34" spans="1:29" s="433" customFormat="1" ht="15.75">
      <c r="A34" s="581">
        <v>11</v>
      </c>
      <c r="B34" s="581">
        <v>14</v>
      </c>
      <c r="C34" s="581" t="s">
        <v>1001</v>
      </c>
      <c r="D34" s="889" t="s">
        <v>0</v>
      </c>
      <c r="E34" s="435" t="s">
        <v>58</v>
      </c>
      <c r="F34" s="992"/>
      <c r="G34" s="464"/>
      <c r="H34" s="464">
        <f>IFERROR(#REF!*G34,0)</f>
        <v>0</v>
      </c>
      <c r="I34" s="429"/>
      <c r="J34" s="429"/>
      <c r="K34" s="464"/>
      <c r="L34" s="438"/>
      <c r="M34" s="900">
        <f t="shared" si="10"/>
        <v>0</v>
      </c>
      <c r="N34" s="901">
        <f t="shared" si="11"/>
        <v>0</v>
      </c>
      <c r="O34" s="438">
        <f>IFERROR(LOOKUP(1,0/((印刷機資料庫!$F$2:$F$46=F34)*(印刷機資料庫!$G$2:$G$46=J34)),印刷機資料庫!$J$2:$J$46),0)</f>
        <v>0</v>
      </c>
      <c r="P34" s="462"/>
      <c r="Q34" s="442"/>
      <c r="R34" s="482">
        <f>IFERROR(LOOKUP(1,0/((印刷機資料庫!$F$2:$F$46=F34)*(印刷機資料庫!$G$2:$G$46=J34)),印刷機資料庫!$I$2:$I$46),0)</f>
        <v>0</v>
      </c>
      <c r="S34" s="900">
        <f>IFERROR(LOOKUP(1,0/((印刷機資料庫!$F$2:$F$46=F34)*(印刷機資料庫!$G$2:$G$46=J34)),印刷機資料庫!$K$2:$K$46),0)</f>
        <v>0</v>
      </c>
      <c r="T34" s="898">
        <f t="shared" si="6"/>
        <v>0</v>
      </c>
      <c r="U34" s="923">
        <f t="shared" si="7"/>
        <v>0</v>
      </c>
      <c r="V34" s="898">
        <f t="shared" si="8"/>
        <v>0</v>
      </c>
      <c r="W34" s="952"/>
      <c r="X34" s="899">
        <f t="shared" si="9"/>
        <v>0</v>
      </c>
      <c r="Y34" s="438"/>
      <c r="Z34" s="482"/>
      <c r="AA34" s="465"/>
      <c r="AB34" s="438"/>
      <c r="AC34" s="438"/>
    </row>
    <row r="35" spans="1:29" s="433" customFormat="1" ht="15.75">
      <c r="A35" s="581">
        <v>11</v>
      </c>
      <c r="B35" s="581">
        <v>15</v>
      </c>
      <c r="C35" s="581" t="s">
        <v>1022</v>
      </c>
      <c r="D35" s="889" t="s">
        <v>0</v>
      </c>
      <c r="E35" s="435" t="s">
        <v>58</v>
      </c>
      <c r="F35" s="992"/>
      <c r="G35" s="464"/>
      <c r="H35" s="464">
        <f>IFERROR(#REF!*G35,0)</f>
        <v>0</v>
      </c>
      <c r="I35" s="429"/>
      <c r="J35" s="429"/>
      <c r="K35" s="464"/>
      <c r="L35" s="438"/>
      <c r="M35" s="900">
        <f t="shared" si="10"/>
        <v>0</v>
      </c>
      <c r="N35" s="901">
        <f t="shared" si="11"/>
        <v>0</v>
      </c>
      <c r="O35" s="438">
        <f>IFERROR(LOOKUP(1,0/((印刷機資料庫!$F$2:$F$46=F35)*(印刷機資料庫!$G$2:$G$46=J35)),印刷機資料庫!$J$2:$J$46),0)</f>
        <v>0</v>
      </c>
      <c r="P35" s="462"/>
      <c r="Q35" s="442"/>
      <c r="R35" s="482">
        <f>IFERROR(LOOKUP(1,0/((印刷機資料庫!$F$2:$F$46=F35)*(印刷機資料庫!$G$2:$G$46=J35)),印刷機資料庫!$I$2:$I$46),0)</f>
        <v>0</v>
      </c>
      <c r="S35" s="900">
        <f>IFERROR(LOOKUP(1,0/((印刷機資料庫!$F$2:$F$46=F35)*(印刷機資料庫!$G$2:$G$46=J35)),印刷機資料庫!$K$2:$K$46),0)</f>
        <v>0</v>
      </c>
      <c r="T35" s="898">
        <f t="shared" si="6"/>
        <v>0</v>
      </c>
      <c r="U35" s="923">
        <f t="shared" si="7"/>
        <v>0</v>
      </c>
      <c r="V35" s="898">
        <f t="shared" si="8"/>
        <v>0</v>
      </c>
      <c r="W35" s="952"/>
      <c r="X35" s="899">
        <f t="shared" si="9"/>
        <v>0</v>
      </c>
      <c r="Y35" s="438"/>
      <c r="Z35" s="482"/>
      <c r="AA35" s="465"/>
      <c r="AB35" s="438"/>
      <c r="AC35" s="438"/>
    </row>
    <row r="36" spans="1:29" s="433" customFormat="1" ht="15.75">
      <c r="A36" s="581">
        <v>11</v>
      </c>
      <c r="B36" s="581">
        <v>15</v>
      </c>
      <c r="C36" s="581" t="s">
        <v>1022</v>
      </c>
      <c r="D36" s="889" t="s">
        <v>0</v>
      </c>
      <c r="E36" s="435" t="s">
        <v>58</v>
      </c>
      <c r="F36" s="992"/>
      <c r="G36" s="464"/>
      <c r="H36" s="464">
        <f>IFERROR(#REF!*G36,0)</f>
        <v>0</v>
      </c>
      <c r="I36" s="429"/>
      <c r="J36" s="429"/>
      <c r="K36" s="464"/>
      <c r="L36" s="438"/>
      <c r="M36" s="900">
        <f t="shared" si="10"/>
        <v>0</v>
      </c>
      <c r="N36" s="901">
        <f t="shared" si="11"/>
        <v>0</v>
      </c>
      <c r="O36" s="438">
        <f>IFERROR(LOOKUP(1,0/((印刷機資料庫!$F$2:$F$46=F36)*(印刷機資料庫!$G$2:$G$46=J36)),印刷機資料庫!$J$2:$J$46),0)</f>
        <v>0</v>
      </c>
      <c r="P36" s="462"/>
      <c r="Q36" s="442"/>
      <c r="R36" s="482">
        <f>IFERROR(LOOKUP(1,0/((印刷機資料庫!$F$2:$F$46=F36)*(印刷機資料庫!$G$2:$G$46=J36)),印刷機資料庫!$I$2:$I$46),0)</f>
        <v>0</v>
      </c>
      <c r="S36" s="900">
        <f>IFERROR(LOOKUP(1,0/((印刷機資料庫!$F$2:$F$46=F36)*(印刷機資料庫!$G$2:$G$46=J36)),印刷機資料庫!$K$2:$K$46),0)</f>
        <v>0</v>
      </c>
      <c r="T36" s="898">
        <f t="shared" si="6"/>
        <v>0</v>
      </c>
      <c r="U36" s="923">
        <f t="shared" si="7"/>
        <v>0</v>
      </c>
      <c r="V36" s="898">
        <f t="shared" si="8"/>
        <v>0</v>
      </c>
      <c r="W36" s="952"/>
      <c r="X36" s="899">
        <f t="shared" si="9"/>
        <v>0</v>
      </c>
      <c r="Y36" s="438"/>
      <c r="Z36" s="482"/>
      <c r="AA36" s="465"/>
      <c r="AB36" s="438"/>
      <c r="AC36" s="438"/>
    </row>
    <row r="37" spans="1:29" s="433" customFormat="1" ht="15.75">
      <c r="A37" s="581">
        <v>11</v>
      </c>
      <c r="B37" s="581">
        <v>15</v>
      </c>
      <c r="C37" s="581" t="s">
        <v>1022</v>
      </c>
      <c r="D37" s="889" t="s">
        <v>0</v>
      </c>
      <c r="E37" s="435" t="s">
        <v>58</v>
      </c>
      <c r="F37" s="992"/>
      <c r="G37" s="464"/>
      <c r="H37" s="464">
        <f>IFERROR(#REF!*G37,0)</f>
        <v>0</v>
      </c>
      <c r="I37" s="429"/>
      <c r="J37" s="429"/>
      <c r="K37" s="464"/>
      <c r="L37" s="438"/>
      <c r="M37" s="900">
        <f t="shared" si="10"/>
        <v>0</v>
      </c>
      <c r="N37" s="901">
        <f t="shared" si="11"/>
        <v>0</v>
      </c>
      <c r="O37" s="438">
        <f>IFERROR(LOOKUP(1,0/((印刷機資料庫!$F$2:$F$46=F37)*(印刷機資料庫!$G$2:$G$46=J37)),印刷機資料庫!$J$2:$J$46),0)</f>
        <v>0</v>
      </c>
      <c r="P37" s="462"/>
      <c r="Q37" s="442"/>
      <c r="R37" s="482">
        <f>IFERROR(LOOKUP(1,0/((印刷機資料庫!$F$2:$F$46=F37)*(印刷機資料庫!$G$2:$G$46=J37)),印刷機資料庫!$I$2:$I$46),0)</f>
        <v>0</v>
      </c>
      <c r="S37" s="900">
        <f>IFERROR(LOOKUP(1,0/((印刷機資料庫!$F$2:$F$46=F37)*(印刷機資料庫!$G$2:$G$46=J37)),印刷機資料庫!$K$2:$K$46),0)</f>
        <v>0</v>
      </c>
      <c r="T37" s="898">
        <f t="shared" si="6"/>
        <v>0</v>
      </c>
      <c r="U37" s="923">
        <f t="shared" si="7"/>
        <v>0</v>
      </c>
      <c r="V37" s="898">
        <f t="shared" si="8"/>
        <v>0</v>
      </c>
      <c r="W37" s="952"/>
      <c r="X37" s="899">
        <f t="shared" si="9"/>
        <v>0</v>
      </c>
      <c r="Y37" s="438"/>
      <c r="Z37" s="482"/>
      <c r="AA37" s="465"/>
      <c r="AB37" s="438"/>
      <c r="AC37" s="438"/>
    </row>
    <row r="38" spans="1:29" s="433" customFormat="1" ht="15.75">
      <c r="A38" s="581">
        <v>11</v>
      </c>
      <c r="B38" s="581">
        <v>16</v>
      </c>
      <c r="C38" s="581" t="s">
        <v>1049</v>
      </c>
      <c r="D38" s="889" t="s">
        <v>0</v>
      </c>
      <c r="E38" s="435" t="s">
        <v>58</v>
      </c>
      <c r="F38" s="992"/>
      <c r="G38" s="464"/>
      <c r="H38" s="464">
        <f>IFERROR(#REF!*G38,0)</f>
        <v>0</v>
      </c>
      <c r="I38" s="429"/>
      <c r="J38" s="429"/>
      <c r="K38" s="464"/>
      <c r="L38" s="438"/>
      <c r="M38" s="900">
        <f t="shared" si="10"/>
        <v>0</v>
      </c>
      <c r="N38" s="901">
        <f t="shared" si="11"/>
        <v>0</v>
      </c>
      <c r="O38" s="438">
        <f>IFERROR(LOOKUP(1,0/((印刷機資料庫!$F$2:$F$46=F38)*(印刷機資料庫!$G$2:$G$46=J38)),印刷機資料庫!$J$2:$J$46),0)</f>
        <v>0</v>
      </c>
      <c r="P38" s="462"/>
      <c r="Q38" s="442"/>
      <c r="R38" s="482">
        <f>IFERROR(LOOKUP(1,0/((印刷機資料庫!$F$2:$F$46=F38)*(印刷機資料庫!$G$2:$G$46=J38)),印刷機資料庫!$I$2:$I$46),0)</f>
        <v>0</v>
      </c>
      <c r="S38" s="900">
        <f>IFERROR(LOOKUP(1,0/((印刷機資料庫!$F$2:$F$46=F38)*(印刷機資料庫!$G$2:$G$46=J38)),印刷機資料庫!$K$2:$K$46),0)</f>
        <v>0</v>
      </c>
      <c r="T38" s="898">
        <f t="shared" si="6"/>
        <v>0</v>
      </c>
      <c r="U38" s="923">
        <f t="shared" si="7"/>
        <v>0</v>
      </c>
      <c r="V38" s="898">
        <f t="shared" si="8"/>
        <v>0</v>
      </c>
      <c r="W38" s="952"/>
      <c r="X38" s="899">
        <f t="shared" si="9"/>
        <v>0</v>
      </c>
      <c r="Y38" s="438"/>
      <c r="Z38" s="482"/>
      <c r="AA38" s="465"/>
      <c r="AB38" s="438"/>
      <c r="AC38" s="438"/>
    </row>
    <row r="39" spans="1:29" s="433" customFormat="1" ht="15.75">
      <c r="A39" s="581">
        <v>11</v>
      </c>
      <c r="B39" s="581">
        <v>16</v>
      </c>
      <c r="C39" s="581" t="s">
        <v>1049</v>
      </c>
      <c r="D39" s="889" t="s">
        <v>0</v>
      </c>
      <c r="E39" s="435" t="s">
        <v>58</v>
      </c>
      <c r="F39" s="992"/>
      <c r="G39" s="464"/>
      <c r="H39" s="464">
        <f>IFERROR(#REF!*G39,0)</f>
        <v>0</v>
      </c>
      <c r="I39" s="429"/>
      <c r="J39" s="429"/>
      <c r="K39" s="464"/>
      <c r="L39" s="438"/>
      <c r="M39" s="900">
        <f t="shared" si="10"/>
        <v>0</v>
      </c>
      <c r="N39" s="901">
        <f t="shared" si="11"/>
        <v>0</v>
      </c>
      <c r="O39" s="438">
        <f>IFERROR(LOOKUP(1,0/((印刷機資料庫!$F$2:$F$46=F39)*(印刷機資料庫!$G$2:$G$46=J39)),印刷機資料庫!$J$2:$J$46),0)</f>
        <v>0</v>
      </c>
      <c r="P39" s="462"/>
      <c r="Q39" s="442"/>
      <c r="R39" s="482">
        <f>IFERROR(LOOKUP(1,0/((印刷機資料庫!$F$2:$F$46=F39)*(印刷機資料庫!$G$2:$G$46=J39)),印刷機資料庫!$I$2:$I$46),0)</f>
        <v>0</v>
      </c>
      <c r="S39" s="900">
        <f>IFERROR(LOOKUP(1,0/((印刷機資料庫!$F$2:$F$46=F39)*(印刷機資料庫!$G$2:$G$46=J39)),印刷機資料庫!$K$2:$K$46),0)</f>
        <v>0</v>
      </c>
      <c r="T39" s="898">
        <f>IFERROR(L39/S39,0)</f>
        <v>0</v>
      </c>
      <c r="U39" s="923">
        <f t="shared" si="7"/>
        <v>0</v>
      </c>
      <c r="V39" s="898">
        <f t="shared" si="8"/>
        <v>0</v>
      </c>
      <c r="W39" s="952"/>
      <c r="X39" s="899">
        <f t="shared" si="9"/>
        <v>0</v>
      </c>
      <c r="Y39" s="438"/>
      <c r="Z39" s="482"/>
      <c r="AA39" s="465"/>
      <c r="AB39" s="438"/>
      <c r="AC39" s="438"/>
    </row>
    <row r="40" spans="1:29" s="433" customFormat="1" ht="15.75">
      <c r="A40" s="581">
        <v>11</v>
      </c>
      <c r="B40" s="581">
        <v>16</v>
      </c>
      <c r="C40" s="581" t="s">
        <v>1049</v>
      </c>
      <c r="D40" s="889" t="s">
        <v>0</v>
      </c>
      <c r="E40" s="435" t="s">
        <v>44</v>
      </c>
      <c r="F40" s="992"/>
      <c r="G40" s="464"/>
      <c r="H40" s="464">
        <f>IFERROR(#REF!*G40,0)</f>
        <v>0</v>
      </c>
      <c r="I40" s="429"/>
      <c r="J40" s="429"/>
      <c r="K40" s="464"/>
      <c r="L40" s="438"/>
      <c r="M40" s="900">
        <f t="shared" si="10"/>
        <v>0</v>
      </c>
      <c r="N40" s="901">
        <f t="shared" si="11"/>
        <v>0</v>
      </c>
      <c r="O40" s="438">
        <f>IFERROR(LOOKUP(1,0/((印刷機資料庫!$F$2:$F$46=F40)*(印刷機資料庫!$G$2:$G$46=J40)),印刷機資料庫!$J$2:$J$46),0)</f>
        <v>0</v>
      </c>
      <c r="P40" s="462"/>
      <c r="Q40" s="442"/>
      <c r="R40" s="482">
        <f>IFERROR(LOOKUP(1,0/((印刷機資料庫!$F$2:$F$46=F40)*(印刷機資料庫!$G$2:$G$46=J40)),印刷機資料庫!$I$2:$I$46),0)</f>
        <v>0</v>
      </c>
      <c r="S40" s="900">
        <f>IFERROR(LOOKUP(1,0/((印刷機資料庫!$F$2:$F$46=F40)*(印刷機資料庫!$G$2:$G$46=J40)),印刷機資料庫!$K$2:$K$46),0)</f>
        <v>0</v>
      </c>
      <c r="T40" s="898">
        <f t="shared" si="6"/>
        <v>0</v>
      </c>
      <c r="U40" s="923">
        <f t="shared" si="7"/>
        <v>0</v>
      </c>
      <c r="V40" s="898">
        <f t="shared" si="8"/>
        <v>0</v>
      </c>
      <c r="W40" s="952"/>
      <c r="X40" s="899">
        <f t="shared" si="9"/>
        <v>0</v>
      </c>
      <c r="Y40" s="438"/>
      <c r="Z40" s="482"/>
      <c r="AA40" s="465"/>
      <c r="AB40" s="438"/>
      <c r="AC40" s="438"/>
    </row>
    <row r="41" spans="1:29" s="433" customFormat="1" ht="15.75">
      <c r="A41" s="581">
        <v>11</v>
      </c>
      <c r="B41" s="581">
        <v>17</v>
      </c>
      <c r="C41" s="581" t="s">
        <v>1073</v>
      </c>
      <c r="D41" s="889" t="s">
        <v>0</v>
      </c>
      <c r="E41" s="435" t="s">
        <v>44</v>
      </c>
      <c r="F41" s="992"/>
      <c r="G41" s="464"/>
      <c r="H41" s="464">
        <f>IFERROR(#REF!*G41,0)</f>
        <v>0</v>
      </c>
      <c r="I41" s="429"/>
      <c r="J41" s="429"/>
      <c r="K41" s="464"/>
      <c r="L41" s="438"/>
      <c r="M41" s="900">
        <f t="shared" si="10"/>
        <v>0</v>
      </c>
      <c r="N41" s="901">
        <f t="shared" si="11"/>
        <v>0</v>
      </c>
      <c r="O41" s="438">
        <f>IFERROR(LOOKUP(1,0/((印刷機資料庫!$F$2:$F$46=F41)*(印刷機資料庫!$G$2:$G$46=J41)),印刷機資料庫!$J$2:$J$46),0)</f>
        <v>0</v>
      </c>
      <c r="P41" s="462"/>
      <c r="Q41" s="442"/>
      <c r="R41" s="482">
        <f>IFERROR(LOOKUP(1,0/((印刷機資料庫!$F$2:$F$46=F41)*(印刷機資料庫!$G$2:$G$46=J41)),印刷機資料庫!$I$2:$I$46),0)</f>
        <v>0</v>
      </c>
      <c r="S41" s="900">
        <f>IFERROR(LOOKUP(1,0/((印刷機資料庫!$F$2:$F$46=F41)*(印刷機資料庫!$G$2:$G$46=J41)),印刷機資料庫!$K$2:$K$46),0)</f>
        <v>0</v>
      </c>
      <c r="T41" s="898">
        <f t="shared" si="6"/>
        <v>0</v>
      </c>
      <c r="U41" s="923">
        <f t="shared" si="7"/>
        <v>0</v>
      </c>
      <c r="V41" s="898">
        <f t="shared" si="8"/>
        <v>0</v>
      </c>
      <c r="W41" s="952"/>
      <c r="X41" s="899">
        <f t="shared" si="9"/>
        <v>0</v>
      </c>
      <c r="Y41" s="438"/>
      <c r="Z41" s="482"/>
      <c r="AA41" s="465"/>
      <c r="AB41" s="438"/>
      <c r="AC41" s="438"/>
    </row>
    <row r="42" spans="1:29" s="433" customFormat="1" ht="15.75">
      <c r="A42" s="581">
        <v>11</v>
      </c>
      <c r="B42" s="581">
        <v>18</v>
      </c>
      <c r="C42" s="581" t="s">
        <v>1131</v>
      </c>
      <c r="D42" s="889" t="s">
        <v>0</v>
      </c>
      <c r="E42" s="435" t="s">
        <v>44</v>
      </c>
      <c r="F42" s="992"/>
      <c r="G42" s="464"/>
      <c r="H42" s="464">
        <f>IFERROR(#REF!*G42,0)</f>
        <v>0</v>
      </c>
      <c r="I42" s="429"/>
      <c r="J42" s="429"/>
      <c r="K42" s="464"/>
      <c r="L42" s="438"/>
      <c r="M42" s="900">
        <f t="shared" si="10"/>
        <v>0</v>
      </c>
      <c r="N42" s="901">
        <f t="shared" ref="N42:N59" si="12">K42*L42</f>
        <v>0</v>
      </c>
      <c r="O42" s="438">
        <f>IFERROR(LOOKUP(1,0/((印刷機資料庫!$F$2:$F$46=F42)*(印刷機資料庫!$G$2:$G$46=J42)),印刷機資料庫!$J$2:$J$46),0)</f>
        <v>0</v>
      </c>
      <c r="P42" s="462"/>
      <c r="Q42" s="442"/>
      <c r="R42" s="482">
        <f>IFERROR(LOOKUP(1,0/((印刷機資料庫!$F$2:$F$46=F42)*(印刷機資料庫!$G$2:$G$46=J42)),印刷機資料庫!$I$2:$I$46),0)</f>
        <v>0</v>
      </c>
      <c r="S42" s="900">
        <f>IFERROR(LOOKUP(1,0/((印刷機資料庫!$F$2:$F$46=F42)*(印刷機資料庫!$G$2:$G$46=J42)),印刷機資料庫!$K$2:$K$46),0)</f>
        <v>0</v>
      </c>
      <c r="T42" s="898">
        <f t="shared" si="6"/>
        <v>0</v>
      </c>
      <c r="U42" s="923">
        <f t="shared" si="7"/>
        <v>0</v>
      </c>
      <c r="V42" s="898">
        <f t="shared" si="8"/>
        <v>0</v>
      </c>
      <c r="W42" s="952"/>
      <c r="X42" s="899">
        <f t="shared" si="9"/>
        <v>0</v>
      </c>
      <c r="Y42" s="438"/>
      <c r="Z42" s="482"/>
      <c r="AA42" s="465"/>
      <c r="AB42" s="438"/>
      <c r="AC42" s="438"/>
    </row>
    <row r="43" spans="1:29" s="433" customFormat="1" ht="15.75">
      <c r="A43" s="581">
        <v>11</v>
      </c>
      <c r="B43" s="581">
        <v>19</v>
      </c>
      <c r="C43" s="581" t="s">
        <v>671</v>
      </c>
      <c r="D43" s="889" t="s">
        <v>0</v>
      </c>
      <c r="E43" s="435" t="s">
        <v>44</v>
      </c>
      <c r="F43" s="992"/>
      <c r="G43" s="464"/>
      <c r="H43" s="464">
        <f>IFERROR(#REF!*G43,0)</f>
        <v>0</v>
      </c>
      <c r="I43" s="429"/>
      <c r="J43" s="429"/>
      <c r="K43" s="464"/>
      <c r="L43" s="438"/>
      <c r="M43" s="900">
        <f t="shared" si="10"/>
        <v>0</v>
      </c>
      <c r="N43" s="901">
        <f t="shared" si="12"/>
        <v>0</v>
      </c>
      <c r="O43" s="438">
        <f>IFERROR(LOOKUP(1,0/((印刷機資料庫!$F$2:$F$46=F43)*(印刷機資料庫!$G$2:$G$46=J43)),印刷機資料庫!$J$2:$J$46),0)</f>
        <v>0</v>
      </c>
      <c r="P43" s="462"/>
      <c r="Q43" s="442"/>
      <c r="R43" s="482">
        <f>IFERROR(LOOKUP(1,0/((印刷機資料庫!$F$2:$F$46=F43)*(印刷機資料庫!$G$2:$G$46=J43)),印刷機資料庫!$I$2:$I$46),0)</f>
        <v>0</v>
      </c>
      <c r="S43" s="900">
        <f>IFERROR(LOOKUP(1,0/((印刷機資料庫!$F$2:$F$46=F43)*(印刷機資料庫!$G$2:$G$46=J43)),印刷機資料庫!$K$2:$K$46),0)</f>
        <v>0</v>
      </c>
      <c r="T43" s="898">
        <f t="shared" si="6"/>
        <v>0</v>
      </c>
      <c r="U43" s="923">
        <f t="shared" si="7"/>
        <v>0</v>
      </c>
      <c r="V43" s="898">
        <f t="shared" si="8"/>
        <v>0</v>
      </c>
      <c r="W43" s="952"/>
      <c r="X43" s="899">
        <f t="shared" si="9"/>
        <v>0</v>
      </c>
      <c r="Y43" s="438"/>
      <c r="Z43" s="482"/>
      <c r="AA43" s="465"/>
      <c r="AB43" s="438"/>
      <c r="AC43" s="438"/>
    </row>
    <row r="44" spans="1:29" s="433" customFormat="1" ht="15.75">
      <c r="A44" s="434">
        <v>11</v>
      </c>
      <c r="B44" s="434">
        <v>20</v>
      </c>
      <c r="C44" s="581" t="s">
        <v>1132</v>
      </c>
      <c r="D44" s="889" t="s">
        <v>0</v>
      </c>
      <c r="E44" s="435" t="s">
        <v>44</v>
      </c>
      <c r="F44" s="992"/>
      <c r="G44" s="464"/>
      <c r="H44" s="464">
        <f>IFERROR(#REF!*G44,0)</f>
        <v>0</v>
      </c>
      <c r="I44" s="429"/>
      <c r="J44" s="429"/>
      <c r="K44" s="464"/>
      <c r="L44" s="438"/>
      <c r="M44" s="900">
        <f t="shared" si="10"/>
        <v>0</v>
      </c>
      <c r="N44" s="901">
        <f t="shared" si="12"/>
        <v>0</v>
      </c>
      <c r="O44" s="438">
        <f>IFERROR(LOOKUP(1,0/((印刷機資料庫!$F$2:$F$46=F44)*(印刷機資料庫!$G$2:$G$46=J44)),印刷機資料庫!$J$2:$J$46),0)</f>
        <v>0</v>
      </c>
      <c r="P44" s="462"/>
      <c r="Q44" s="442"/>
      <c r="R44" s="482">
        <f>IFERROR(LOOKUP(1,0/((印刷機資料庫!$F$2:$F$46=F44)*(印刷機資料庫!$G$2:$G$46=J44)),印刷機資料庫!$I$2:$I$46),0)</f>
        <v>0</v>
      </c>
      <c r="S44" s="900">
        <f>IFERROR(LOOKUP(1,0/((印刷機資料庫!$F$2:$F$46=F44)*(印刷機資料庫!$G$2:$G$46=J44)),印刷機資料庫!$K$2:$K$46),0)</f>
        <v>0</v>
      </c>
      <c r="T44" s="898">
        <f t="shared" si="6"/>
        <v>0</v>
      </c>
      <c r="U44" s="923">
        <f t="shared" si="7"/>
        <v>0</v>
      </c>
      <c r="V44" s="898">
        <f t="shared" si="8"/>
        <v>0</v>
      </c>
      <c r="W44" s="952"/>
      <c r="X44" s="899">
        <f t="shared" si="9"/>
        <v>0</v>
      </c>
      <c r="Y44" s="438"/>
      <c r="Z44" s="482"/>
      <c r="AA44" s="465"/>
      <c r="AB44" s="438"/>
      <c r="AC44" s="438"/>
    </row>
    <row r="45" spans="1:29" s="433" customFormat="1" ht="15.75">
      <c r="A45" s="434">
        <v>11</v>
      </c>
      <c r="B45" s="434">
        <v>21</v>
      </c>
      <c r="C45" s="581" t="s">
        <v>1143</v>
      </c>
      <c r="D45" s="889" t="s">
        <v>0</v>
      </c>
      <c r="E45" s="435" t="s">
        <v>44</v>
      </c>
      <c r="F45" s="992"/>
      <c r="G45" s="464"/>
      <c r="H45" s="464">
        <f>IFERROR(#REF!*G45,0)</f>
        <v>0</v>
      </c>
      <c r="I45" s="429"/>
      <c r="J45" s="429"/>
      <c r="K45" s="464"/>
      <c r="L45" s="438"/>
      <c r="M45" s="900">
        <f t="shared" si="10"/>
        <v>0</v>
      </c>
      <c r="N45" s="901">
        <f t="shared" si="12"/>
        <v>0</v>
      </c>
      <c r="O45" s="438">
        <f>IFERROR(LOOKUP(1,0/((印刷機資料庫!$F$2:$F$46=F45)*(印刷機資料庫!$G$2:$G$46=J45)),印刷機資料庫!$J$2:$J$46),0)</f>
        <v>0</v>
      </c>
      <c r="P45" s="462"/>
      <c r="Q45" s="442"/>
      <c r="R45" s="482">
        <f>IFERROR(LOOKUP(1,0/((印刷機資料庫!$F$2:$F$46=F45)*(印刷機資料庫!$G$2:$G$46=J45)),印刷機資料庫!$I$2:$I$46),0)</f>
        <v>0</v>
      </c>
      <c r="S45" s="900">
        <f>IFERROR(LOOKUP(1,0/((印刷機資料庫!$F$2:$F$46=F45)*(印刷機資料庫!$G$2:$G$46=J45)),印刷機資料庫!$K$2:$K$46),0)</f>
        <v>0</v>
      </c>
      <c r="T45" s="898">
        <f t="shared" si="6"/>
        <v>0</v>
      </c>
      <c r="U45" s="923">
        <f t="shared" si="7"/>
        <v>0</v>
      </c>
      <c r="V45" s="898">
        <f t="shared" si="8"/>
        <v>0</v>
      </c>
      <c r="W45" s="952"/>
      <c r="X45" s="899">
        <f t="shared" si="9"/>
        <v>0</v>
      </c>
      <c r="Y45" s="438"/>
      <c r="Z45" s="482"/>
      <c r="AA45" s="465"/>
      <c r="AB45" s="438"/>
      <c r="AC45" s="438"/>
    </row>
    <row r="46" spans="1:29" s="433" customFormat="1" ht="15.75">
      <c r="A46" s="434">
        <v>11</v>
      </c>
      <c r="B46" s="434">
        <v>22</v>
      </c>
      <c r="C46" s="581" t="s">
        <v>1161</v>
      </c>
      <c r="D46" s="889" t="s">
        <v>0</v>
      </c>
      <c r="E46" s="435" t="s">
        <v>44</v>
      </c>
      <c r="F46" s="992"/>
      <c r="G46" s="464"/>
      <c r="H46" s="464">
        <f>IFERROR(#REF!*G46,0)</f>
        <v>0</v>
      </c>
      <c r="I46" s="429"/>
      <c r="J46" s="429"/>
      <c r="K46" s="464"/>
      <c r="L46" s="438"/>
      <c r="M46" s="900">
        <f t="shared" si="10"/>
        <v>0</v>
      </c>
      <c r="N46" s="901">
        <f t="shared" si="12"/>
        <v>0</v>
      </c>
      <c r="O46" s="438">
        <f>IFERROR(LOOKUP(1,0/((印刷機資料庫!$F$2:$F$46=F46)*(印刷機資料庫!$G$2:$G$46=J46)),印刷機資料庫!$J$2:$J$46),0)</f>
        <v>0</v>
      </c>
      <c r="P46" s="462"/>
      <c r="Q46" s="442"/>
      <c r="R46" s="482">
        <f>IFERROR(LOOKUP(1,0/((印刷機資料庫!$F$2:$F$46=F46)*(印刷機資料庫!$G$2:$G$46=J46)),印刷機資料庫!$I$2:$I$46),0)</f>
        <v>0</v>
      </c>
      <c r="S46" s="900">
        <f>IFERROR(LOOKUP(1,0/((印刷機資料庫!$F$2:$F$46=F46)*(印刷機資料庫!$G$2:$G$46=J46)),印刷機資料庫!$K$2:$K$46),0)</f>
        <v>0</v>
      </c>
      <c r="T46" s="898">
        <f>IFERROR(L46/S46,0)</f>
        <v>0</v>
      </c>
      <c r="U46" s="923">
        <f t="shared" si="7"/>
        <v>0</v>
      </c>
      <c r="V46" s="898">
        <f t="shared" si="8"/>
        <v>0</v>
      </c>
      <c r="W46" s="952"/>
      <c r="X46" s="899">
        <f t="shared" si="9"/>
        <v>0</v>
      </c>
      <c r="Y46" s="438"/>
      <c r="Z46" s="482"/>
      <c r="AA46" s="465"/>
      <c r="AB46" s="438"/>
      <c r="AC46" s="438"/>
    </row>
    <row r="47" spans="1:29" s="433" customFormat="1" ht="15.75">
      <c r="A47" s="434">
        <v>11</v>
      </c>
      <c r="B47" s="434">
        <v>22</v>
      </c>
      <c r="C47" s="581" t="s">
        <v>1161</v>
      </c>
      <c r="D47" s="889" t="s">
        <v>0</v>
      </c>
      <c r="E47" s="435" t="s">
        <v>42</v>
      </c>
      <c r="F47" s="992"/>
      <c r="G47" s="464"/>
      <c r="H47" s="464">
        <f>IFERROR(#REF!*G47,0)</f>
        <v>0</v>
      </c>
      <c r="I47" s="429"/>
      <c r="J47" s="429"/>
      <c r="K47" s="464"/>
      <c r="L47" s="438"/>
      <c r="M47" s="900">
        <f t="shared" si="10"/>
        <v>0</v>
      </c>
      <c r="N47" s="901">
        <f t="shared" si="12"/>
        <v>0</v>
      </c>
      <c r="O47" s="438">
        <f>IFERROR(LOOKUP(1,0/((印刷機資料庫!$F$2:$F$46=F47)*(印刷機資料庫!$G$2:$G$46=J47)),印刷機資料庫!$J$2:$J$46),0)</f>
        <v>0</v>
      </c>
      <c r="P47" s="462"/>
      <c r="Q47" s="442"/>
      <c r="R47" s="482">
        <f>IFERROR(LOOKUP(1,0/((印刷機資料庫!$F$2:$F$46=F47)*(印刷機資料庫!$G$2:$G$46=J47)),印刷機資料庫!$I$2:$I$46),0)</f>
        <v>0</v>
      </c>
      <c r="S47" s="900">
        <f>IFERROR(LOOKUP(1,0/((印刷機資料庫!$F$2:$F$46=F47)*(印刷機資料庫!$G$2:$G$46=J47)),印刷機資料庫!$K$2:$K$46),0)</f>
        <v>0</v>
      </c>
      <c r="T47" s="898">
        <f t="shared" si="6"/>
        <v>0</v>
      </c>
      <c r="U47" s="923">
        <f t="shared" si="7"/>
        <v>0</v>
      </c>
      <c r="V47" s="898">
        <f t="shared" si="8"/>
        <v>0</v>
      </c>
      <c r="W47" s="952"/>
      <c r="X47" s="899">
        <f t="shared" si="9"/>
        <v>0</v>
      </c>
      <c r="Y47" s="438"/>
      <c r="Z47" s="482"/>
      <c r="AA47" s="465"/>
      <c r="AB47" s="438"/>
      <c r="AC47" s="438"/>
    </row>
    <row r="48" spans="1:29" s="433" customFormat="1" ht="15.75">
      <c r="A48" s="434">
        <v>11</v>
      </c>
      <c r="B48" s="434">
        <v>23</v>
      </c>
      <c r="C48" s="581" t="s">
        <v>1180</v>
      </c>
      <c r="D48" s="889" t="s">
        <v>0</v>
      </c>
      <c r="E48" s="435" t="s">
        <v>42</v>
      </c>
      <c r="F48" s="992"/>
      <c r="G48" s="464"/>
      <c r="H48" s="464">
        <f>IFERROR(#REF!*G48,0)</f>
        <v>0</v>
      </c>
      <c r="I48" s="429"/>
      <c r="J48" s="429"/>
      <c r="K48" s="464"/>
      <c r="L48" s="438"/>
      <c r="M48" s="900">
        <f t="shared" si="10"/>
        <v>0</v>
      </c>
      <c r="N48" s="901">
        <f t="shared" si="12"/>
        <v>0</v>
      </c>
      <c r="O48" s="438">
        <f>IFERROR(LOOKUP(1,0/((印刷機資料庫!$F$2:$F$46=F48)*(印刷機資料庫!$G$2:$G$46=J48)),印刷機資料庫!$J$2:$J$46),0)</f>
        <v>0</v>
      </c>
      <c r="P48" s="462"/>
      <c r="Q48" s="442"/>
      <c r="R48" s="482">
        <f>IFERROR(LOOKUP(1,0/((印刷機資料庫!$F$2:$F$46=F48)*(印刷機資料庫!$G$2:$G$46=J48)),印刷機資料庫!$I$2:$I$46),0)</f>
        <v>0</v>
      </c>
      <c r="S48" s="900">
        <f>IFERROR(LOOKUP(1,0/((印刷機資料庫!$F$2:$F$46=F48)*(印刷機資料庫!$G$2:$G$46=J48)),印刷機資料庫!$K$2:$K$46),0)</f>
        <v>0</v>
      </c>
      <c r="T48" s="898">
        <f t="shared" si="6"/>
        <v>0</v>
      </c>
      <c r="U48" s="923">
        <f t="shared" si="7"/>
        <v>0</v>
      </c>
      <c r="V48" s="898">
        <f t="shared" si="8"/>
        <v>0</v>
      </c>
      <c r="W48" s="952"/>
      <c r="X48" s="899">
        <f t="shared" si="9"/>
        <v>0</v>
      </c>
      <c r="Y48" s="438"/>
      <c r="Z48" s="482"/>
      <c r="AA48" s="465"/>
      <c r="AB48" s="438"/>
      <c r="AC48" s="438"/>
    </row>
    <row r="49" spans="1:30" s="433" customFormat="1" ht="15.75">
      <c r="A49" s="434">
        <v>11</v>
      </c>
      <c r="B49" s="434">
        <v>23</v>
      </c>
      <c r="C49" s="581" t="s">
        <v>1180</v>
      </c>
      <c r="D49" s="889" t="s">
        <v>0</v>
      </c>
      <c r="E49" s="435" t="s">
        <v>42</v>
      </c>
      <c r="F49" s="992"/>
      <c r="G49" s="464"/>
      <c r="H49" s="464">
        <f>IFERROR(#REF!*G49,0)</f>
        <v>0</v>
      </c>
      <c r="I49" s="429"/>
      <c r="J49" s="429"/>
      <c r="K49" s="464"/>
      <c r="L49" s="438"/>
      <c r="M49" s="900">
        <f t="shared" si="10"/>
        <v>0</v>
      </c>
      <c r="N49" s="901">
        <f t="shared" si="12"/>
        <v>0</v>
      </c>
      <c r="O49" s="438">
        <f>IFERROR(LOOKUP(1,0/((印刷機資料庫!$F$2:$F$46=F49)*(印刷機資料庫!$G$2:$G$46=J49)),印刷機資料庫!$J$2:$J$46),0)</f>
        <v>0</v>
      </c>
      <c r="P49" s="462"/>
      <c r="Q49" s="442"/>
      <c r="R49" s="482">
        <f>IFERROR(LOOKUP(1,0/((印刷機資料庫!$F$2:$F$46=F49)*(印刷機資料庫!$G$2:$G$46=J49)),印刷機資料庫!$I$2:$I$46),0)</f>
        <v>0</v>
      </c>
      <c r="S49" s="900">
        <f>IFERROR(LOOKUP(1,0/((印刷機資料庫!$F$2:$F$46=F49)*(印刷機資料庫!$G$2:$G$46=J49)),印刷機資料庫!$K$2:$K$46),0)</f>
        <v>0</v>
      </c>
      <c r="T49" s="898">
        <f>IFERROR(L49/S49,0)</f>
        <v>0</v>
      </c>
      <c r="U49" s="923">
        <f t="shared" si="7"/>
        <v>0</v>
      </c>
      <c r="V49" s="898">
        <f t="shared" si="8"/>
        <v>0</v>
      </c>
      <c r="W49" s="952"/>
      <c r="X49" s="899">
        <f t="shared" si="9"/>
        <v>0</v>
      </c>
      <c r="Y49" s="438"/>
      <c r="Z49" s="482"/>
      <c r="AA49" s="465"/>
      <c r="AB49" s="438"/>
      <c r="AC49" s="438"/>
    </row>
    <row r="50" spans="1:30" s="433" customFormat="1" ht="15.75">
      <c r="A50" s="434">
        <v>11</v>
      </c>
      <c r="B50" s="434">
        <v>23</v>
      </c>
      <c r="C50" s="581" t="s">
        <v>1180</v>
      </c>
      <c r="D50" s="889" t="s">
        <v>0</v>
      </c>
      <c r="E50" s="435" t="s">
        <v>42</v>
      </c>
      <c r="F50" s="992"/>
      <c r="G50" s="464"/>
      <c r="H50" s="464">
        <f>IFERROR(#REF!*G50,0)</f>
        <v>0</v>
      </c>
      <c r="I50" s="429"/>
      <c r="J50" s="429"/>
      <c r="K50" s="464"/>
      <c r="L50" s="438"/>
      <c r="M50" s="900">
        <f t="shared" si="10"/>
        <v>0</v>
      </c>
      <c r="N50" s="901">
        <f t="shared" si="12"/>
        <v>0</v>
      </c>
      <c r="O50" s="438">
        <f>IFERROR(LOOKUP(1,0/((印刷機資料庫!$F$2:$F$46=F50)*(印刷機資料庫!$G$2:$G$46=J50)),印刷機資料庫!$J$2:$J$46),0)</f>
        <v>0</v>
      </c>
      <c r="P50" s="462"/>
      <c r="Q50" s="442"/>
      <c r="R50" s="482">
        <f>IFERROR(LOOKUP(1,0/((印刷機資料庫!$F$2:$F$46=F50)*(印刷機資料庫!$G$2:$G$46=J50)),印刷機資料庫!$I$2:$I$46),0)</f>
        <v>0</v>
      </c>
      <c r="S50" s="900">
        <f>IFERROR(LOOKUP(1,0/((印刷機資料庫!$F$2:$F$46=F50)*(印刷機資料庫!$G$2:$G$46=J50)),印刷機資料庫!$K$2:$K$46),0)</f>
        <v>0</v>
      </c>
      <c r="T50" s="898">
        <f t="shared" si="6"/>
        <v>0</v>
      </c>
      <c r="U50" s="923">
        <f t="shared" si="7"/>
        <v>0</v>
      </c>
      <c r="V50" s="898">
        <f t="shared" si="8"/>
        <v>0</v>
      </c>
      <c r="W50" s="952"/>
      <c r="X50" s="899">
        <f t="shared" si="9"/>
        <v>0</v>
      </c>
      <c r="Y50" s="438"/>
      <c r="Z50" s="482"/>
      <c r="AA50" s="465"/>
      <c r="AB50" s="438"/>
      <c r="AC50" s="438"/>
    </row>
    <row r="51" spans="1:30" s="433" customFormat="1" ht="15.75">
      <c r="A51" s="434">
        <v>11</v>
      </c>
      <c r="B51" s="434">
        <v>24</v>
      </c>
      <c r="C51" s="581" t="s">
        <v>1192</v>
      </c>
      <c r="D51" s="889" t="s">
        <v>0</v>
      </c>
      <c r="E51" s="435" t="s">
        <v>42</v>
      </c>
      <c r="F51" s="992"/>
      <c r="G51" s="464"/>
      <c r="H51" s="464">
        <f>IFERROR(#REF!*G51,0)</f>
        <v>0</v>
      </c>
      <c r="I51" s="429"/>
      <c r="J51" s="429"/>
      <c r="K51" s="464"/>
      <c r="L51" s="438"/>
      <c r="M51" s="900">
        <f t="shared" si="10"/>
        <v>0</v>
      </c>
      <c r="N51" s="901">
        <f t="shared" si="12"/>
        <v>0</v>
      </c>
      <c r="O51" s="438">
        <f>IFERROR(LOOKUP(1,0/((印刷機資料庫!$F$2:$F$46=F51)*(印刷機資料庫!$G$2:$G$46=J51)),印刷機資料庫!$J$2:$J$46),0)</f>
        <v>0</v>
      </c>
      <c r="P51" s="462"/>
      <c r="Q51" s="442"/>
      <c r="R51" s="482">
        <f>IFERROR(LOOKUP(1,0/((印刷機資料庫!$F$2:$F$46=F51)*(印刷機資料庫!$G$2:$G$46=J51)),印刷機資料庫!$I$2:$I$46),0)</f>
        <v>0</v>
      </c>
      <c r="S51" s="900">
        <f>IFERROR(LOOKUP(1,0/((印刷機資料庫!$F$2:$F$46=F51)*(印刷機資料庫!$G$2:$G$46=J51)),印刷機資料庫!$K$2:$K$46),0)</f>
        <v>0</v>
      </c>
      <c r="T51" s="898">
        <f t="shared" si="6"/>
        <v>0</v>
      </c>
      <c r="U51" s="923">
        <f t="shared" si="7"/>
        <v>0</v>
      </c>
      <c r="V51" s="898">
        <f t="shared" si="8"/>
        <v>0</v>
      </c>
      <c r="W51" s="952"/>
      <c r="X51" s="899">
        <f t="shared" si="9"/>
        <v>0</v>
      </c>
      <c r="Y51" s="438"/>
      <c r="Z51" s="482"/>
      <c r="AA51" s="465"/>
      <c r="AB51" s="438"/>
      <c r="AC51" s="438"/>
    </row>
    <row r="52" spans="1:30" s="433" customFormat="1" ht="15.75">
      <c r="A52" s="434">
        <v>11</v>
      </c>
      <c r="B52" s="434">
        <v>25</v>
      </c>
      <c r="C52" s="581" t="s">
        <v>1214</v>
      </c>
      <c r="D52" s="889" t="s">
        <v>0</v>
      </c>
      <c r="E52" s="435" t="s">
        <v>42</v>
      </c>
      <c r="F52" s="992"/>
      <c r="G52" s="464"/>
      <c r="H52" s="464">
        <f>IFERROR(#REF!*G52,0)</f>
        <v>0</v>
      </c>
      <c r="I52" s="429"/>
      <c r="J52" s="429"/>
      <c r="K52" s="464"/>
      <c r="L52" s="438"/>
      <c r="M52" s="900">
        <f t="shared" si="10"/>
        <v>0</v>
      </c>
      <c r="N52" s="901">
        <f t="shared" si="12"/>
        <v>0</v>
      </c>
      <c r="O52" s="438">
        <f>IFERROR(LOOKUP(1,0/((印刷機資料庫!$F$2:$F$46=F52)*(印刷機資料庫!$G$2:$G$46=J52)),印刷機資料庫!$J$2:$J$46),0)</f>
        <v>0</v>
      </c>
      <c r="P52" s="462"/>
      <c r="Q52" s="442"/>
      <c r="R52" s="482">
        <f>IFERROR(LOOKUP(1,0/((印刷機資料庫!$F$2:$F$46=F52)*(印刷機資料庫!$G$2:$G$46=J52)),印刷機資料庫!$I$2:$I$46),0)</f>
        <v>0</v>
      </c>
      <c r="S52" s="900">
        <f>IFERROR(LOOKUP(1,0/((印刷機資料庫!$F$2:$F$46=F52)*(印刷機資料庫!$G$2:$G$46=J52)),印刷機資料庫!$K$2:$K$46),0)</f>
        <v>0</v>
      </c>
      <c r="T52" s="898">
        <f t="shared" si="6"/>
        <v>0</v>
      </c>
      <c r="U52" s="923">
        <f t="shared" si="7"/>
        <v>0</v>
      </c>
      <c r="V52" s="898">
        <f t="shared" si="8"/>
        <v>0</v>
      </c>
      <c r="W52" s="952"/>
      <c r="X52" s="899">
        <f t="shared" si="9"/>
        <v>0</v>
      </c>
      <c r="Y52" s="438"/>
      <c r="Z52" s="482"/>
      <c r="AA52" s="465"/>
      <c r="AB52" s="438"/>
      <c r="AC52" s="438"/>
    </row>
    <row r="53" spans="1:30" s="433" customFormat="1" ht="15.75">
      <c r="A53" s="434">
        <v>11</v>
      </c>
      <c r="B53" s="434">
        <v>26</v>
      </c>
      <c r="C53" s="581" t="s">
        <v>671</v>
      </c>
      <c r="D53" s="889" t="s">
        <v>0</v>
      </c>
      <c r="E53" s="435" t="s">
        <v>42</v>
      </c>
      <c r="F53" s="992"/>
      <c r="G53" s="464"/>
      <c r="H53" s="464">
        <f>IFERROR(#REF!*G53,0)</f>
        <v>0</v>
      </c>
      <c r="I53" s="429"/>
      <c r="J53" s="429"/>
      <c r="K53" s="464"/>
      <c r="L53" s="438"/>
      <c r="M53" s="900">
        <f t="shared" si="10"/>
        <v>0</v>
      </c>
      <c r="N53" s="901">
        <f t="shared" si="12"/>
        <v>0</v>
      </c>
      <c r="O53" s="438">
        <f>IFERROR(LOOKUP(1,0/((印刷機資料庫!$F$2:$F$46=F53)*(印刷機資料庫!$G$2:$G$46=J53)),印刷機資料庫!$J$2:$J$46),0)</f>
        <v>0</v>
      </c>
      <c r="P53" s="462"/>
      <c r="Q53" s="444"/>
      <c r="R53" s="482">
        <f>IFERROR(LOOKUP(1,0/((印刷機資料庫!$F$2:$F$46=F53)*(印刷機資料庫!$G$2:$G$46=J53)),印刷機資料庫!$I$2:$I$46),0)</f>
        <v>0</v>
      </c>
      <c r="S53" s="900">
        <f>IFERROR(LOOKUP(1,0/((印刷機資料庫!$F$2:$F$46=F53)*(印刷機資料庫!$G$2:$G$46=J53)),印刷機資料庫!$K$2:$K$46),0)</f>
        <v>0</v>
      </c>
      <c r="T53" s="898">
        <f t="shared" si="6"/>
        <v>0</v>
      </c>
      <c r="U53" s="923">
        <f t="shared" si="7"/>
        <v>0</v>
      </c>
      <c r="V53" s="898">
        <f t="shared" si="8"/>
        <v>0</v>
      </c>
      <c r="W53" s="952"/>
      <c r="X53" s="899">
        <f t="shared" si="9"/>
        <v>0</v>
      </c>
      <c r="Y53" s="438"/>
      <c r="Z53" s="482"/>
      <c r="AA53" s="465"/>
      <c r="AB53" s="438"/>
      <c r="AC53" s="438"/>
    </row>
    <row r="54" spans="1:30" s="433" customFormat="1" ht="15.75">
      <c r="A54" s="434">
        <v>11</v>
      </c>
      <c r="B54" s="434">
        <v>27</v>
      </c>
      <c r="C54" s="581" t="s">
        <v>672</v>
      </c>
      <c r="D54" s="889" t="s">
        <v>0</v>
      </c>
      <c r="E54" s="435" t="s">
        <v>44</v>
      </c>
      <c r="F54" s="992"/>
      <c r="G54" s="464"/>
      <c r="H54" s="464">
        <f>IFERROR(#REF!*G54,0)</f>
        <v>0</v>
      </c>
      <c r="I54" s="429"/>
      <c r="J54" s="429"/>
      <c r="K54" s="464"/>
      <c r="L54" s="438"/>
      <c r="M54" s="900">
        <f t="shared" si="10"/>
        <v>0</v>
      </c>
      <c r="N54" s="901">
        <f t="shared" si="12"/>
        <v>0</v>
      </c>
      <c r="O54" s="438">
        <f>IFERROR(LOOKUP(1,0/((印刷機資料庫!$F$2:$F$46=F54)*(印刷機資料庫!$G$2:$G$46=J54)),印刷機資料庫!$J$2:$J$46),0)</f>
        <v>0</v>
      </c>
      <c r="P54" s="462"/>
      <c r="Q54" s="442"/>
      <c r="R54" s="482">
        <f>IFERROR(LOOKUP(1,0/((印刷機資料庫!$F$2:$F$46=F54)*(印刷機資料庫!$G$2:$G$46=J54)),印刷機資料庫!$I$2:$I$46),0)</f>
        <v>0</v>
      </c>
      <c r="S54" s="900">
        <f>IFERROR(LOOKUP(1,0/((印刷機資料庫!$F$2:$F$46=F54)*(印刷機資料庫!$G$2:$G$46=J54)),印刷機資料庫!$K$2:$K$46),0)</f>
        <v>0</v>
      </c>
      <c r="T54" s="898">
        <f t="shared" si="6"/>
        <v>0</v>
      </c>
      <c r="U54" s="923">
        <f t="shared" si="7"/>
        <v>0</v>
      </c>
      <c r="V54" s="898">
        <f t="shared" si="8"/>
        <v>0</v>
      </c>
      <c r="W54" s="952"/>
      <c r="X54" s="899">
        <f t="shared" si="9"/>
        <v>0</v>
      </c>
      <c r="Y54" s="438"/>
      <c r="Z54" s="482"/>
      <c r="AA54" s="465"/>
      <c r="AB54" s="438"/>
      <c r="AC54" s="438"/>
    </row>
    <row r="55" spans="1:30" s="433" customFormat="1" ht="15.75">
      <c r="A55" s="434">
        <v>11</v>
      </c>
      <c r="B55" s="434">
        <v>28</v>
      </c>
      <c r="C55" s="581" t="s">
        <v>1225</v>
      </c>
      <c r="D55" s="889" t="s">
        <v>0</v>
      </c>
      <c r="E55" s="435" t="s">
        <v>44</v>
      </c>
      <c r="F55" s="992"/>
      <c r="G55" s="464"/>
      <c r="H55" s="464">
        <f>IFERROR(#REF!*G55,0)</f>
        <v>0</v>
      </c>
      <c r="I55" s="429"/>
      <c r="J55" s="429"/>
      <c r="K55" s="464"/>
      <c r="L55" s="438"/>
      <c r="M55" s="900">
        <f t="shared" si="10"/>
        <v>0</v>
      </c>
      <c r="N55" s="901">
        <f t="shared" si="12"/>
        <v>0</v>
      </c>
      <c r="O55" s="438">
        <f>IFERROR(LOOKUP(1,0/((印刷機資料庫!$F$2:$F$46=F55)*(印刷機資料庫!$G$2:$G$46=J55)),印刷機資料庫!$J$2:$J$46),0)</f>
        <v>0</v>
      </c>
      <c r="P55" s="462"/>
      <c r="Q55" s="442"/>
      <c r="R55" s="482">
        <f>IFERROR(LOOKUP(1,0/((印刷機資料庫!$F$2:$F$46=F55)*(印刷機資料庫!$G$2:$G$46=J55)),印刷機資料庫!$I$2:$I$46),0)</f>
        <v>0</v>
      </c>
      <c r="S55" s="900">
        <f>IFERROR(LOOKUP(1,0/((印刷機資料庫!$F$2:$F$46=F55)*(印刷機資料庫!$G$2:$G$46=J55)),印刷機資料庫!$K$2:$K$46),0)</f>
        <v>0</v>
      </c>
      <c r="T55" s="898">
        <f>IFERROR(L55/S55,0)</f>
        <v>0</v>
      </c>
      <c r="U55" s="923">
        <f>IFERROR(R55*X55*60/O55,0)</f>
        <v>0</v>
      </c>
      <c r="V55" s="898">
        <f>IFERROR(L55/U55,0)</f>
        <v>0</v>
      </c>
      <c r="W55" s="952"/>
      <c r="X55" s="899">
        <f>Y55+Z55/60</f>
        <v>0</v>
      </c>
      <c r="Y55" s="438"/>
      <c r="Z55" s="482"/>
      <c r="AA55" s="465"/>
      <c r="AB55" s="438"/>
      <c r="AC55" s="438"/>
    </row>
    <row r="56" spans="1:30" s="433" customFormat="1" ht="15.75">
      <c r="A56" s="434">
        <v>11</v>
      </c>
      <c r="B56" s="434">
        <v>29</v>
      </c>
      <c r="C56" s="581" t="s">
        <v>1245</v>
      </c>
      <c r="D56" s="889" t="s">
        <v>0</v>
      </c>
      <c r="E56" s="435" t="s">
        <v>58</v>
      </c>
      <c r="F56" s="992"/>
      <c r="G56" s="464"/>
      <c r="H56" s="464">
        <f>IFERROR(#REF!*G56,0)</f>
        <v>0</v>
      </c>
      <c r="I56" s="429"/>
      <c r="J56" s="429"/>
      <c r="K56" s="464"/>
      <c r="L56" s="438"/>
      <c r="M56" s="900">
        <f>L56*O56</f>
        <v>0</v>
      </c>
      <c r="N56" s="901">
        <f t="shared" si="12"/>
        <v>0</v>
      </c>
      <c r="O56" s="438">
        <f>IFERROR(LOOKUP(1,0/((印刷機資料庫!$F$2:$F$46=F56)*(印刷機資料庫!$G$2:$G$46=J56)),印刷機資料庫!$J$2:$J$46),0)</f>
        <v>0</v>
      </c>
      <c r="P56" s="462"/>
      <c r="Q56" s="442"/>
      <c r="R56" s="482">
        <f>IFERROR(LOOKUP(1,0/((印刷機資料庫!$F$2:$F$46=F56)*(印刷機資料庫!$G$2:$G$46=J56)),印刷機資料庫!$I$2:$I$46),0)</f>
        <v>0</v>
      </c>
      <c r="S56" s="900">
        <f>IFERROR(LOOKUP(1,0/((印刷機資料庫!$F$2:$F$46=F56)*(印刷機資料庫!$G$2:$G$46=J56)),印刷機資料庫!$K$2:$K$46),0)</f>
        <v>0</v>
      </c>
      <c r="T56" s="898">
        <f>IFERROR(L56/S56,0)</f>
        <v>0</v>
      </c>
      <c r="U56" s="923">
        <f>IFERROR(R56*X56*60/O56,0)</f>
        <v>0</v>
      </c>
      <c r="V56" s="898">
        <f>IFERROR(L56/U56,0)</f>
        <v>0</v>
      </c>
      <c r="W56" s="952"/>
      <c r="X56" s="899">
        <f>Y56+Z56/60</f>
        <v>0</v>
      </c>
      <c r="Y56" s="438"/>
      <c r="Z56" s="482"/>
      <c r="AA56" s="465"/>
      <c r="AB56" s="438"/>
      <c r="AC56" s="438"/>
    </row>
    <row r="57" spans="1:30" s="433" customFormat="1" ht="15.75">
      <c r="A57" s="434">
        <v>11</v>
      </c>
      <c r="B57" s="434">
        <v>30</v>
      </c>
      <c r="C57" s="581" t="s">
        <v>1266</v>
      </c>
      <c r="D57" s="889" t="s">
        <v>0</v>
      </c>
      <c r="E57" s="435" t="s">
        <v>58</v>
      </c>
      <c r="F57" s="992"/>
      <c r="G57" s="464"/>
      <c r="H57" s="464">
        <f>IFERROR(#REF!*G57,0)</f>
        <v>0</v>
      </c>
      <c r="I57" s="429"/>
      <c r="J57" s="429"/>
      <c r="K57" s="464"/>
      <c r="L57" s="438"/>
      <c r="M57" s="900">
        <f>L57*O57</f>
        <v>0</v>
      </c>
      <c r="N57" s="901">
        <f t="shared" si="12"/>
        <v>0</v>
      </c>
      <c r="O57" s="438">
        <f>IFERROR(LOOKUP(1,0/((印刷機資料庫!$F$2:$F$46=F57)*(印刷機資料庫!$G$2:$G$46=J57)),印刷機資料庫!$J$2:$J$46),0)</f>
        <v>0</v>
      </c>
      <c r="P57" s="462"/>
      <c r="Q57" s="442"/>
      <c r="R57" s="482">
        <f>IFERROR(LOOKUP(1,0/((印刷機資料庫!$F$2:$F$46=F57)*(印刷機資料庫!$G$2:$G$46=J57)),印刷機資料庫!$I$2:$I$46),0)</f>
        <v>0</v>
      </c>
      <c r="S57" s="900">
        <f>IFERROR(LOOKUP(1,0/((印刷機資料庫!$F$2:$F$46=F57)*(印刷機資料庫!$G$2:$G$46=J57)),印刷機資料庫!$K$2:$K$46),0)</f>
        <v>0</v>
      </c>
      <c r="T57" s="898">
        <f>IFERROR(L57/S57,0)</f>
        <v>0</v>
      </c>
      <c r="U57" s="923">
        <f>IFERROR(R57*X57*60/O57,0)</f>
        <v>0</v>
      </c>
      <c r="V57" s="898">
        <f>IFERROR(L57/U57,0)</f>
        <v>0</v>
      </c>
      <c r="W57" s="952"/>
      <c r="X57" s="899">
        <f>Y57+Z57/60</f>
        <v>0</v>
      </c>
      <c r="Y57" s="438"/>
      <c r="Z57" s="482"/>
      <c r="AA57" s="465"/>
      <c r="AB57" s="438"/>
      <c r="AC57" s="539"/>
    </row>
    <row r="58" spans="1:30" s="433" customFormat="1" ht="15.75">
      <c r="A58" s="434">
        <v>11</v>
      </c>
      <c r="B58" s="434">
        <v>30</v>
      </c>
      <c r="C58" s="581" t="s">
        <v>1266</v>
      </c>
      <c r="D58" s="889" t="s">
        <v>0</v>
      </c>
      <c r="E58" s="435" t="s">
        <v>58</v>
      </c>
      <c r="F58" s="992"/>
      <c r="G58" s="464"/>
      <c r="H58" s="464">
        <f>IFERROR(#REF!*G58,0)</f>
        <v>0</v>
      </c>
      <c r="I58" s="429"/>
      <c r="J58" s="429"/>
      <c r="K58" s="464"/>
      <c r="L58" s="438"/>
      <c r="M58" s="900">
        <f>L58*O58</f>
        <v>0</v>
      </c>
      <c r="N58" s="901">
        <f t="shared" si="12"/>
        <v>0</v>
      </c>
      <c r="O58" s="438">
        <f>IFERROR(LOOKUP(1,0/((印刷機資料庫!$F$2:$F$46=F58)*(印刷機資料庫!$G$2:$G$46=J58)),印刷機資料庫!$J$2:$J$46),0)</f>
        <v>0</v>
      </c>
      <c r="P58" s="462"/>
      <c r="Q58" s="442"/>
      <c r="R58" s="482">
        <f>IFERROR(LOOKUP(1,0/((印刷機資料庫!$F$2:$F$46=F58)*(印刷機資料庫!$G$2:$G$46=J58)),印刷機資料庫!$I$2:$I$46),0)</f>
        <v>0</v>
      </c>
      <c r="S58" s="900">
        <f>IFERROR(LOOKUP(1,0/((印刷機資料庫!$F$2:$F$46=F58)*(印刷機資料庫!$G$2:$G$46=J58)),印刷機資料庫!$K$2:$K$46),0)</f>
        <v>0</v>
      </c>
      <c r="T58" s="898">
        <f>IFERROR(L58/S58,0)</f>
        <v>0</v>
      </c>
      <c r="U58" s="923">
        <f>IFERROR(R58*X58*60/O58,0)</f>
        <v>0</v>
      </c>
      <c r="V58" s="898">
        <f>IFERROR(L58/U58,0)</f>
        <v>0</v>
      </c>
      <c r="W58" s="952"/>
      <c r="X58" s="899">
        <f>Y58+Z58/60</f>
        <v>0</v>
      </c>
      <c r="Y58" s="438"/>
      <c r="Z58" s="482"/>
      <c r="AA58" s="465"/>
      <c r="AB58" s="939"/>
      <c r="AC58" s="438"/>
      <c r="AD58" s="458"/>
    </row>
    <row r="59" spans="1:30" s="433" customFormat="1" ht="15.75">
      <c r="A59" s="434"/>
      <c r="B59" s="434"/>
      <c r="C59" s="581"/>
      <c r="D59" s="889"/>
      <c r="E59" s="435"/>
      <c r="F59" s="992"/>
      <c r="G59" s="464"/>
      <c r="H59" s="464">
        <f>IFERROR(#REF!*G59,0)</f>
        <v>0</v>
      </c>
      <c r="I59" s="429"/>
      <c r="J59" s="429"/>
      <c r="K59" s="464"/>
      <c r="L59" s="438"/>
      <c r="M59" s="900">
        <f>L59*O59</f>
        <v>0</v>
      </c>
      <c r="N59" s="901">
        <f t="shared" si="12"/>
        <v>0</v>
      </c>
      <c r="O59" s="438">
        <f>IFERROR(LOOKUP(1,0/((印刷機資料庫!$F$2:$F$46=F59)*(印刷機資料庫!$G$2:$G$46=J59)),印刷機資料庫!$J$2:$J$46),0)</f>
        <v>0</v>
      </c>
      <c r="P59" s="462"/>
      <c r="Q59" s="442"/>
      <c r="R59" s="482">
        <f>IFERROR(LOOKUP(1,0/((印刷機資料庫!$F$2:$F$46=F59)*(印刷機資料庫!$G$2:$G$46=J59)),印刷機資料庫!$I$2:$I$46),0)</f>
        <v>0</v>
      </c>
      <c r="S59" s="900">
        <f>IFERROR(LOOKUP(1,0/((印刷機資料庫!$F$2:$F$46=F59)*(印刷機資料庫!$G$2:$G$46=J59)),印刷機資料庫!$K$2:$K$46),0)</f>
        <v>0</v>
      </c>
      <c r="T59" s="898">
        <f>IFERROR(L59/S59,0)</f>
        <v>0</v>
      </c>
      <c r="U59" s="923">
        <f>IFERROR(R59*X59*60/O59,0)</f>
        <v>0</v>
      </c>
      <c r="V59" s="898">
        <f>IFERROR(L59/U59,0)</f>
        <v>0</v>
      </c>
      <c r="W59" s="952"/>
      <c r="X59" s="899">
        <f>Y59+Z59/60</f>
        <v>0</v>
      </c>
      <c r="Y59" s="438"/>
      <c r="Z59" s="482"/>
      <c r="AA59" s="465"/>
      <c r="AB59" s="939"/>
      <c r="AC59" s="438"/>
      <c r="AD59" s="458"/>
    </row>
    <row r="60" spans="1:30" s="433" customFormat="1" ht="15.75">
      <c r="A60" s="446"/>
      <c r="B60" s="446"/>
      <c r="C60" s="456"/>
      <c r="D60" s="456"/>
      <c r="E60" s="448"/>
      <c r="F60" s="452"/>
      <c r="G60" s="452"/>
      <c r="H60" s="430"/>
      <c r="I60" s="518"/>
      <c r="J60" s="518"/>
      <c r="K60" s="452"/>
      <c r="L60" s="439"/>
      <c r="M60" s="945"/>
      <c r="N60" s="946"/>
      <c r="O60" s="467"/>
      <c r="P60" s="467"/>
      <c r="Q60" s="869"/>
      <c r="R60" s="470"/>
      <c r="S60" s="945"/>
      <c r="T60" s="936"/>
      <c r="U60" s="947"/>
      <c r="V60" s="936"/>
      <c r="W60" s="955"/>
      <c r="X60" s="948"/>
      <c r="Y60" s="439"/>
      <c r="Z60" s="471"/>
      <c r="AB60" s="439"/>
      <c r="AC60" s="439"/>
      <c r="AD60" s="458"/>
    </row>
    <row r="61" spans="1:30" s="433" customFormat="1" ht="15.75">
      <c r="A61" s="446"/>
      <c r="B61" s="446"/>
      <c r="C61" s="456"/>
      <c r="D61" s="456"/>
      <c r="E61" s="448"/>
      <c r="F61" s="452"/>
      <c r="G61" s="452"/>
      <c r="H61" s="430"/>
      <c r="I61" s="518"/>
      <c r="J61" s="518"/>
      <c r="K61" s="452"/>
      <c r="L61" s="439"/>
      <c r="M61" s="945"/>
      <c r="N61" s="946"/>
      <c r="O61" s="467"/>
      <c r="P61" s="467"/>
      <c r="Q61" s="869"/>
      <c r="R61" s="470"/>
      <c r="S61" s="945"/>
      <c r="T61" s="936"/>
      <c r="U61" s="947"/>
      <c r="V61" s="936"/>
      <c r="W61" s="955"/>
      <c r="X61" s="948"/>
      <c r="Y61" s="439"/>
      <c r="Z61" s="471"/>
      <c r="AB61" s="439"/>
      <c r="AC61" s="439"/>
      <c r="AD61" s="458"/>
    </row>
    <row r="62" spans="1:30" s="433" customFormat="1" thickBot="1">
      <c r="A62" s="446"/>
      <c r="B62" s="446"/>
      <c r="C62" s="446"/>
      <c r="D62" s="446"/>
      <c r="E62" s="448"/>
      <c r="F62" s="430"/>
      <c r="G62" s="430"/>
      <c r="H62" s="430"/>
      <c r="I62" s="430"/>
      <c r="J62" s="430"/>
      <c r="K62" s="439"/>
      <c r="L62" s="439"/>
      <c r="M62" s="452"/>
      <c r="N62" s="457"/>
      <c r="O62" s="467"/>
      <c r="P62" s="467"/>
      <c r="Q62" s="457"/>
      <c r="R62" s="470"/>
      <c r="S62" s="458"/>
      <c r="T62" s="487">
        <f>SUM(T17:T58)</f>
        <v>0</v>
      </c>
      <c r="U62" s="925"/>
      <c r="V62" s="487"/>
      <c r="W62" s="956"/>
      <c r="X62" s="487"/>
      <c r="Y62" s="489"/>
      <c r="Z62" s="489"/>
      <c r="AA62" s="469" t="s">
        <v>46</v>
      </c>
      <c r="AB62" s="439"/>
      <c r="AC62" s="439"/>
    </row>
    <row r="63" spans="1:30" s="469" customFormat="1" ht="15.75">
      <c r="A63" s="479"/>
      <c r="B63" s="479"/>
      <c r="C63" s="479"/>
      <c r="D63" s="479"/>
      <c r="E63" s="452"/>
      <c r="F63" s="517"/>
      <c r="G63" s="525" t="s">
        <v>631</v>
      </c>
      <c r="H63" s="518"/>
      <c r="I63" s="518"/>
      <c r="J63" s="518"/>
      <c r="K63" s="1842" t="s">
        <v>1348</v>
      </c>
      <c r="L63" s="949" t="s">
        <v>536</v>
      </c>
      <c r="M63" s="525" t="s">
        <v>630</v>
      </c>
      <c r="N63" s="526" t="s">
        <v>458</v>
      </c>
      <c r="O63" s="521"/>
      <c r="P63" s="524" t="s">
        <v>537</v>
      </c>
      <c r="Q63" s="524" t="s">
        <v>455</v>
      </c>
      <c r="R63" s="520"/>
      <c r="S63" s="524" t="s">
        <v>1284</v>
      </c>
      <c r="T63" s="524" t="s">
        <v>459</v>
      </c>
      <c r="U63" s="520"/>
      <c r="V63" s="524" t="s">
        <v>1345</v>
      </c>
      <c r="W63" s="524" t="s">
        <v>1350</v>
      </c>
      <c r="X63" s="524" t="s">
        <v>1351</v>
      </c>
      <c r="Y63" s="524" t="s">
        <v>1353</v>
      </c>
      <c r="Z63" s="524" t="s">
        <v>1352</v>
      </c>
      <c r="AA63" s="469" t="s">
        <v>253</v>
      </c>
      <c r="AB63" s="452"/>
      <c r="AC63" s="452"/>
    </row>
    <row r="64" spans="1:30" thickBot="1">
      <c r="G64" s="522">
        <f>SUM(H17:H58)</f>
        <v>0</v>
      </c>
      <c r="H64" s="431"/>
      <c r="I64" s="431"/>
      <c r="J64" s="431"/>
      <c r="K64" s="1843"/>
      <c r="L64" s="950">
        <f>SUM(L17:L59)</f>
        <v>0</v>
      </c>
      <c r="M64" s="522">
        <f>SUM(M17:M59)</f>
        <v>0</v>
      </c>
      <c r="N64" s="523">
        <f>SUM(N17:N59)</f>
        <v>0</v>
      </c>
      <c r="P64" s="523">
        <f>SUM(P17:P59)</f>
        <v>0</v>
      </c>
      <c r="Q64" s="897" t="e">
        <f>P64/(M64+P64)</f>
        <v>#DIV/0!</v>
      </c>
      <c r="S64" s="523" t="e">
        <f>L64/T64</f>
        <v>#DIV/0!</v>
      </c>
      <c r="T64" s="898">
        <f>T62/V64</f>
        <v>0</v>
      </c>
      <c r="U64" s="455"/>
      <c r="V64" s="516">
        <v>21</v>
      </c>
      <c r="W64" s="958">
        <f>SUM(W17:W59)</f>
        <v>0</v>
      </c>
      <c r="X64" s="516">
        <f>SUM(X17:X59)</f>
        <v>0</v>
      </c>
      <c r="Y64" s="516">
        <f>W64-X64</f>
        <v>0</v>
      </c>
      <c r="Z64" s="896" t="e">
        <f>X64/W64</f>
        <v>#DIV/0!</v>
      </c>
    </row>
    <row r="65" spans="1:53" ht="21">
      <c r="M65" s="453"/>
      <c r="N65"/>
      <c r="Q65"/>
      <c r="T65" s="940"/>
      <c r="U65" s="942"/>
    </row>
    <row r="66" spans="1:53" ht="17.25" thickBot="1">
      <c r="S66" s="446"/>
      <c r="T66" s="446"/>
      <c r="U66" s="446"/>
    </row>
    <row r="67" spans="1:53" ht="15.75">
      <c r="A67" s="1824" t="s">
        <v>330</v>
      </c>
      <c r="B67" s="1826" t="s">
        <v>311</v>
      </c>
      <c r="C67" s="1828" t="s">
        <v>331</v>
      </c>
      <c r="D67" s="1828" t="s">
        <v>332</v>
      </c>
      <c r="E67" s="1830" t="s">
        <v>194</v>
      </c>
      <c r="F67" s="1832" t="s">
        <v>510</v>
      </c>
      <c r="G67" s="1872" t="s">
        <v>628</v>
      </c>
      <c r="H67" s="1874" t="s">
        <v>629</v>
      </c>
      <c r="I67" s="1832" t="s">
        <v>361</v>
      </c>
      <c r="J67" s="1832" t="s">
        <v>1320</v>
      </c>
      <c r="K67" s="1828" t="s">
        <v>362</v>
      </c>
      <c r="L67" s="1828" t="s">
        <v>514</v>
      </c>
      <c r="M67" s="1856" t="s">
        <v>511</v>
      </c>
      <c r="N67" s="1858" t="s">
        <v>457</v>
      </c>
      <c r="O67" s="1828" t="s">
        <v>380</v>
      </c>
      <c r="P67" s="1876" t="s">
        <v>515</v>
      </c>
      <c r="Q67" s="1854" t="s">
        <v>3</v>
      </c>
      <c r="R67" s="1836" t="s">
        <v>512</v>
      </c>
      <c r="S67" s="1844" t="s">
        <v>1286</v>
      </c>
      <c r="T67" s="1846" t="s">
        <v>201</v>
      </c>
      <c r="U67" s="1846" t="s">
        <v>1318</v>
      </c>
      <c r="V67" s="1846" t="s">
        <v>1319</v>
      </c>
      <c r="W67" s="1849" t="s">
        <v>1285</v>
      </c>
      <c r="X67" s="1866" t="s">
        <v>1297</v>
      </c>
      <c r="Y67" s="1860" t="s">
        <v>340</v>
      </c>
      <c r="Z67" s="1861"/>
      <c r="AA67" s="1867" t="s">
        <v>371</v>
      </c>
      <c r="AB67" s="1867" t="s">
        <v>383</v>
      </c>
      <c r="AC67" s="1864" t="s">
        <v>29</v>
      </c>
    </row>
    <row r="68" spans="1:53" s="447" customFormat="1" thickBot="1">
      <c r="A68" s="1879"/>
      <c r="B68" s="1880"/>
      <c r="C68" s="1839"/>
      <c r="D68" s="1839"/>
      <c r="E68" s="1881"/>
      <c r="F68" s="1838"/>
      <c r="G68" s="1873"/>
      <c r="H68" s="1875"/>
      <c r="I68" s="1838"/>
      <c r="J68" s="1838"/>
      <c r="K68" s="1839"/>
      <c r="L68" s="1839"/>
      <c r="M68" s="1857"/>
      <c r="N68" s="1871"/>
      <c r="O68" s="1839"/>
      <c r="P68" s="1877"/>
      <c r="Q68" s="1869"/>
      <c r="R68" s="1870"/>
      <c r="S68" s="1878"/>
      <c r="T68" s="1848"/>
      <c r="U68" s="1848"/>
      <c r="V68" s="1848"/>
      <c r="W68" s="1850"/>
      <c r="X68" s="1850"/>
      <c r="Y68" s="491" t="s">
        <v>350</v>
      </c>
      <c r="Z68" s="491" t="s">
        <v>351</v>
      </c>
      <c r="AA68" s="1868"/>
      <c r="AB68" s="1868"/>
      <c r="AC68" s="1865"/>
      <c r="AD68" s="446"/>
      <c r="AE68" s="446"/>
      <c r="AR68" s="446"/>
      <c r="AS68" s="446"/>
      <c r="AT68" s="446"/>
      <c r="AU68" s="446"/>
      <c r="AV68" s="446"/>
      <c r="AW68" s="446"/>
      <c r="AX68" s="446"/>
      <c r="AY68" s="446"/>
      <c r="AZ68" s="446"/>
      <c r="BA68" s="446"/>
    </row>
    <row r="69" spans="1:53" s="433" customFormat="1" ht="15.75">
      <c r="A69" s="581"/>
      <c r="B69" s="581">
        <v>1</v>
      </c>
      <c r="C69" s="581" t="s">
        <v>632</v>
      </c>
      <c r="D69" s="581" t="s">
        <v>43</v>
      </c>
      <c r="E69" s="435" t="s">
        <v>42</v>
      </c>
      <c r="F69" s="429"/>
      <c r="G69" s="464"/>
      <c r="H69" s="464">
        <f>IFERROR(#REF!*G69,0)</f>
        <v>0</v>
      </c>
      <c r="I69" s="429"/>
      <c r="J69" s="429"/>
      <c r="K69" s="464"/>
      <c r="L69" s="438"/>
      <c r="M69" s="900">
        <f>L69*O69</f>
        <v>0</v>
      </c>
      <c r="N69" s="901">
        <f>K69*L69</f>
        <v>0</v>
      </c>
      <c r="O69" s="438">
        <f>IFERROR(LOOKUP(1,0/((印刷機資料庫!$F$2:$F$46=F69)*(印刷機資料庫!$G$2:$G$46=J69)),印刷機資料庫!$J$2:$J$46),0)</f>
        <v>0</v>
      </c>
      <c r="P69" s="462"/>
      <c r="Q69" s="442">
        <f t="shared" ref="Q69:Q88" si="13">IFERROR(P69/(M69+P69),0)</f>
        <v>0</v>
      </c>
      <c r="R69" s="482">
        <f>IFERROR(LOOKUP(1,0/((印刷機資料庫!$F$2:$F$46=F69)*(印刷機資料庫!$G$2:$G$46=J69)),印刷機資料庫!$I$2:$I$46),0)</f>
        <v>0</v>
      </c>
      <c r="S69" s="900">
        <f>IFERROR(LOOKUP(1,0/((印刷機資料庫!$F$2:$F$46=F69)*(印刷機資料庫!$G$2:$G$46=J69)),印刷機資料庫!$K$2:$K$46),0)</f>
        <v>0</v>
      </c>
      <c r="T69" s="898">
        <f>IFERROR(L69/S69,0)</f>
        <v>0</v>
      </c>
      <c r="U69" s="923">
        <f>IFERROR(R69*X69*60/O69,0)</f>
        <v>0</v>
      </c>
      <c r="V69" s="898">
        <f>IFERROR(L69/U69,0)</f>
        <v>0</v>
      </c>
      <c r="W69" s="953"/>
      <c r="X69" s="899">
        <f>Y69+Z69/60</f>
        <v>0</v>
      </c>
      <c r="Y69" s="438"/>
      <c r="Z69" s="482"/>
      <c r="AA69" s="465"/>
      <c r="AB69" s="438"/>
      <c r="AC69" s="438"/>
    </row>
    <row r="70" spans="1:53" s="433" customFormat="1" ht="15.75">
      <c r="A70" s="581"/>
      <c r="B70" s="581">
        <v>2</v>
      </c>
      <c r="C70" s="581" t="s">
        <v>667</v>
      </c>
      <c r="D70" s="581" t="s">
        <v>43</v>
      </c>
      <c r="E70" s="435" t="s">
        <v>42</v>
      </c>
      <c r="F70" s="429"/>
      <c r="G70" s="464"/>
      <c r="H70" s="464">
        <f>IFERROR(#REF!*G70,0)</f>
        <v>0</v>
      </c>
      <c r="I70" s="429"/>
      <c r="J70" s="429"/>
      <c r="K70" s="464"/>
      <c r="L70" s="438"/>
      <c r="M70" s="900">
        <f t="shared" ref="M70:M99" si="14">L70*O70</f>
        <v>0</v>
      </c>
      <c r="N70" s="901">
        <f>K70*L70</f>
        <v>0</v>
      </c>
      <c r="O70" s="438">
        <f>IFERROR(LOOKUP(1,0/((印刷機資料庫!$F$2:$F$46=F70)*(印刷機資料庫!$G$2:$G$46=J70)),印刷機資料庫!$J$2:$J$46),0)</f>
        <v>0</v>
      </c>
      <c r="P70" s="462"/>
      <c r="Q70" s="442">
        <f t="shared" si="13"/>
        <v>0</v>
      </c>
      <c r="R70" s="482">
        <f>IFERROR(LOOKUP(1,0/((印刷機資料庫!$F$2:$F$46=F70)*(印刷機資料庫!$G$2:$G$46=J70)),印刷機資料庫!$I$2:$I$46),0)</f>
        <v>0</v>
      </c>
      <c r="S70" s="900">
        <f>IFERROR(LOOKUP(1,0/((印刷機資料庫!$F$2:$F$46=F70)*(印刷機資料庫!$G$2:$G$46=J70)),印刷機資料庫!$K$2:$K$46),0)</f>
        <v>0</v>
      </c>
      <c r="T70" s="898">
        <f t="shared" ref="T70:T75" si="15">IFERROR(L70/S70,0)</f>
        <v>0</v>
      </c>
      <c r="U70" s="923">
        <f>IFERROR(R70*X70*60/O70,0)</f>
        <v>0</v>
      </c>
      <c r="V70" s="898">
        <f t="shared" ref="V70:V75" si="16">IFERROR(L70/U70,0)</f>
        <v>0</v>
      </c>
      <c r="W70" s="953"/>
      <c r="X70" s="899">
        <f t="shared" ref="X70:X99" si="17">Y70+Z70/60</f>
        <v>0</v>
      </c>
      <c r="Y70" s="438"/>
      <c r="Z70" s="482"/>
      <c r="AA70" s="465"/>
      <c r="AB70" s="438"/>
      <c r="AC70" s="438"/>
    </row>
    <row r="71" spans="1:53" s="433" customFormat="1" ht="15.75">
      <c r="A71" s="581"/>
      <c r="B71" s="581">
        <v>3</v>
      </c>
      <c r="C71" s="581" t="s">
        <v>669</v>
      </c>
      <c r="D71" s="581" t="s">
        <v>43</v>
      </c>
      <c r="E71" s="435" t="s">
        <v>42</v>
      </c>
      <c r="F71" s="429"/>
      <c r="G71" s="464"/>
      <c r="H71" s="464">
        <f>IFERROR(#REF!*G71,0)</f>
        <v>0</v>
      </c>
      <c r="I71" s="429"/>
      <c r="J71" s="429"/>
      <c r="K71" s="464"/>
      <c r="L71" s="438"/>
      <c r="M71" s="900">
        <f t="shared" si="14"/>
        <v>0</v>
      </c>
      <c r="N71" s="901">
        <f>K71*L71</f>
        <v>0</v>
      </c>
      <c r="O71" s="438">
        <f>IFERROR(LOOKUP(1,0/((印刷機資料庫!$F$2:$F$46=F71)*(印刷機資料庫!$G$2:$G$46=J71)),印刷機資料庫!$J$2:$J$46),0)</f>
        <v>0</v>
      </c>
      <c r="P71" s="462"/>
      <c r="Q71" s="442">
        <f t="shared" si="13"/>
        <v>0</v>
      </c>
      <c r="R71" s="482">
        <f>IFERROR(LOOKUP(1,0/((印刷機資料庫!$F$2:$F$46=F71)*(印刷機資料庫!$G$2:$G$46=J71)),印刷機資料庫!$I$2:$I$46),0)</f>
        <v>0</v>
      </c>
      <c r="S71" s="900">
        <f>IFERROR(LOOKUP(1,0/((印刷機資料庫!$F$2:$F$46=F71)*(印刷機資料庫!$G$2:$G$46=J71)),印刷機資料庫!$K$2:$K$46),0)</f>
        <v>0</v>
      </c>
      <c r="T71" s="898">
        <f t="shared" si="15"/>
        <v>0</v>
      </c>
      <c r="U71" s="923">
        <f>IFERROR(R71*X71*60/O71,0)</f>
        <v>0</v>
      </c>
      <c r="V71" s="898">
        <f t="shared" si="16"/>
        <v>0</v>
      </c>
      <c r="W71" s="953"/>
      <c r="X71" s="899">
        <f t="shared" si="17"/>
        <v>0</v>
      </c>
      <c r="Y71" s="438"/>
      <c r="Z71" s="482"/>
      <c r="AA71" s="465"/>
      <c r="AB71" s="438"/>
      <c r="AC71" s="438"/>
    </row>
    <row r="72" spans="1:53" s="433" customFormat="1" ht="15.75">
      <c r="A72" s="581"/>
      <c r="B72" s="581">
        <v>4</v>
      </c>
      <c r="C72" s="581" t="s">
        <v>670</v>
      </c>
      <c r="D72" s="581" t="s">
        <v>43</v>
      </c>
      <c r="E72" s="435" t="s">
        <v>42</v>
      </c>
      <c r="F72" s="429"/>
      <c r="G72" s="464"/>
      <c r="H72" s="464">
        <f>IFERROR(#REF!*G72,0)</f>
        <v>0</v>
      </c>
      <c r="I72" s="429"/>
      <c r="J72" s="429"/>
      <c r="K72" s="464"/>
      <c r="L72" s="438"/>
      <c r="M72" s="900">
        <f t="shared" si="14"/>
        <v>0</v>
      </c>
      <c r="N72" s="901">
        <f t="shared" ref="N72:N89" si="18">K72*L72</f>
        <v>0</v>
      </c>
      <c r="O72" s="438">
        <f>IFERROR(LOOKUP(1,0/((印刷機資料庫!$F$2:$F$46=F72)*(印刷機資料庫!$G$2:$G$46=J72)),印刷機資料庫!$J$2:$J$46),0)</f>
        <v>0</v>
      </c>
      <c r="P72" s="462"/>
      <c r="Q72" s="442">
        <f t="shared" si="13"/>
        <v>0</v>
      </c>
      <c r="R72" s="482">
        <f>IFERROR(LOOKUP(1,0/((印刷機資料庫!$F$2:$F$46=F72)*(印刷機資料庫!$G$2:$G$46=J72)),印刷機資料庫!$I$2:$I$46),0)</f>
        <v>0</v>
      </c>
      <c r="S72" s="900">
        <f>IFERROR(LOOKUP(1,0/((印刷機資料庫!$F$2:$F$46=F72)*(印刷機資料庫!$G$2:$G$46=J72)),印刷機資料庫!$K$2:$K$46),0)</f>
        <v>0</v>
      </c>
      <c r="T72" s="898">
        <f t="shared" si="15"/>
        <v>0</v>
      </c>
      <c r="U72" s="923">
        <f t="shared" ref="U72:U99" si="19">IFERROR(R72*X72*60/O72,0)</f>
        <v>0</v>
      </c>
      <c r="V72" s="898">
        <f t="shared" si="16"/>
        <v>0</v>
      </c>
      <c r="W72" s="953"/>
      <c r="X72" s="899">
        <f t="shared" si="17"/>
        <v>0</v>
      </c>
      <c r="Y72" s="438"/>
      <c r="Z72" s="482"/>
      <c r="AA72" s="465"/>
      <c r="AB72" s="438"/>
      <c r="AC72" s="438"/>
    </row>
    <row r="73" spans="1:53" s="433" customFormat="1" ht="15.75">
      <c r="A73" s="581"/>
      <c r="B73" s="581">
        <v>5</v>
      </c>
      <c r="C73" s="581" t="s">
        <v>671</v>
      </c>
      <c r="D73" s="581" t="s">
        <v>43</v>
      </c>
      <c r="E73" s="435" t="s">
        <v>42</v>
      </c>
      <c r="F73" s="429"/>
      <c r="G73" s="464"/>
      <c r="H73" s="464">
        <f>IFERROR(#REF!*G73,0)</f>
        <v>0</v>
      </c>
      <c r="I73" s="429"/>
      <c r="J73" s="429"/>
      <c r="K73" s="464"/>
      <c r="L73" s="438"/>
      <c r="M73" s="900">
        <f t="shared" si="14"/>
        <v>0</v>
      </c>
      <c r="N73" s="901">
        <f t="shared" si="18"/>
        <v>0</v>
      </c>
      <c r="O73" s="438">
        <f>IFERROR(LOOKUP(1,0/((印刷機資料庫!$F$2:$F$46=F73)*(印刷機資料庫!$G$2:$G$46=J73)),印刷機資料庫!$J$2:$J$46),0)</f>
        <v>0</v>
      </c>
      <c r="P73" s="462"/>
      <c r="Q73" s="442">
        <f t="shared" si="13"/>
        <v>0</v>
      </c>
      <c r="R73" s="482">
        <f>IFERROR(LOOKUP(1,0/((印刷機資料庫!$F$2:$F$46=F73)*(印刷機資料庫!$G$2:$G$46=J73)),印刷機資料庫!$I$2:$I$46),0)</f>
        <v>0</v>
      </c>
      <c r="S73" s="900">
        <f>IFERROR(LOOKUP(1,0/((印刷機資料庫!$F$2:$F$46=F73)*(印刷機資料庫!$G$2:$G$46=J73)),印刷機資料庫!$K$2:$K$46),0)</f>
        <v>0</v>
      </c>
      <c r="T73" s="898">
        <f t="shared" si="15"/>
        <v>0</v>
      </c>
      <c r="U73" s="923">
        <f t="shared" si="19"/>
        <v>0</v>
      </c>
      <c r="V73" s="898">
        <f t="shared" si="16"/>
        <v>0</v>
      </c>
      <c r="W73" s="953"/>
      <c r="X73" s="899">
        <f t="shared" si="17"/>
        <v>0</v>
      </c>
      <c r="Y73" s="438"/>
      <c r="Z73" s="482"/>
      <c r="AA73" s="465"/>
      <c r="AB73" s="438"/>
      <c r="AC73" s="438"/>
    </row>
    <row r="74" spans="1:53" s="433" customFormat="1" ht="15.75">
      <c r="A74" s="581"/>
      <c r="B74" s="581">
        <v>6</v>
      </c>
      <c r="C74" s="581" t="s">
        <v>672</v>
      </c>
      <c r="D74" s="581" t="s">
        <v>43</v>
      </c>
      <c r="E74" s="435" t="s">
        <v>42</v>
      </c>
      <c r="F74" s="429"/>
      <c r="G74" s="464"/>
      <c r="H74" s="464">
        <f>IFERROR(#REF!*G74,0)</f>
        <v>0</v>
      </c>
      <c r="I74" s="429"/>
      <c r="J74" s="429"/>
      <c r="K74" s="464"/>
      <c r="L74" s="438"/>
      <c r="M74" s="900">
        <f t="shared" si="14"/>
        <v>0</v>
      </c>
      <c r="N74" s="901">
        <f t="shared" si="18"/>
        <v>0</v>
      </c>
      <c r="O74" s="438">
        <f>IFERROR(LOOKUP(1,0/((印刷機資料庫!$F$2:$F$46=F74)*(印刷機資料庫!$G$2:$G$46=J74)),印刷機資料庫!$J$2:$J$46),0)</f>
        <v>0</v>
      </c>
      <c r="P74" s="462"/>
      <c r="Q74" s="442">
        <f t="shared" si="13"/>
        <v>0</v>
      </c>
      <c r="R74" s="482">
        <f>IFERROR(LOOKUP(1,0/((印刷機資料庫!$F$2:$F$46=F74)*(印刷機資料庫!$G$2:$G$46=J74)),印刷機資料庫!$I$2:$I$46),0)</f>
        <v>0</v>
      </c>
      <c r="S74" s="900">
        <f>IFERROR(LOOKUP(1,0/((印刷機資料庫!$F$2:$F$46=F74)*(印刷機資料庫!$G$2:$G$46=J74)),印刷機資料庫!$K$2:$K$46),0)</f>
        <v>0</v>
      </c>
      <c r="T74" s="898">
        <f t="shared" si="15"/>
        <v>0</v>
      </c>
      <c r="U74" s="923">
        <f t="shared" si="19"/>
        <v>0</v>
      </c>
      <c r="V74" s="898">
        <f t="shared" si="16"/>
        <v>0</v>
      </c>
      <c r="W74" s="953"/>
      <c r="X74" s="899">
        <f t="shared" si="17"/>
        <v>0</v>
      </c>
      <c r="Y74" s="438"/>
      <c r="Z74" s="482"/>
      <c r="AA74" s="465"/>
      <c r="AB74" s="438"/>
      <c r="AC74" s="438"/>
    </row>
    <row r="75" spans="1:53" s="433" customFormat="1" ht="15.75">
      <c r="A75" s="581"/>
      <c r="B75" s="581">
        <v>7</v>
      </c>
      <c r="C75" s="581" t="s">
        <v>673</v>
      </c>
      <c r="D75" s="581" t="s">
        <v>43</v>
      </c>
      <c r="E75" s="435" t="s">
        <v>44</v>
      </c>
      <c r="F75" s="429"/>
      <c r="G75" s="464"/>
      <c r="H75" s="464">
        <f>IFERROR(#REF!*G75,0)</f>
        <v>0</v>
      </c>
      <c r="I75" s="429"/>
      <c r="J75" s="429"/>
      <c r="K75" s="464"/>
      <c r="L75" s="438"/>
      <c r="M75" s="900">
        <f t="shared" si="14"/>
        <v>0</v>
      </c>
      <c r="N75" s="901">
        <f t="shared" si="18"/>
        <v>0</v>
      </c>
      <c r="O75" s="438">
        <f>IFERROR(LOOKUP(1,0/((印刷機資料庫!$F$2:$F$46=F75)*(印刷機資料庫!$G$2:$G$46=J75)),印刷機資料庫!$J$2:$J$46),0)</f>
        <v>0</v>
      </c>
      <c r="P75" s="462"/>
      <c r="Q75" s="442">
        <f t="shared" si="13"/>
        <v>0</v>
      </c>
      <c r="R75" s="482">
        <f>IFERROR(LOOKUP(1,0/((印刷機資料庫!$F$2:$F$46=F75)*(印刷機資料庫!$G$2:$G$46=J75)),印刷機資料庫!$I$2:$I$46),0)</f>
        <v>0</v>
      </c>
      <c r="S75" s="900">
        <f>IFERROR(LOOKUP(1,0/((印刷機資料庫!$F$2:$F$46=F75)*(印刷機資料庫!$G$2:$G$46=J75)),印刷機資料庫!$K$2:$K$46),0)</f>
        <v>0</v>
      </c>
      <c r="T75" s="898">
        <f t="shared" si="15"/>
        <v>0</v>
      </c>
      <c r="U75" s="923">
        <f t="shared" si="19"/>
        <v>0</v>
      </c>
      <c r="V75" s="898">
        <f t="shared" si="16"/>
        <v>0</v>
      </c>
      <c r="W75" s="953"/>
      <c r="X75" s="899">
        <f t="shared" si="17"/>
        <v>0</v>
      </c>
      <c r="Y75" s="438"/>
      <c r="Z75" s="482"/>
      <c r="AA75" s="465"/>
      <c r="AB75" s="438"/>
      <c r="AC75" s="438"/>
    </row>
    <row r="76" spans="1:53" s="433" customFormat="1" ht="15.75">
      <c r="A76" s="581"/>
      <c r="B76" s="581">
        <v>8</v>
      </c>
      <c r="C76" s="581" t="s">
        <v>632</v>
      </c>
      <c r="D76" s="581" t="s">
        <v>43</v>
      </c>
      <c r="E76" s="435" t="s">
        <v>58</v>
      </c>
      <c r="F76" s="429"/>
      <c r="G76" s="464"/>
      <c r="H76" s="464">
        <f>IFERROR(#REF!*G76,0)</f>
        <v>0</v>
      </c>
      <c r="I76" s="429"/>
      <c r="J76" s="429"/>
      <c r="K76" s="464"/>
      <c r="L76" s="438"/>
      <c r="M76" s="900">
        <f t="shared" si="14"/>
        <v>0</v>
      </c>
      <c r="N76" s="901">
        <f t="shared" si="18"/>
        <v>0</v>
      </c>
      <c r="O76" s="438">
        <f>IFERROR(LOOKUP(1,0/((印刷機資料庫!$F$2:$F$46=F76)*(印刷機資料庫!$G$2:$G$46=J76)),印刷機資料庫!$J$2:$J$46),0)</f>
        <v>0</v>
      </c>
      <c r="P76" s="462"/>
      <c r="Q76" s="442">
        <f t="shared" si="13"/>
        <v>0</v>
      </c>
      <c r="R76" s="482">
        <f>IFERROR(LOOKUP(1,0/((印刷機資料庫!$F$2:$F$46=F76)*(印刷機資料庫!$G$2:$G$46=J76)),印刷機資料庫!$I$2:$I$46),0)</f>
        <v>0</v>
      </c>
      <c r="S76" s="900">
        <f>IFERROR(LOOKUP(1,0/((印刷機資料庫!$F$2:$F$46=F76)*(印刷機資料庫!$G$2:$G$46=J76)),印刷機資料庫!$K$2:$K$46),0)</f>
        <v>0</v>
      </c>
      <c r="T76" s="898">
        <f>IFERROR(L76/S76,0)</f>
        <v>0</v>
      </c>
      <c r="U76" s="923">
        <f t="shared" si="19"/>
        <v>0</v>
      </c>
      <c r="V76" s="898">
        <f>IFERROR(L76/U76,0)</f>
        <v>0</v>
      </c>
      <c r="W76" s="953"/>
      <c r="X76" s="899">
        <f t="shared" si="17"/>
        <v>0</v>
      </c>
      <c r="Y76" s="438"/>
      <c r="Z76" s="482"/>
      <c r="AA76" s="465"/>
      <c r="AB76" s="438"/>
      <c r="AC76" s="438"/>
    </row>
    <row r="77" spans="1:53" s="433" customFormat="1" ht="15.75">
      <c r="A77" s="581"/>
      <c r="B77" s="581">
        <v>9</v>
      </c>
      <c r="C77" s="581" t="s">
        <v>667</v>
      </c>
      <c r="D77" s="581" t="s">
        <v>43</v>
      </c>
      <c r="E77" s="435" t="s">
        <v>58</v>
      </c>
      <c r="F77" s="429"/>
      <c r="G77" s="464"/>
      <c r="H77" s="464">
        <f>IFERROR(#REF!*G77,0)</f>
        <v>0</v>
      </c>
      <c r="I77" s="429"/>
      <c r="J77" s="429"/>
      <c r="K77" s="464"/>
      <c r="L77" s="438"/>
      <c r="M77" s="900">
        <f t="shared" si="14"/>
        <v>0</v>
      </c>
      <c r="N77" s="901">
        <f t="shared" si="18"/>
        <v>0</v>
      </c>
      <c r="O77" s="438">
        <f>IFERROR(LOOKUP(1,0/((印刷機資料庫!$F$2:$F$46=F77)*(印刷機資料庫!$G$2:$G$46=J77)),印刷機資料庫!$J$2:$J$46),0)</f>
        <v>0</v>
      </c>
      <c r="P77" s="462"/>
      <c r="Q77" s="442">
        <f t="shared" si="13"/>
        <v>0</v>
      </c>
      <c r="R77" s="482">
        <f>IFERROR(LOOKUP(1,0/((印刷機資料庫!$F$2:$F$46=F77)*(印刷機資料庫!$G$2:$G$46=J77)),印刷機資料庫!$I$2:$I$46),0)</f>
        <v>0</v>
      </c>
      <c r="S77" s="900">
        <f>IFERROR(LOOKUP(1,0/((印刷機資料庫!$F$2:$F$46=F77)*(印刷機資料庫!$G$2:$G$46=J77)),印刷機資料庫!$K$2:$K$46),0)</f>
        <v>0</v>
      </c>
      <c r="T77" s="898">
        <f>IFERROR(L77/S77,0)</f>
        <v>0</v>
      </c>
      <c r="U77" s="923">
        <f t="shared" si="19"/>
        <v>0</v>
      </c>
      <c r="V77" s="898">
        <f t="shared" ref="V77:V99" si="20">IFERROR(L77/U77,0)</f>
        <v>0</v>
      </c>
      <c r="W77" s="953"/>
      <c r="X77" s="899">
        <f t="shared" si="17"/>
        <v>0</v>
      </c>
      <c r="Y77" s="438"/>
      <c r="Z77" s="482"/>
      <c r="AA77" s="465"/>
      <c r="AB77" s="438"/>
      <c r="AC77" s="438"/>
    </row>
    <row r="78" spans="1:53" s="433" customFormat="1" ht="15.75">
      <c r="A78" s="581"/>
      <c r="B78" s="581">
        <v>10</v>
      </c>
      <c r="C78" s="581" t="s">
        <v>669</v>
      </c>
      <c r="D78" s="581" t="s">
        <v>43</v>
      </c>
      <c r="E78" s="435" t="s">
        <v>58</v>
      </c>
      <c r="F78" s="429"/>
      <c r="G78" s="464"/>
      <c r="H78" s="464">
        <f>IFERROR(#REF!*G78,0)</f>
        <v>0</v>
      </c>
      <c r="I78" s="429"/>
      <c r="J78" s="429"/>
      <c r="K78" s="464"/>
      <c r="L78" s="438"/>
      <c r="M78" s="900">
        <f t="shared" si="14"/>
        <v>0</v>
      </c>
      <c r="N78" s="901">
        <f t="shared" si="18"/>
        <v>0</v>
      </c>
      <c r="O78" s="438">
        <f>IFERROR(LOOKUP(1,0/((印刷機資料庫!$F$2:$F$46=F78)*(印刷機資料庫!$G$2:$G$46=J78)),印刷機資料庫!$J$2:$J$46),0)</f>
        <v>0</v>
      </c>
      <c r="P78" s="462"/>
      <c r="Q78" s="442">
        <f t="shared" si="13"/>
        <v>0</v>
      </c>
      <c r="R78" s="482">
        <f>IFERROR(LOOKUP(1,0/((印刷機資料庫!$F$2:$F$46=F78)*(印刷機資料庫!$G$2:$G$46=J78)),印刷機資料庫!$I$2:$I$46),0)</f>
        <v>0</v>
      </c>
      <c r="S78" s="900">
        <f>IFERROR(LOOKUP(1,0/((印刷機資料庫!$F$2:$F$46=F78)*(印刷機資料庫!$G$2:$G$46=J78)),印刷機資料庫!$K$2:$K$46),0)</f>
        <v>0</v>
      </c>
      <c r="T78" s="898">
        <f t="shared" ref="T78:T84" si="21">IFERROR(L78/S78,0)</f>
        <v>0</v>
      </c>
      <c r="U78" s="923">
        <f t="shared" si="19"/>
        <v>0</v>
      </c>
      <c r="V78" s="898">
        <f t="shared" si="20"/>
        <v>0</v>
      </c>
      <c r="W78" s="953"/>
      <c r="X78" s="899">
        <f t="shared" si="17"/>
        <v>0</v>
      </c>
      <c r="Y78" s="438"/>
      <c r="Z78" s="482"/>
      <c r="AA78" s="465"/>
      <c r="AB78" s="438"/>
      <c r="AC78" s="438"/>
    </row>
    <row r="79" spans="1:53" s="433" customFormat="1" ht="15.75">
      <c r="A79" s="581"/>
      <c r="B79" s="581">
        <v>11</v>
      </c>
      <c r="C79" s="581" t="s">
        <v>670</v>
      </c>
      <c r="D79" s="581" t="s">
        <v>43</v>
      </c>
      <c r="E79" s="435" t="s">
        <v>58</v>
      </c>
      <c r="F79" s="429"/>
      <c r="G79" s="464"/>
      <c r="H79" s="464">
        <f>IFERROR(#REF!*G79,0)</f>
        <v>0</v>
      </c>
      <c r="I79" s="429"/>
      <c r="J79" s="429"/>
      <c r="K79" s="464"/>
      <c r="L79" s="438"/>
      <c r="M79" s="900">
        <f t="shared" si="14"/>
        <v>0</v>
      </c>
      <c r="N79" s="901">
        <f t="shared" si="18"/>
        <v>0</v>
      </c>
      <c r="O79" s="438">
        <f>IFERROR(LOOKUP(1,0/((印刷機資料庫!$F$2:$F$46=F79)*(印刷機資料庫!$G$2:$G$46=J79)),印刷機資料庫!$J$2:$J$46),0)</f>
        <v>0</v>
      </c>
      <c r="P79" s="462"/>
      <c r="Q79" s="442">
        <f t="shared" si="13"/>
        <v>0</v>
      </c>
      <c r="R79" s="482">
        <f>IFERROR(LOOKUP(1,0/((印刷機資料庫!$F$2:$F$46=F79)*(印刷機資料庫!$G$2:$G$46=J79)),印刷機資料庫!$I$2:$I$46),0)</f>
        <v>0</v>
      </c>
      <c r="S79" s="900">
        <f>IFERROR(LOOKUP(1,0/((印刷機資料庫!$F$2:$F$46=F79)*(印刷機資料庫!$G$2:$G$46=J79)),印刷機資料庫!$K$2:$K$46),0)</f>
        <v>0</v>
      </c>
      <c r="T79" s="898">
        <f t="shared" si="21"/>
        <v>0</v>
      </c>
      <c r="U79" s="923">
        <f t="shared" si="19"/>
        <v>0</v>
      </c>
      <c r="V79" s="898">
        <f t="shared" si="20"/>
        <v>0</v>
      </c>
      <c r="W79" s="953"/>
      <c r="X79" s="899">
        <f t="shared" si="17"/>
        <v>0</v>
      </c>
      <c r="Y79" s="438"/>
      <c r="Z79" s="482"/>
      <c r="AA79" s="465"/>
      <c r="AB79" s="438"/>
      <c r="AC79" s="438"/>
    </row>
    <row r="80" spans="1:53" s="433" customFormat="1" ht="15.75">
      <c r="A80" s="581"/>
      <c r="B80" s="581">
        <v>12</v>
      </c>
      <c r="C80" s="581" t="s">
        <v>671</v>
      </c>
      <c r="D80" s="581" t="s">
        <v>43</v>
      </c>
      <c r="E80" s="435" t="s">
        <v>58</v>
      </c>
      <c r="F80" s="429"/>
      <c r="G80" s="464"/>
      <c r="H80" s="464">
        <f>IFERROR(#REF!*G80,0)</f>
        <v>0</v>
      </c>
      <c r="I80" s="429"/>
      <c r="J80" s="429"/>
      <c r="K80" s="464"/>
      <c r="L80" s="438"/>
      <c r="M80" s="900">
        <f t="shared" si="14"/>
        <v>0</v>
      </c>
      <c r="N80" s="901">
        <f t="shared" si="18"/>
        <v>0</v>
      </c>
      <c r="O80" s="438">
        <f>IFERROR(LOOKUP(1,0/((印刷機資料庫!$F$2:$F$46=F80)*(印刷機資料庫!$G$2:$G$46=J80)),印刷機資料庫!$J$2:$J$46),0)</f>
        <v>0</v>
      </c>
      <c r="P80" s="462"/>
      <c r="Q80" s="442">
        <f t="shared" si="13"/>
        <v>0</v>
      </c>
      <c r="R80" s="482">
        <f>IFERROR(LOOKUP(1,0/((印刷機資料庫!$F$2:$F$46=F80)*(印刷機資料庫!$G$2:$G$46=J80)),印刷機資料庫!$I$2:$I$46),0)</f>
        <v>0</v>
      </c>
      <c r="S80" s="900">
        <f>IFERROR(LOOKUP(1,0/((印刷機資料庫!$F$2:$F$46=F80)*(印刷機資料庫!$G$2:$G$46=J80)),印刷機資料庫!$K$2:$K$46),0)</f>
        <v>0</v>
      </c>
      <c r="T80" s="898">
        <f t="shared" si="21"/>
        <v>0</v>
      </c>
      <c r="U80" s="923">
        <f t="shared" si="19"/>
        <v>0</v>
      </c>
      <c r="V80" s="898">
        <f t="shared" si="20"/>
        <v>0</v>
      </c>
      <c r="W80" s="953"/>
      <c r="X80" s="899">
        <f t="shared" si="17"/>
        <v>0</v>
      </c>
      <c r="Y80" s="438"/>
      <c r="Z80" s="482"/>
      <c r="AA80" s="465"/>
      <c r="AB80" s="438"/>
      <c r="AC80" s="438"/>
    </row>
    <row r="81" spans="1:29" s="433" customFormat="1" ht="15.75">
      <c r="A81" s="581"/>
      <c r="B81" s="581">
        <v>13</v>
      </c>
      <c r="C81" s="581" t="s">
        <v>672</v>
      </c>
      <c r="D81" s="581" t="s">
        <v>43</v>
      </c>
      <c r="E81" s="435" t="s">
        <v>58</v>
      </c>
      <c r="F81" s="429"/>
      <c r="G81" s="464"/>
      <c r="H81" s="464">
        <f>IFERROR(#REF!*G81,0)</f>
        <v>0</v>
      </c>
      <c r="I81" s="429"/>
      <c r="J81" s="429"/>
      <c r="K81" s="464"/>
      <c r="L81" s="438"/>
      <c r="M81" s="900">
        <f t="shared" si="14"/>
        <v>0</v>
      </c>
      <c r="N81" s="901">
        <f t="shared" si="18"/>
        <v>0</v>
      </c>
      <c r="O81" s="438">
        <f>IFERROR(LOOKUP(1,0/((印刷機資料庫!$F$2:$F$46=F81)*(印刷機資料庫!$G$2:$G$46=J81)),印刷機資料庫!$J$2:$J$46),0)</f>
        <v>0</v>
      </c>
      <c r="P81" s="462"/>
      <c r="Q81" s="442">
        <f t="shared" si="13"/>
        <v>0</v>
      </c>
      <c r="R81" s="482">
        <f>IFERROR(LOOKUP(1,0/((印刷機資料庫!$F$2:$F$46=F81)*(印刷機資料庫!$G$2:$G$46=J81)),印刷機資料庫!$I$2:$I$46),0)</f>
        <v>0</v>
      </c>
      <c r="S81" s="900">
        <f>IFERROR(LOOKUP(1,0/((印刷機資料庫!$F$2:$F$46=F81)*(印刷機資料庫!$G$2:$G$46=J81)),印刷機資料庫!$K$2:$K$46),0)</f>
        <v>0</v>
      </c>
      <c r="T81" s="898">
        <f t="shared" si="21"/>
        <v>0</v>
      </c>
      <c r="U81" s="923">
        <f t="shared" si="19"/>
        <v>0</v>
      </c>
      <c r="V81" s="898">
        <f t="shared" si="20"/>
        <v>0</v>
      </c>
      <c r="W81" s="953"/>
      <c r="X81" s="899">
        <f t="shared" si="17"/>
        <v>0</v>
      </c>
      <c r="Y81" s="438"/>
      <c r="Z81" s="482"/>
      <c r="AA81" s="465"/>
      <c r="AB81" s="438"/>
      <c r="AC81" s="438"/>
    </row>
    <row r="82" spans="1:29" s="433" customFormat="1" ht="15.75">
      <c r="A82" s="581"/>
      <c r="B82" s="581">
        <v>14</v>
      </c>
      <c r="C82" s="581" t="s">
        <v>673</v>
      </c>
      <c r="D82" s="581" t="s">
        <v>43</v>
      </c>
      <c r="E82" s="435" t="s">
        <v>58</v>
      </c>
      <c r="F82" s="429"/>
      <c r="G82" s="464"/>
      <c r="H82" s="464">
        <f>IFERROR(#REF!*G82,0)</f>
        <v>0</v>
      </c>
      <c r="I82" s="429"/>
      <c r="J82" s="429"/>
      <c r="K82" s="464"/>
      <c r="L82" s="438"/>
      <c r="M82" s="900">
        <f t="shared" si="14"/>
        <v>0</v>
      </c>
      <c r="N82" s="901">
        <f t="shared" si="18"/>
        <v>0</v>
      </c>
      <c r="O82" s="438">
        <f>IFERROR(LOOKUP(1,0/((印刷機資料庫!$F$2:$F$46=F82)*(印刷機資料庫!$G$2:$G$46=J82)),印刷機資料庫!$J$2:$J$46),0)</f>
        <v>0</v>
      </c>
      <c r="P82" s="462"/>
      <c r="Q82" s="442">
        <f t="shared" si="13"/>
        <v>0</v>
      </c>
      <c r="R82" s="482">
        <f>IFERROR(LOOKUP(1,0/((印刷機資料庫!$F$2:$F$46=F82)*(印刷機資料庫!$G$2:$G$46=J82)),印刷機資料庫!$I$2:$I$46),0)</f>
        <v>0</v>
      </c>
      <c r="S82" s="900">
        <f>IFERROR(LOOKUP(1,0/((印刷機資料庫!$F$2:$F$46=F82)*(印刷機資料庫!$G$2:$G$46=J82)),印刷機資料庫!$K$2:$K$46),0)</f>
        <v>0</v>
      </c>
      <c r="T82" s="898">
        <f t="shared" si="21"/>
        <v>0</v>
      </c>
      <c r="U82" s="923">
        <f t="shared" si="19"/>
        <v>0</v>
      </c>
      <c r="V82" s="898">
        <f t="shared" si="20"/>
        <v>0</v>
      </c>
      <c r="W82" s="953"/>
      <c r="X82" s="899">
        <f t="shared" si="17"/>
        <v>0</v>
      </c>
      <c r="Y82" s="438"/>
      <c r="Z82" s="482"/>
      <c r="AA82" s="465"/>
      <c r="AB82" s="438"/>
      <c r="AC82" s="438"/>
    </row>
    <row r="83" spans="1:29" s="433" customFormat="1" ht="15.75">
      <c r="A83" s="581"/>
      <c r="B83" s="581">
        <v>15</v>
      </c>
      <c r="C83" s="581" t="s">
        <v>632</v>
      </c>
      <c r="D83" s="581" t="s">
        <v>43</v>
      </c>
      <c r="E83" s="435" t="s">
        <v>58</v>
      </c>
      <c r="F83" s="429"/>
      <c r="G83" s="464"/>
      <c r="H83" s="464">
        <f>IFERROR(#REF!*G83,0)</f>
        <v>0</v>
      </c>
      <c r="I83" s="429"/>
      <c r="J83" s="429"/>
      <c r="K83" s="464"/>
      <c r="L83" s="438"/>
      <c r="M83" s="900">
        <f t="shared" si="14"/>
        <v>0</v>
      </c>
      <c r="N83" s="901">
        <f t="shared" si="18"/>
        <v>0</v>
      </c>
      <c r="O83" s="438">
        <f>IFERROR(LOOKUP(1,0/((印刷機資料庫!$F$2:$F$46=F83)*(印刷機資料庫!$G$2:$G$46=J83)),印刷機資料庫!$J$2:$J$46),0)</f>
        <v>0</v>
      </c>
      <c r="P83" s="462"/>
      <c r="Q83" s="442">
        <f t="shared" si="13"/>
        <v>0</v>
      </c>
      <c r="R83" s="482">
        <f>IFERROR(LOOKUP(1,0/((印刷機資料庫!$F$2:$F$46=F83)*(印刷機資料庫!$G$2:$G$46=J83)),印刷機資料庫!$I$2:$I$46),0)</f>
        <v>0</v>
      </c>
      <c r="S83" s="900">
        <f>IFERROR(LOOKUP(1,0/((印刷機資料庫!$F$2:$F$46=F83)*(印刷機資料庫!$G$2:$G$46=J83)),印刷機資料庫!$K$2:$K$46),0)</f>
        <v>0</v>
      </c>
      <c r="T83" s="898">
        <f t="shared" si="21"/>
        <v>0</v>
      </c>
      <c r="U83" s="923">
        <f t="shared" si="19"/>
        <v>0</v>
      </c>
      <c r="V83" s="898">
        <f t="shared" si="20"/>
        <v>0</v>
      </c>
      <c r="W83" s="953"/>
      <c r="X83" s="899">
        <f t="shared" si="17"/>
        <v>0</v>
      </c>
      <c r="Y83" s="438"/>
      <c r="Z83" s="482"/>
      <c r="AA83" s="465"/>
      <c r="AB83" s="438"/>
      <c r="AC83" s="438"/>
    </row>
    <row r="84" spans="1:29" s="433" customFormat="1" ht="15.75">
      <c r="A84" s="581"/>
      <c r="B84" s="581">
        <v>16</v>
      </c>
      <c r="C84" s="581" t="s">
        <v>667</v>
      </c>
      <c r="D84" s="581" t="s">
        <v>43</v>
      </c>
      <c r="E84" s="435" t="s">
        <v>58</v>
      </c>
      <c r="F84" s="429"/>
      <c r="G84" s="464"/>
      <c r="H84" s="464">
        <f>IFERROR(#REF!*G84,0)</f>
        <v>0</v>
      </c>
      <c r="I84" s="429"/>
      <c r="J84" s="429"/>
      <c r="K84" s="464"/>
      <c r="L84" s="438"/>
      <c r="M84" s="900">
        <f t="shared" si="14"/>
        <v>0</v>
      </c>
      <c r="N84" s="901">
        <f t="shared" si="18"/>
        <v>0</v>
      </c>
      <c r="O84" s="438">
        <f>IFERROR(LOOKUP(1,0/((印刷機資料庫!$F$2:$F$46=F84)*(印刷機資料庫!$G$2:$G$46=J84)),印刷機資料庫!$J$2:$J$46),0)</f>
        <v>0</v>
      </c>
      <c r="P84" s="462"/>
      <c r="Q84" s="442">
        <f t="shared" si="13"/>
        <v>0</v>
      </c>
      <c r="R84" s="482">
        <f>IFERROR(LOOKUP(1,0/((印刷機資料庫!$F$2:$F$46=F84)*(印刷機資料庫!$G$2:$G$46=J84)),印刷機資料庫!$I$2:$I$46),0)</f>
        <v>0</v>
      </c>
      <c r="S84" s="900">
        <f>IFERROR(LOOKUP(1,0/((印刷機資料庫!$F$2:$F$46=F84)*(印刷機資料庫!$G$2:$G$46=J84)),印刷機資料庫!$K$2:$K$46),0)</f>
        <v>0</v>
      </c>
      <c r="T84" s="898">
        <f t="shared" si="21"/>
        <v>0</v>
      </c>
      <c r="U84" s="923">
        <f t="shared" si="19"/>
        <v>0</v>
      </c>
      <c r="V84" s="898">
        <f t="shared" si="20"/>
        <v>0</v>
      </c>
      <c r="W84" s="953"/>
      <c r="X84" s="899">
        <f t="shared" si="17"/>
        <v>0</v>
      </c>
      <c r="Y84" s="438"/>
      <c r="Z84" s="482"/>
      <c r="AA84" s="465"/>
      <c r="AB84" s="438"/>
      <c r="AC84" s="438"/>
    </row>
    <row r="85" spans="1:29" s="433" customFormat="1" ht="15.75">
      <c r="A85" s="581"/>
      <c r="B85" s="581">
        <v>17</v>
      </c>
      <c r="C85" s="581" t="s">
        <v>669</v>
      </c>
      <c r="D85" s="581" t="s">
        <v>43</v>
      </c>
      <c r="E85" s="435" t="s">
        <v>44</v>
      </c>
      <c r="F85" s="429"/>
      <c r="G85" s="464"/>
      <c r="H85" s="464">
        <f>IFERROR(#REF!*G85,0)</f>
        <v>0</v>
      </c>
      <c r="I85" s="429"/>
      <c r="J85" s="429"/>
      <c r="K85" s="464"/>
      <c r="L85" s="438"/>
      <c r="M85" s="900">
        <f t="shared" si="14"/>
        <v>0</v>
      </c>
      <c r="N85" s="901">
        <f t="shared" si="18"/>
        <v>0</v>
      </c>
      <c r="O85" s="438">
        <f>IFERROR(LOOKUP(1,0/((印刷機資料庫!$F$2:$F$46=F85)*(印刷機資料庫!$G$2:$G$46=J85)),印刷機資料庫!$J$2:$J$46),0)</f>
        <v>0</v>
      </c>
      <c r="P85" s="462"/>
      <c r="Q85" s="442">
        <f t="shared" si="13"/>
        <v>0</v>
      </c>
      <c r="R85" s="482">
        <f>IFERROR(LOOKUP(1,0/((印刷機資料庫!$F$2:$F$46=F85)*(印刷機資料庫!$G$2:$G$46=J85)),印刷機資料庫!$I$2:$I$46),0)</f>
        <v>0</v>
      </c>
      <c r="S85" s="900">
        <f>IFERROR(LOOKUP(1,0/((印刷機資料庫!$F$2:$F$46=F85)*(印刷機資料庫!$G$2:$G$46=J85)),印刷機資料庫!$K$2:$K$46),0)</f>
        <v>0</v>
      </c>
      <c r="T85" s="898">
        <f t="shared" ref="T85:T91" si="22">IFERROR(L85/S85,0)</f>
        <v>0</v>
      </c>
      <c r="U85" s="923">
        <f t="shared" si="19"/>
        <v>0</v>
      </c>
      <c r="V85" s="898">
        <f t="shared" si="20"/>
        <v>0</v>
      </c>
      <c r="W85" s="953"/>
      <c r="X85" s="899">
        <f t="shared" si="17"/>
        <v>0</v>
      </c>
      <c r="Y85" s="438"/>
      <c r="Z85" s="482"/>
      <c r="AA85" s="465"/>
      <c r="AB85" s="438"/>
      <c r="AC85" s="438"/>
    </row>
    <row r="86" spans="1:29" s="433" customFormat="1" ht="15.75">
      <c r="A86" s="581"/>
      <c r="B86" s="581">
        <v>18</v>
      </c>
      <c r="C86" s="581" t="s">
        <v>670</v>
      </c>
      <c r="D86" s="581" t="s">
        <v>43</v>
      </c>
      <c r="E86" s="435" t="s">
        <v>44</v>
      </c>
      <c r="F86" s="429"/>
      <c r="G86" s="464"/>
      <c r="H86" s="464">
        <f>IFERROR(#REF!*G86,0)</f>
        <v>0</v>
      </c>
      <c r="I86" s="429"/>
      <c r="J86" s="429"/>
      <c r="K86" s="464"/>
      <c r="L86" s="438"/>
      <c r="M86" s="900">
        <f t="shared" si="14"/>
        <v>0</v>
      </c>
      <c r="N86" s="901">
        <f t="shared" si="18"/>
        <v>0</v>
      </c>
      <c r="O86" s="438">
        <f>IFERROR(LOOKUP(1,0/((印刷機資料庫!$F$2:$F$46=F86)*(印刷機資料庫!$G$2:$G$46=J86)),印刷機資料庫!$J$2:$J$46),0)</f>
        <v>0</v>
      </c>
      <c r="P86" s="462"/>
      <c r="Q86" s="442">
        <f t="shared" si="13"/>
        <v>0</v>
      </c>
      <c r="R86" s="482">
        <f>IFERROR(LOOKUP(1,0/((印刷機資料庫!$F$2:$F$46=F86)*(印刷機資料庫!$G$2:$G$46=J86)),印刷機資料庫!$I$2:$I$46),0)</f>
        <v>0</v>
      </c>
      <c r="S86" s="900">
        <f>IFERROR(LOOKUP(1,0/((印刷機資料庫!$F$2:$F$46=F86)*(印刷機資料庫!$G$2:$G$46=J86)),印刷機資料庫!$K$2:$K$46),0)</f>
        <v>0</v>
      </c>
      <c r="T86" s="898">
        <f t="shared" si="22"/>
        <v>0</v>
      </c>
      <c r="U86" s="923">
        <f t="shared" si="19"/>
        <v>0</v>
      </c>
      <c r="V86" s="898">
        <f t="shared" si="20"/>
        <v>0</v>
      </c>
      <c r="W86" s="953"/>
      <c r="X86" s="899">
        <f t="shared" si="17"/>
        <v>0</v>
      </c>
      <c r="Y86" s="438"/>
      <c r="Z86" s="482"/>
      <c r="AA86" s="465"/>
      <c r="AB86" s="438"/>
      <c r="AC86" s="438"/>
    </row>
    <row r="87" spans="1:29" s="433" customFormat="1" ht="15.75">
      <c r="A87" s="581"/>
      <c r="B87" s="581">
        <v>19</v>
      </c>
      <c r="C87" s="581" t="s">
        <v>671</v>
      </c>
      <c r="D87" s="581" t="s">
        <v>43</v>
      </c>
      <c r="E87" s="435" t="s">
        <v>44</v>
      </c>
      <c r="F87" s="429"/>
      <c r="G87" s="464"/>
      <c r="H87" s="464">
        <f>IFERROR(#REF!*G87,0)</f>
        <v>0</v>
      </c>
      <c r="I87" s="429"/>
      <c r="J87" s="429"/>
      <c r="K87" s="464"/>
      <c r="L87" s="438"/>
      <c r="M87" s="900">
        <f t="shared" si="14"/>
        <v>0</v>
      </c>
      <c r="N87" s="901">
        <f t="shared" si="18"/>
        <v>0</v>
      </c>
      <c r="O87" s="438">
        <f>IFERROR(LOOKUP(1,0/((印刷機資料庫!$F$2:$F$46=F87)*(印刷機資料庫!$G$2:$G$46=J87)),印刷機資料庫!$J$2:$J$46),0)</f>
        <v>0</v>
      </c>
      <c r="P87" s="462"/>
      <c r="Q87" s="442">
        <f t="shared" si="13"/>
        <v>0</v>
      </c>
      <c r="R87" s="482">
        <f>IFERROR(LOOKUP(1,0/((印刷機資料庫!$F$2:$F$46=F87)*(印刷機資料庫!$G$2:$G$46=J87)),印刷機資料庫!$I$2:$I$46),0)</f>
        <v>0</v>
      </c>
      <c r="S87" s="900">
        <f>IFERROR(LOOKUP(1,0/((印刷機資料庫!$F$2:$F$46=F87)*(印刷機資料庫!$G$2:$G$46=J87)),印刷機資料庫!$K$2:$K$46),0)</f>
        <v>0</v>
      </c>
      <c r="T87" s="898">
        <f t="shared" si="22"/>
        <v>0</v>
      </c>
      <c r="U87" s="923">
        <f t="shared" si="19"/>
        <v>0</v>
      </c>
      <c r="V87" s="898">
        <f t="shared" si="20"/>
        <v>0</v>
      </c>
      <c r="W87" s="953"/>
      <c r="X87" s="899">
        <f t="shared" si="17"/>
        <v>0</v>
      </c>
      <c r="Y87" s="438"/>
      <c r="Z87" s="482"/>
      <c r="AA87" s="465"/>
      <c r="AB87" s="438"/>
      <c r="AC87" s="438"/>
    </row>
    <row r="88" spans="1:29" s="433" customFormat="1" ht="15.75">
      <c r="A88" s="434"/>
      <c r="B88" s="434">
        <v>20</v>
      </c>
      <c r="C88" s="581" t="s">
        <v>672</v>
      </c>
      <c r="D88" s="581" t="s">
        <v>43</v>
      </c>
      <c r="E88" s="435" t="s">
        <v>44</v>
      </c>
      <c r="F88" s="429"/>
      <c r="G88" s="464"/>
      <c r="H88" s="464">
        <f>IFERROR(#REF!*G88,0)</f>
        <v>0</v>
      </c>
      <c r="I88" s="429"/>
      <c r="J88" s="429"/>
      <c r="K88" s="464"/>
      <c r="L88" s="438"/>
      <c r="M88" s="900">
        <f t="shared" si="14"/>
        <v>0</v>
      </c>
      <c r="N88" s="901">
        <f t="shared" si="18"/>
        <v>0</v>
      </c>
      <c r="O88" s="438">
        <f>IFERROR(LOOKUP(1,0/((印刷機資料庫!$F$2:$F$46=F88)*(印刷機資料庫!$G$2:$G$46=J88)),印刷機資料庫!$J$2:$J$46),0)</f>
        <v>0</v>
      </c>
      <c r="P88" s="462"/>
      <c r="Q88" s="442">
        <f t="shared" si="13"/>
        <v>0</v>
      </c>
      <c r="R88" s="482">
        <f>IFERROR(LOOKUP(1,0/((印刷機資料庫!$F$2:$F$46=F88)*(印刷機資料庫!$G$2:$G$46=J88)),印刷機資料庫!$I$2:$I$46),0)</f>
        <v>0</v>
      </c>
      <c r="S88" s="900">
        <f>IFERROR(LOOKUP(1,0/((印刷機資料庫!$F$2:$F$46=F88)*(印刷機資料庫!$G$2:$G$46=J88)),印刷機資料庫!$K$2:$K$46),0)</f>
        <v>0</v>
      </c>
      <c r="T88" s="898">
        <f t="shared" si="22"/>
        <v>0</v>
      </c>
      <c r="U88" s="923">
        <f t="shared" si="19"/>
        <v>0</v>
      </c>
      <c r="V88" s="898">
        <f t="shared" si="20"/>
        <v>0</v>
      </c>
      <c r="W88" s="953"/>
      <c r="X88" s="899">
        <f t="shared" si="17"/>
        <v>0</v>
      </c>
      <c r="Y88" s="438"/>
      <c r="Z88" s="482"/>
      <c r="AA88" s="465"/>
      <c r="AB88" s="438"/>
      <c r="AC88" s="438"/>
    </row>
    <row r="89" spans="1:29" s="433" customFormat="1" ht="15.75">
      <c r="A89" s="434"/>
      <c r="B89" s="434">
        <v>21</v>
      </c>
      <c r="C89" s="581" t="s">
        <v>673</v>
      </c>
      <c r="D89" s="581" t="s">
        <v>43</v>
      </c>
      <c r="E89" s="435" t="s">
        <v>44</v>
      </c>
      <c r="F89" s="429"/>
      <c r="G89" s="464"/>
      <c r="H89" s="464">
        <f>IFERROR(#REF!*G89,0)</f>
        <v>0</v>
      </c>
      <c r="I89" s="429"/>
      <c r="J89" s="429"/>
      <c r="K89" s="464"/>
      <c r="L89" s="438"/>
      <c r="M89" s="900">
        <f t="shared" si="14"/>
        <v>0</v>
      </c>
      <c r="N89" s="901">
        <f t="shared" si="18"/>
        <v>0</v>
      </c>
      <c r="O89" s="438">
        <f>IFERROR(LOOKUP(1,0/((印刷機資料庫!$F$2:$F$46=F89)*(印刷機資料庫!$G$2:$G$46=J89)),印刷機資料庫!$J$2:$J$46),0)</f>
        <v>0</v>
      </c>
      <c r="P89" s="462"/>
      <c r="Q89" s="442">
        <f>IFERROR(P89/(M89+P89),0)</f>
        <v>0</v>
      </c>
      <c r="R89" s="482">
        <f>IFERROR(LOOKUP(1,0/((印刷機資料庫!$F$2:$F$46=F89)*(印刷機資料庫!$G$2:$G$46=J89)),印刷機資料庫!$I$2:$I$46),0)</f>
        <v>0</v>
      </c>
      <c r="S89" s="900">
        <f>IFERROR(LOOKUP(1,0/((印刷機資料庫!$F$2:$F$46=F89)*(印刷機資料庫!$G$2:$G$46=J89)),印刷機資料庫!$K$2:$K$46),0)</f>
        <v>0</v>
      </c>
      <c r="T89" s="898">
        <f t="shared" si="22"/>
        <v>0</v>
      </c>
      <c r="U89" s="923">
        <f t="shared" si="19"/>
        <v>0</v>
      </c>
      <c r="V89" s="898">
        <f t="shared" si="20"/>
        <v>0</v>
      </c>
      <c r="W89" s="953"/>
      <c r="X89" s="899">
        <f t="shared" si="17"/>
        <v>0</v>
      </c>
      <c r="Y89" s="438"/>
      <c r="Z89" s="482"/>
      <c r="AA89" s="465"/>
      <c r="AB89" s="438"/>
      <c r="AC89" s="438"/>
    </row>
    <row r="90" spans="1:29" s="433" customFormat="1" ht="15.75">
      <c r="A90" s="434"/>
      <c r="B90" s="434">
        <v>22</v>
      </c>
      <c r="C90" s="581" t="s">
        <v>632</v>
      </c>
      <c r="D90" s="581" t="s">
        <v>43</v>
      </c>
      <c r="E90" s="435" t="s">
        <v>44</v>
      </c>
      <c r="F90" s="429"/>
      <c r="G90" s="464"/>
      <c r="H90" s="464">
        <f>IFERROR(#REF!*G90,0)</f>
        <v>0</v>
      </c>
      <c r="I90" s="429"/>
      <c r="J90" s="429"/>
      <c r="K90" s="464"/>
      <c r="L90" s="438"/>
      <c r="M90" s="900">
        <f t="shared" si="14"/>
        <v>0</v>
      </c>
      <c r="N90" s="901">
        <f t="shared" ref="N90:N99" si="23">K90*L90</f>
        <v>0</v>
      </c>
      <c r="O90" s="438">
        <f>IFERROR(LOOKUP(1,0/((印刷機資料庫!$F$2:$F$46=F90)*(印刷機資料庫!$G$2:$G$46=J90)),印刷機資料庫!$J$2:$J$46),0)</f>
        <v>0</v>
      </c>
      <c r="P90" s="462"/>
      <c r="Q90" s="442">
        <f t="shared" ref="Q90:Q99" si="24">IFERROR(P90/(M90+P90),0)</f>
        <v>0</v>
      </c>
      <c r="R90" s="482">
        <f>IFERROR(LOOKUP(1,0/((印刷機資料庫!$F$2:$F$46=F90)*(印刷機資料庫!$G$2:$G$46=J90)),印刷機資料庫!$I$2:$I$46),0)</f>
        <v>0</v>
      </c>
      <c r="S90" s="900">
        <f>IFERROR(LOOKUP(1,0/((印刷機資料庫!$F$2:$F$46=F90)*(印刷機資料庫!$G$2:$G$46=J90)),印刷機資料庫!$K$2:$K$46),0)</f>
        <v>0</v>
      </c>
      <c r="T90" s="898">
        <f t="shared" si="22"/>
        <v>0</v>
      </c>
      <c r="U90" s="923">
        <f t="shared" si="19"/>
        <v>0</v>
      </c>
      <c r="V90" s="898">
        <f t="shared" si="20"/>
        <v>0</v>
      </c>
      <c r="W90" s="953"/>
      <c r="X90" s="899">
        <f t="shared" si="17"/>
        <v>0</v>
      </c>
      <c r="Y90" s="438"/>
      <c r="Z90" s="482"/>
      <c r="AA90" s="465"/>
      <c r="AB90" s="438"/>
      <c r="AC90" s="438"/>
    </row>
    <row r="91" spans="1:29" s="433" customFormat="1" ht="15.75">
      <c r="A91" s="434"/>
      <c r="B91" s="434">
        <v>23</v>
      </c>
      <c r="C91" s="581" t="s">
        <v>667</v>
      </c>
      <c r="D91" s="581" t="s">
        <v>43</v>
      </c>
      <c r="E91" s="435" t="s">
        <v>42</v>
      </c>
      <c r="F91" s="429"/>
      <c r="G91" s="464"/>
      <c r="H91" s="464">
        <f>IFERROR(#REF!*G91,0)</f>
        <v>0</v>
      </c>
      <c r="I91" s="429"/>
      <c r="J91" s="429"/>
      <c r="K91" s="464"/>
      <c r="L91" s="438"/>
      <c r="M91" s="900">
        <f t="shared" si="14"/>
        <v>0</v>
      </c>
      <c r="N91" s="901">
        <f t="shared" si="23"/>
        <v>0</v>
      </c>
      <c r="O91" s="438">
        <f>IFERROR(LOOKUP(1,0/((印刷機資料庫!$F$2:$F$46=F91)*(印刷機資料庫!$G$2:$G$46=J91)),印刷機資料庫!$J$2:$J$46),0)</f>
        <v>0</v>
      </c>
      <c r="P91" s="462"/>
      <c r="Q91" s="442">
        <f t="shared" si="24"/>
        <v>0</v>
      </c>
      <c r="R91" s="482">
        <f>IFERROR(LOOKUP(1,0/((印刷機資料庫!$F$2:$F$46=F91)*(印刷機資料庫!$G$2:$G$46=J91)),印刷機資料庫!$I$2:$I$46),0)</f>
        <v>0</v>
      </c>
      <c r="S91" s="900">
        <f>IFERROR(LOOKUP(1,0/((印刷機資料庫!$F$2:$F$46=F91)*(印刷機資料庫!$G$2:$G$46=J91)),印刷機資料庫!$K$2:$K$46),0)</f>
        <v>0</v>
      </c>
      <c r="T91" s="898">
        <f t="shared" si="22"/>
        <v>0</v>
      </c>
      <c r="U91" s="923">
        <f t="shared" si="19"/>
        <v>0</v>
      </c>
      <c r="V91" s="898">
        <f t="shared" si="20"/>
        <v>0</v>
      </c>
      <c r="W91" s="953"/>
      <c r="X91" s="899">
        <f t="shared" si="17"/>
        <v>0</v>
      </c>
      <c r="Y91" s="438"/>
      <c r="Z91" s="482"/>
      <c r="AA91" s="465"/>
      <c r="AB91" s="438"/>
      <c r="AC91" s="438"/>
    </row>
    <row r="92" spans="1:29" s="433" customFormat="1" ht="15.75">
      <c r="A92" s="434"/>
      <c r="B92" s="434">
        <v>24</v>
      </c>
      <c r="C92" s="581" t="s">
        <v>669</v>
      </c>
      <c r="D92" s="581" t="s">
        <v>43</v>
      </c>
      <c r="E92" s="435" t="s">
        <v>42</v>
      </c>
      <c r="F92" s="429"/>
      <c r="G92" s="464"/>
      <c r="H92" s="464">
        <f>IFERROR(#REF!*G92,0)</f>
        <v>0</v>
      </c>
      <c r="I92" s="429"/>
      <c r="J92" s="429"/>
      <c r="K92" s="464"/>
      <c r="L92" s="438"/>
      <c r="M92" s="900">
        <f t="shared" si="14"/>
        <v>0</v>
      </c>
      <c r="N92" s="901">
        <f t="shared" si="23"/>
        <v>0</v>
      </c>
      <c r="O92" s="438">
        <f>IFERROR(LOOKUP(1,0/((印刷機資料庫!$F$2:$F$46=F92)*(印刷機資料庫!$G$2:$G$46=J92)),印刷機資料庫!$J$2:$J$46),0)</f>
        <v>0</v>
      </c>
      <c r="P92" s="462"/>
      <c r="Q92" s="442">
        <f t="shared" si="24"/>
        <v>0</v>
      </c>
      <c r="R92" s="482">
        <f>IFERROR(LOOKUP(1,0/((印刷機資料庫!$F$2:$F$46=F92)*(印刷機資料庫!$G$2:$G$46=J92)),印刷機資料庫!$I$2:$I$46),0)</f>
        <v>0</v>
      </c>
      <c r="S92" s="900">
        <f>IFERROR(LOOKUP(1,0/((印刷機資料庫!$F$2:$F$46=F92)*(印刷機資料庫!$G$2:$G$46=J92)),印刷機資料庫!$K$2:$K$46),0)</f>
        <v>0</v>
      </c>
      <c r="T92" s="898">
        <f t="shared" ref="T92:T97" si="25">IFERROR(L92/S92,0)</f>
        <v>0</v>
      </c>
      <c r="U92" s="923">
        <f t="shared" si="19"/>
        <v>0</v>
      </c>
      <c r="V92" s="898">
        <f t="shared" si="20"/>
        <v>0</v>
      </c>
      <c r="W92" s="953"/>
      <c r="X92" s="899">
        <f t="shared" si="17"/>
        <v>0</v>
      </c>
      <c r="Y92" s="438"/>
      <c r="Z92" s="482"/>
      <c r="AA92" s="465"/>
      <c r="AB92" s="438"/>
      <c r="AC92" s="438"/>
    </row>
    <row r="93" spans="1:29" s="433" customFormat="1" ht="15.75">
      <c r="A93" s="434"/>
      <c r="B93" s="434">
        <v>25</v>
      </c>
      <c r="C93" s="581" t="s">
        <v>670</v>
      </c>
      <c r="D93" s="581" t="s">
        <v>43</v>
      </c>
      <c r="E93" s="435" t="s">
        <v>42</v>
      </c>
      <c r="F93" s="429"/>
      <c r="G93" s="464"/>
      <c r="H93" s="464">
        <f>IFERROR(#REF!*G93,0)</f>
        <v>0</v>
      </c>
      <c r="I93" s="429"/>
      <c r="J93" s="429"/>
      <c r="K93" s="464"/>
      <c r="L93" s="438"/>
      <c r="M93" s="900">
        <f t="shared" si="14"/>
        <v>0</v>
      </c>
      <c r="N93" s="901">
        <f t="shared" si="23"/>
        <v>0</v>
      </c>
      <c r="O93" s="438">
        <f>IFERROR(LOOKUP(1,0/((印刷機資料庫!$F$2:$F$46=F93)*(印刷機資料庫!$G$2:$G$46=J93)),印刷機資料庫!$J$2:$J$46),0)</f>
        <v>0</v>
      </c>
      <c r="P93" s="462"/>
      <c r="Q93" s="442">
        <f t="shared" si="24"/>
        <v>0</v>
      </c>
      <c r="R93" s="482">
        <f>IFERROR(LOOKUP(1,0/((印刷機資料庫!$F$2:$F$46=F93)*(印刷機資料庫!$G$2:$G$46=J93)),印刷機資料庫!$I$2:$I$46),0)</f>
        <v>0</v>
      </c>
      <c r="S93" s="900">
        <f>IFERROR(LOOKUP(1,0/((印刷機資料庫!$F$2:$F$46=F93)*(印刷機資料庫!$G$2:$G$46=J93)),印刷機資料庫!$K$2:$K$46),0)</f>
        <v>0</v>
      </c>
      <c r="T93" s="898">
        <f t="shared" si="25"/>
        <v>0</v>
      </c>
      <c r="U93" s="923">
        <f t="shared" si="19"/>
        <v>0</v>
      </c>
      <c r="V93" s="898">
        <f t="shared" si="20"/>
        <v>0</v>
      </c>
      <c r="W93" s="953"/>
      <c r="X93" s="899">
        <f t="shared" si="17"/>
        <v>0</v>
      </c>
      <c r="Y93" s="438"/>
      <c r="Z93" s="482"/>
      <c r="AA93" s="465"/>
      <c r="AB93" s="438"/>
      <c r="AC93" s="438"/>
    </row>
    <row r="94" spans="1:29" s="433" customFormat="1" ht="15.75">
      <c r="A94" s="434"/>
      <c r="B94" s="434">
        <v>26</v>
      </c>
      <c r="C94" s="581" t="s">
        <v>671</v>
      </c>
      <c r="D94" s="581" t="s">
        <v>43</v>
      </c>
      <c r="E94" s="435" t="s">
        <v>42</v>
      </c>
      <c r="F94" s="429"/>
      <c r="G94" s="464"/>
      <c r="H94" s="464">
        <f>IFERROR(#REF!*G94,0)</f>
        <v>0</v>
      </c>
      <c r="I94" s="429"/>
      <c r="J94" s="429"/>
      <c r="K94" s="464"/>
      <c r="L94" s="438"/>
      <c r="M94" s="900">
        <f t="shared" si="14"/>
        <v>0</v>
      </c>
      <c r="N94" s="901">
        <f t="shared" si="23"/>
        <v>0</v>
      </c>
      <c r="O94" s="438">
        <f>IFERROR(LOOKUP(1,0/((印刷機資料庫!$F$2:$F$46=F94)*(印刷機資料庫!$G$2:$G$46=J94)),印刷機資料庫!$J$2:$J$46),0)</f>
        <v>0</v>
      </c>
      <c r="P94" s="462"/>
      <c r="Q94" s="444">
        <f t="shared" si="24"/>
        <v>0</v>
      </c>
      <c r="R94" s="482">
        <f>IFERROR(LOOKUP(1,0/((印刷機資料庫!$F$2:$F$46=F94)*(印刷機資料庫!$G$2:$G$46=J94)),印刷機資料庫!$I$2:$I$46),0)</f>
        <v>0</v>
      </c>
      <c r="S94" s="900">
        <f>IFERROR(LOOKUP(1,0/((印刷機資料庫!$F$2:$F$46=F94)*(印刷機資料庫!$G$2:$G$46=J94)),印刷機資料庫!$K$2:$K$46),0)</f>
        <v>0</v>
      </c>
      <c r="T94" s="898">
        <f t="shared" si="25"/>
        <v>0</v>
      </c>
      <c r="U94" s="923">
        <f t="shared" si="19"/>
        <v>0</v>
      </c>
      <c r="V94" s="898">
        <f t="shared" si="20"/>
        <v>0</v>
      </c>
      <c r="W94" s="953"/>
      <c r="X94" s="899">
        <f t="shared" si="17"/>
        <v>0</v>
      </c>
      <c r="Y94" s="438"/>
      <c r="Z94" s="482"/>
      <c r="AA94" s="465"/>
      <c r="AB94" s="438"/>
      <c r="AC94" s="438"/>
    </row>
    <row r="95" spans="1:29" s="433" customFormat="1" ht="15.75">
      <c r="A95" s="434"/>
      <c r="B95" s="434">
        <v>27</v>
      </c>
      <c r="C95" s="581" t="s">
        <v>672</v>
      </c>
      <c r="D95" s="581" t="s">
        <v>43</v>
      </c>
      <c r="E95" s="435" t="s">
        <v>44</v>
      </c>
      <c r="F95" s="429"/>
      <c r="G95" s="464"/>
      <c r="H95" s="464">
        <f>IFERROR(#REF!*G95,0)</f>
        <v>0</v>
      </c>
      <c r="I95" s="429"/>
      <c r="J95" s="429"/>
      <c r="K95" s="464"/>
      <c r="L95" s="438"/>
      <c r="M95" s="900">
        <f t="shared" si="14"/>
        <v>0</v>
      </c>
      <c r="N95" s="901">
        <f t="shared" si="23"/>
        <v>0</v>
      </c>
      <c r="O95" s="438">
        <f>IFERROR(LOOKUP(1,0/((印刷機資料庫!$F$2:$F$46=F95)*(印刷機資料庫!$G$2:$G$46=J95)),印刷機資料庫!$J$2:$J$46),0)</f>
        <v>0</v>
      </c>
      <c r="P95" s="462"/>
      <c r="Q95" s="442">
        <f t="shared" si="24"/>
        <v>0</v>
      </c>
      <c r="R95" s="482">
        <f>IFERROR(LOOKUP(1,0/((印刷機資料庫!$F$2:$F$46=F95)*(印刷機資料庫!$G$2:$G$46=J95)),印刷機資料庫!$I$2:$I$46),0)</f>
        <v>0</v>
      </c>
      <c r="S95" s="900">
        <f>IFERROR(LOOKUP(1,0/((印刷機資料庫!$F$2:$F$46=F95)*(印刷機資料庫!$G$2:$G$46=J95)),印刷機資料庫!$K$2:$K$46),0)</f>
        <v>0</v>
      </c>
      <c r="T95" s="898">
        <f t="shared" si="25"/>
        <v>0</v>
      </c>
      <c r="U95" s="923">
        <f t="shared" si="19"/>
        <v>0</v>
      </c>
      <c r="V95" s="898">
        <f t="shared" si="20"/>
        <v>0</v>
      </c>
      <c r="W95" s="953"/>
      <c r="X95" s="899">
        <f t="shared" si="17"/>
        <v>0</v>
      </c>
      <c r="Y95" s="438"/>
      <c r="Z95" s="482"/>
      <c r="AA95" s="465"/>
      <c r="AB95" s="438"/>
      <c r="AC95" s="438"/>
    </row>
    <row r="96" spans="1:29" s="433" customFormat="1" ht="15.75">
      <c r="A96" s="434"/>
      <c r="B96" s="434">
        <v>28</v>
      </c>
      <c r="C96" s="581" t="s">
        <v>673</v>
      </c>
      <c r="D96" s="581" t="s">
        <v>43</v>
      </c>
      <c r="E96" s="435" t="s">
        <v>44</v>
      </c>
      <c r="F96" s="429"/>
      <c r="G96" s="464"/>
      <c r="H96" s="464">
        <f>IFERROR(#REF!*G96,0)</f>
        <v>0</v>
      </c>
      <c r="I96" s="429"/>
      <c r="J96" s="429"/>
      <c r="K96" s="464"/>
      <c r="L96" s="438"/>
      <c r="M96" s="900">
        <f t="shared" si="14"/>
        <v>0</v>
      </c>
      <c r="N96" s="901">
        <f t="shared" si="23"/>
        <v>0</v>
      </c>
      <c r="O96" s="438">
        <f>IFERROR(LOOKUP(1,0/((印刷機資料庫!$F$2:$F$46=F96)*(印刷機資料庫!$G$2:$G$46=J96)),印刷機資料庫!$J$2:$J$46),0)</f>
        <v>0</v>
      </c>
      <c r="P96" s="462"/>
      <c r="Q96" s="442">
        <f t="shared" si="24"/>
        <v>0</v>
      </c>
      <c r="R96" s="482">
        <f>IFERROR(LOOKUP(1,0/((印刷機資料庫!$F$2:$F$46=F96)*(印刷機資料庫!$G$2:$G$46=J96)),印刷機資料庫!$I$2:$I$46),0)</f>
        <v>0</v>
      </c>
      <c r="S96" s="900">
        <f>IFERROR(LOOKUP(1,0/((印刷機資料庫!$F$2:$F$46=F96)*(印刷機資料庫!$G$2:$G$46=J96)),印刷機資料庫!$K$2:$K$46),0)</f>
        <v>0</v>
      </c>
      <c r="T96" s="898">
        <f t="shared" si="25"/>
        <v>0</v>
      </c>
      <c r="U96" s="923">
        <f t="shared" si="19"/>
        <v>0</v>
      </c>
      <c r="V96" s="898">
        <f t="shared" si="20"/>
        <v>0</v>
      </c>
      <c r="W96" s="953"/>
      <c r="X96" s="899">
        <f t="shared" si="17"/>
        <v>0</v>
      </c>
      <c r="Y96" s="438"/>
      <c r="Z96" s="482"/>
      <c r="AA96" s="465"/>
      <c r="AB96" s="438"/>
      <c r="AC96" s="438"/>
    </row>
    <row r="97" spans="1:29" s="433" customFormat="1" ht="15.75">
      <c r="A97" s="434"/>
      <c r="B97" s="434">
        <v>29</v>
      </c>
      <c r="C97" s="581" t="s">
        <v>632</v>
      </c>
      <c r="D97" s="581" t="s">
        <v>43</v>
      </c>
      <c r="E97" s="435" t="s">
        <v>58</v>
      </c>
      <c r="F97" s="429"/>
      <c r="G97" s="464"/>
      <c r="H97" s="464">
        <f>IFERROR(#REF!*G97,0)</f>
        <v>0</v>
      </c>
      <c r="I97" s="429"/>
      <c r="J97" s="429"/>
      <c r="K97" s="464"/>
      <c r="L97" s="438"/>
      <c r="M97" s="900">
        <f t="shared" si="14"/>
        <v>0</v>
      </c>
      <c r="N97" s="901">
        <f t="shared" si="23"/>
        <v>0</v>
      </c>
      <c r="O97" s="438">
        <f>IFERROR(LOOKUP(1,0/((印刷機資料庫!$F$2:$F$46=F97)*(印刷機資料庫!$G$2:$G$46=J97)),印刷機資料庫!$J$2:$J$46),0)</f>
        <v>0</v>
      </c>
      <c r="P97" s="462"/>
      <c r="Q97" s="442">
        <f t="shared" si="24"/>
        <v>0</v>
      </c>
      <c r="R97" s="482">
        <f>IFERROR(LOOKUP(1,0/((印刷機資料庫!$F$2:$F$46=F97)*(印刷機資料庫!$G$2:$G$46=J97)),印刷機資料庫!$I$2:$I$46),0)</f>
        <v>0</v>
      </c>
      <c r="S97" s="900">
        <f>IFERROR(LOOKUP(1,0/((印刷機資料庫!$F$2:$F$46=F97)*(印刷機資料庫!$G$2:$G$46=J97)),印刷機資料庫!$K$2:$K$46),0)</f>
        <v>0</v>
      </c>
      <c r="T97" s="898">
        <f t="shared" si="25"/>
        <v>0</v>
      </c>
      <c r="U97" s="923">
        <f t="shared" si="19"/>
        <v>0</v>
      </c>
      <c r="V97" s="898">
        <f t="shared" si="20"/>
        <v>0</v>
      </c>
      <c r="W97" s="953"/>
      <c r="X97" s="899">
        <f t="shared" si="17"/>
        <v>0</v>
      </c>
      <c r="Y97" s="438"/>
      <c r="Z97" s="482"/>
      <c r="AA97" s="465"/>
      <c r="AB97" s="438"/>
      <c r="AC97" s="438"/>
    </row>
    <row r="98" spans="1:29" s="433" customFormat="1" ht="15.75">
      <c r="A98" s="434"/>
      <c r="B98" s="434">
        <v>30</v>
      </c>
      <c r="C98" s="581" t="s">
        <v>667</v>
      </c>
      <c r="D98" s="581" t="s">
        <v>43</v>
      </c>
      <c r="E98" s="435" t="s">
        <v>58</v>
      </c>
      <c r="F98" s="429"/>
      <c r="G98" s="464"/>
      <c r="H98" s="464">
        <f>IFERROR(#REF!*G98,0)</f>
        <v>0</v>
      </c>
      <c r="I98" s="429"/>
      <c r="J98" s="429"/>
      <c r="K98" s="464"/>
      <c r="L98" s="438"/>
      <c r="M98" s="900">
        <f t="shared" si="14"/>
        <v>0</v>
      </c>
      <c r="N98" s="901">
        <f t="shared" si="23"/>
        <v>0</v>
      </c>
      <c r="O98" s="438">
        <f>IFERROR(LOOKUP(1,0/((印刷機資料庫!$F$2:$F$46=F98)*(印刷機資料庫!$G$2:$G$46=J98)),印刷機資料庫!$J$2:$J$46),0)</f>
        <v>0</v>
      </c>
      <c r="P98" s="462"/>
      <c r="Q98" s="442">
        <f t="shared" si="24"/>
        <v>0</v>
      </c>
      <c r="R98" s="482">
        <f>IFERROR(LOOKUP(1,0/((印刷機資料庫!$F$2:$F$46=F98)*(印刷機資料庫!$G$2:$G$46=J98)),印刷機資料庫!$I$2:$I$46),0)</f>
        <v>0</v>
      </c>
      <c r="S98" s="900">
        <f>IFERROR(LOOKUP(1,0/((印刷機資料庫!$F$2:$F$46=F98)*(印刷機資料庫!$G$2:$G$46=J98)),印刷機資料庫!$K$2:$K$46),0)</f>
        <v>0</v>
      </c>
      <c r="T98" s="898">
        <f>IFERROR(L98/S98,0)</f>
        <v>0</v>
      </c>
      <c r="U98" s="923">
        <f t="shared" si="19"/>
        <v>0</v>
      </c>
      <c r="V98" s="898">
        <f t="shared" si="20"/>
        <v>0</v>
      </c>
      <c r="W98" s="953"/>
      <c r="X98" s="899">
        <f t="shared" si="17"/>
        <v>0</v>
      </c>
      <c r="Y98" s="438"/>
      <c r="Z98" s="482"/>
      <c r="AA98" s="465"/>
      <c r="AB98" s="438"/>
      <c r="AC98" s="539"/>
    </row>
    <row r="99" spans="1:29" s="433" customFormat="1" ht="15.75">
      <c r="A99" s="434"/>
      <c r="B99" s="434"/>
      <c r="C99" s="581"/>
      <c r="D99" s="581"/>
      <c r="E99" s="435"/>
      <c r="F99" s="429"/>
      <c r="G99" s="464"/>
      <c r="H99" s="464">
        <f>IFERROR(#REF!*G99,0)</f>
        <v>0</v>
      </c>
      <c r="I99" s="429"/>
      <c r="J99" s="429"/>
      <c r="K99" s="464"/>
      <c r="L99" s="438"/>
      <c r="M99" s="900">
        <f t="shared" si="14"/>
        <v>0</v>
      </c>
      <c r="N99" s="901">
        <f t="shared" si="23"/>
        <v>0</v>
      </c>
      <c r="O99" s="438">
        <f>IFERROR(LOOKUP(1,0/((印刷機資料庫!$F$2:$F$46=F99)*(印刷機資料庫!$G$2:$G$46=J99)),印刷機資料庫!$J$2:$J$46),0)</f>
        <v>0</v>
      </c>
      <c r="P99" s="462"/>
      <c r="Q99" s="442">
        <f t="shared" si="24"/>
        <v>0</v>
      </c>
      <c r="R99" s="482">
        <f>IFERROR(LOOKUP(1,0/((印刷機資料庫!$F$2:$F$46=F99)*(印刷機資料庫!$G$2:$G$46=J99)),印刷機資料庫!$I$2:$I$46),0)</f>
        <v>0</v>
      </c>
      <c r="S99" s="900">
        <f>IFERROR(LOOKUP(1,0/((印刷機資料庫!$F$2:$F$46=F99)*(印刷機資料庫!$G$2:$G$46=J99)),印刷機資料庫!$K$2:$K$46),0)</f>
        <v>0</v>
      </c>
      <c r="T99" s="898">
        <f>IFERROR(L99/S99,0)</f>
        <v>0</v>
      </c>
      <c r="U99" s="923">
        <f t="shared" si="19"/>
        <v>0</v>
      </c>
      <c r="V99" s="898">
        <f t="shared" si="20"/>
        <v>0</v>
      </c>
      <c r="W99" s="953"/>
      <c r="X99" s="899">
        <f t="shared" si="17"/>
        <v>0</v>
      </c>
      <c r="Y99" s="438"/>
      <c r="Z99" s="482"/>
      <c r="AA99" s="465"/>
      <c r="AB99" s="438"/>
      <c r="AC99" s="539"/>
    </row>
    <row r="100" spans="1:29" s="433" customFormat="1" ht="15.75">
      <c r="A100" s="446"/>
      <c r="B100" s="446"/>
      <c r="C100" s="456"/>
      <c r="D100" s="456"/>
      <c r="E100" s="448"/>
      <c r="F100" s="452"/>
      <c r="G100" s="452"/>
      <c r="H100" s="430"/>
      <c r="I100" s="469"/>
      <c r="J100" s="518"/>
      <c r="K100" s="452"/>
      <c r="L100" s="439"/>
      <c r="M100" s="945"/>
      <c r="N100" s="946"/>
      <c r="O100" s="467"/>
      <c r="P100" s="467"/>
      <c r="Q100" s="869"/>
      <c r="R100" s="470"/>
      <c r="S100" s="945"/>
      <c r="T100" s="869"/>
      <c r="U100" s="869"/>
      <c r="V100" s="869"/>
      <c r="W100" s="957"/>
      <c r="X100" s="869"/>
      <c r="Y100" s="869"/>
      <c r="Z100" s="869"/>
      <c r="AA100" s="869"/>
      <c r="AB100" s="869"/>
      <c r="AC100" s="869"/>
    </row>
    <row r="101" spans="1:29" s="433" customFormat="1" ht="15.75">
      <c r="A101" s="446"/>
      <c r="B101" s="446"/>
      <c r="C101" s="456"/>
      <c r="D101" s="456"/>
      <c r="E101" s="448"/>
      <c r="F101" s="452"/>
      <c r="G101" s="452"/>
      <c r="H101" s="430"/>
      <c r="I101" s="469"/>
      <c r="J101" s="518"/>
      <c r="K101" s="452"/>
      <c r="L101" s="439"/>
      <c r="M101" s="945"/>
      <c r="N101" s="946"/>
      <c r="O101" s="467"/>
      <c r="P101" s="467"/>
      <c r="Q101" s="869"/>
      <c r="R101" s="470"/>
      <c r="S101" s="945"/>
      <c r="T101" s="869"/>
      <c r="U101" s="869"/>
      <c r="V101" s="869"/>
      <c r="W101" s="957"/>
      <c r="X101" s="869"/>
      <c r="Y101" s="869"/>
      <c r="Z101" s="869"/>
      <c r="AA101" s="869"/>
      <c r="AB101" s="869"/>
      <c r="AC101" s="869"/>
    </row>
    <row r="102" spans="1:29" s="433" customFormat="1" thickBot="1">
      <c r="A102" s="446"/>
      <c r="B102" s="446"/>
      <c r="C102" s="446"/>
      <c r="D102" s="446"/>
      <c r="E102" s="448"/>
      <c r="F102" s="430"/>
      <c r="G102" s="430"/>
      <c r="H102" s="430"/>
      <c r="I102" s="469"/>
      <c r="J102" s="518"/>
      <c r="K102" s="439"/>
      <c r="L102" s="439"/>
      <c r="M102" s="452"/>
      <c r="N102" s="457"/>
      <c r="O102" s="467"/>
      <c r="P102" s="467"/>
      <c r="Q102" s="457"/>
      <c r="R102" s="470"/>
      <c r="S102" s="458"/>
      <c r="T102" s="487">
        <f>SUM(T69:T99)</f>
        <v>0</v>
      </c>
      <c r="U102" s="925"/>
      <c r="V102" s="487"/>
      <c r="W102" s="956"/>
      <c r="X102" s="487"/>
      <c r="Y102" s="489"/>
      <c r="Z102" s="489"/>
      <c r="AA102" s="469" t="s">
        <v>46</v>
      </c>
      <c r="AB102" s="439"/>
      <c r="AC102" s="439"/>
    </row>
    <row r="103" spans="1:29" s="469" customFormat="1" ht="15.75">
      <c r="A103" s="479"/>
      <c r="B103" s="479"/>
      <c r="C103" s="479"/>
      <c r="D103" s="479"/>
      <c r="E103" s="452"/>
      <c r="F103" s="517"/>
      <c r="G103" s="525" t="s">
        <v>631</v>
      </c>
      <c r="H103" s="518"/>
      <c r="J103" s="518"/>
      <c r="K103" s="1842" t="s">
        <v>1349</v>
      </c>
      <c r="L103" s="525" t="s">
        <v>536</v>
      </c>
      <c r="M103" s="525" t="s">
        <v>630</v>
      </c>
      <c r="N103" s="526" t="s">
        <v>458</v>
      </c>
      <c r="O103" s="521"/>
      <c r="P103" s="524" t="s">
        <v>537</v>
      </c>
      <c r="Q103" s="524" t="s">
        <v>455</v>
      </c>
      <c r="R103" s="520"/>
      <c r="S103" s="524" t="s">
        <v>1284</v>
      </c>
      <c r="T103" s="524" t="s">
        <v>459</v>
      </c>
      <c r="U103" s="520"/>
      <c r="V103" s="524" t="s">
        <v>1345</v>
      </c>
      <c r="W103" s="524" t="s">
        <v>1350</v>
      </c>
      <c r="X103" s="524" t="s">
        <v>1351</v>
      </c>
      <c r="Y103" s="524" t="s">
        <v>1353</v>
      </c>
      <c r="Z103" s="524" t="s">
        <v>1352</v>
      </c>
      <c r="AA103" s="469" t="s">
        <v>253</v>
      </c>
      <c r="AB103" s="452"/>
      <c r="AC103" s="452"/>
    </row>
    <row r="104" spans="1:29" thickBot="1">
      <c r="G104" s="522">
        <f>SUM(H69:H98)</f>
        <v>0</v>
      </c>
      <c r="H104" s="431"/>
      <c r="I104" s="431"/>
      <c r="J104" s="431"/>
      <c r="K104" s="1843"/>
      <c r="L104" s="522">
        <f>SUM(L69:L99)</f>
        <v>0</v>
      </c>
      <c r="M104" s="522">
        <f>SUM(M69:M99)</f>
        <v>0</v>
      </c>
      <c r="N104" s="523">
        <f>SUM(N69:N99)</f>
        <v>0</v>
      </c>
      <c r="P104" s="523">
        <f>SUM(P69:P99)</f>
        <v>0</v>
      </c>
      <c r="Q104" s="897" t="e">
        <f>P104/(M104+P104)</f>
        <v>#DIV/0!</v>
      </c>
      <c r="S104" s="686" t="e">
        <f>L104/T104</f>
        <v>#DIV/0!</v>
      </c>
      <c r="T104" s="898" t="e">
        <f>T102/W104</f>
        <v>#DIV/0!</v>
      </c>
      <c r="U104" s="455"/>
      <c r="V104" s="516">
        <v>21</v>
      </c>
      <c r="W104" s="958">
        <f>SUM(W69:W99)</f>
        <v>0</v>
      </c>
      <c r="X104" s="516">
        <f>SUM(X69:X99)</f>
        <v>0</v>
      </c>
      <c r="Y104" s="516">
        <f>W104-X104</f>
        <v>0</v>
      </c>
      <c r="Z104" s="896" t="e">
        <f>X104/W104</f>
        <v>#DIV/0!</v>
      </c>
    </row>
    <row r="105" spans="1:29" ht="21">
      <c r="N105" s="472"/>
      <c r="T105" s="941"/>
    </row>
  </sheetData>
  <sheetProtection formatCells="0" formatColumns="0" formatRows="0" insertColumns="0" insertRows="0" insertHyperlinks="0" deleteColumns="0" deleteRows="0" sort="0" autoFilter="0" pivotTables="0"/>
  <mergeCells count="59">
    <mergeCell ref="K2:K3"/>
    <mergeCell ref="X2:X3"/>
    <mergeCell ref="U2:U3"/>
    <mergeCell ref="V2:V3"/>
    <mergeCell ref="AA2:AA3"/>
    <mergeCell ref="W2:W3"/>
    <mergeCell ref="P2:P3"/>
    <mergeCell ref="Q2:Q3"/>
    <mergeCell ref="R2:R3"/>
    <mergeCell ref="M2:M3"/>
    <mergeCell ref="A1:AC1"/>
    <mergeCell ref="A2:A3"/>
    <mergeCell ref="B2:B3"/>
    <mergeCell ref="H2:H3"/>
    <mergeCell ref="S2:S3"/>
    <mergeCell ref="T2:T3"/>
    <mergeCell ref="Y2:Z2"/>
    <mergeCell ref="AB2:AB3"/>
    <mergeCell ref="AC2:AC3"/>
    <mergeCell ref="L2:L3"/>
    <mergeCell ref="N2:N3"/>
    <mergeCell ref="O2:O3"/>
    <mergeCell ref="C2:C3"/>
    <mergeCell ref="D2:D3"/>
    <mergeCell ref="E2:E3"/>
    <mergeCell ref="J2:J3"/>
    <mergeCell ref="F2:F3"/>
    <mergeCell ref="G2:G3"/>
    <mergeCell ref="I2:I3"/>
    <mergeCell ref="A67:A68"/>
    <mergeCell ref="B67:B68"/>
    <mergeCell ref="C67:C68"/>
    <mergeCell ref="D67:D68"/>
    <mergeCell ref="E67:E68"/>
    <mergeCell ref="F67:F68"/>
    <mergeCell ref="U67:U68"/>
    <mergeCell ref="G67:G68"/>
    <mergeCell ref="H67:H68"/>
    <mergeCell ref="I67:I68"/>
    <mergeCell ref="P67:P68"/>
    <mergeCell ref="J67:J68"/>
    <mergeCell ref="S67:S68"/>
    <mergeCell ref="T67:T68"/>
    <mergeCell ref="AC67:AC68"/>
    <mergeCell ref="K63:K64"/>
    <mergeCell ref="K103:K104"/>
    <mergeCell ref="W67:W68"/>
    <mergeCell ref="X67:X68"/>
    <mergeCell ref="Y67:Z67"/>
    <mergeCell ref="AA67:AA68"/>
    <mergeCell ref="AB67:AB68"/>
    <mergeCell ref="Q67:Q68"/>
    <mergeCell ref="R67:R68"/>
    <mergeCell ref="V67:V68"/>
    <mergeCell ref="K67:K68"/>
    <mergeCell ref="L67:L68"/>
    <mergeCell ref="M67:M68"/>
    <mergeCell ref="N67:N68"/>
    <mergeCell ref="O67:O68"/>
  </mergeCells>
  <phoneticPr fontId="26" type="noConversion"/>
  <conditionalFormatting sqref="H17:H59 Q17:Q61 G60:G61 H69:H99 Q69:Q101 G100:G101 T100:AC101">
    <cfRule type="expression" dxfId="147" priority="97" stopIfTrue="1">
      <formula>G17=0</formula>
    </cfRule>
  </conditionalFormatting>
  <conditionalFormatting sqref="Q4:Q15">
    <cfRule type="expression" dxfId="146" priority="79" stopIfTrue="1">
      <formula>Q4=0</formula>
    </cfRule>
  </conditionalFormatting>
  <conditionalFormatting sqref="T17:T61">
    <cfRule type="expression" dxfId="145" priority="57" stopIfTrue="1">
      <formula>T17=0</formula>
    </cfRule>
  </conditionalFormatting>
  <conditionalFormatting sqref="T69:T99">
    <cfRule type="cellIs" dxfId="144" priority="8" stopIfTrue="1" operator="between">
      <formula>0.851</formula>
      <formula>1</formula>
    </cfRule>
    <cfRule type="cellIs" dxfId="143" priority="9" stopIfTrue="1" operator="between">
      <formula>0.7</formula>
      <formula>0.85</formula>
    </cfRule>
    <cfRule type="expression" dxfId="142" priority="6" stopIfTrue="1">
      <formula>T69=0</formula>
    </cfRule>
    <cfRule type="cellIs" dxfId="141" priority="7" stopIfTrue="1" operator="lessThan">
      <formula>0.7</formula>
    </cfRule>
  </conditionalFormatting>
  <conditionalFormatting sqref="T104">
    <cfRule type="cellIs" dxfId="140" priority="19" stopIfTrue="1" operator="between">
      <formula>0.7</formula>
      <formula>0.85</formula>
    </cfRule>
    <cfRule type="expression" dxfId="139" priority="20" stopIfTrue="1">
      <formula>T104=0</formula>
    </cfRule>
    <cfRule type="expression" dxfId="138" priority="16" stopIfTrue="1">
      <formula>T104=0</formula>
    </cfRule>
    <cfRule type="cellIs" dxfId="137" priority="17" stopIfTrue="1" operator="lessThan">
      <formula>0.7</formula>
    </cfRule>
    <cfRule type="cellIs" dxfId="136" priority="18" stopIfTrue="1" operator="between">
      <formula>0.851</formula>
      <formula>1</formula>
    </cfRule>
  </conditionalFormatting>
  <conditionalFormatting sqref="T17:U61">
    <cfRule type="cellIs" dxfId="135" priority="58" stopIfTrue="1" operator="lessThan">
      <formula>0.7</formula>
    </cfRule>
    <cfRule type="cellIs" dxfId="134" priority="59" stopIfTrue="1" operator="between">
      <formula>0.851</formula>
      <formula>1</formula>
    </cfRule>
    <cfRule type="cellIs" dxfId="133" priority="60" stopIfTrue="1" operator="between">
      <formula>0.7</formula>
      <formula>0.85</formula>
    </cfRule>
    <cfRule type="expression" dxfId="132" priority="66" stopIfTrue="1">
      <formula>T17=0</formula>
    </cfRule>
  </conditionalFormatting>
  <conditionalFormatting sqref="T69:U99">
    <cfRule type="expression" dxfId="131" priority="10" stopIfTrue="1">
      <formula>T69=0</formula>
    </cfRule>
  </conditionalFormatting>
  <conditionalFormatting sqref="T4:V15">
    <cfRule type="expression" dxfId="130" priority="74" stopIfTrue="1">
      <formula>T4=0</formula>
    </cfRule>
    <cfRule type="cellIs" dxfId="129" priority="75" stopIfTrue="1" operator="lessThan">
      <formula>0.7</formula>
    </cfRule>
    <cfRule type="cellIs" dxfId="128" priority="76" stopIfTrue="1" operator="between">
      <formula>0.851</formula>
      <formula>1</formula>
    </cfRule>
    <cfRule type="cellIs" dxfId="127" priority="77" stopIfTrue="1" operator="between">
      <formula>0.7</formula>
      <formula>0.85</formula>
    </cfRule>
    <cfRule type="expression" dxfId="126" priority="78" stopIfTrue="1">
      <formula>T4=0</formula>
    </cfRule>
  </conditionalFormatting>
  <conditionalFormatting sqref="U69:U99">
    <cfRule type="cellIs" dxfId="125" priority="12" stopIfTrue="1" operator="lessThan">
      <formula>0.7</formula>
    </cfRule>
    <cfRule type="cellIs" dxfId="124" priority="13" stopIfTrue="1" operator="between">
      <formula>0.851</formula>
      <formula>1</formula>
    </cfRule>
    <cfRule type="expression" dxfId="123" priority="15" stopIfTrue="1">
      <formula>U69=0</formula>
    </cfRule>
    <cfRule type="cellIs" dxfId="122" priority="14" stopIfTrue="1" operator="between">
      <formula>0.7</formula>
      <formula>0.85</formula>
    </cfRule>
  </conditionalFormatting>
  <conditionalFormatting sqref="V17:V61 T64">
    <cfRule type="expression" dxfId="121" priority="46" stopIfTrue="1">
      <formula>T17=0</formula>
    </cfRule>
    <cfRule type="cellIs" dxfId="120" priority="47" stopIfTrue="1" operator="lessThan">
      <formula>0.7</formula>
    </cfRule>
    <cfRule type="cellIs" dxfId="119" priority="48" stopIfTrue="1" operator="between">
      <formula>0.851</formula>
      <formula>1</formula>
    </cfRule>
    <cfRule type="cellIs" dxfId="118" priority="49" stopIfTrue="1" operator="between">
      <formula>0.7</formula>
      <formula>0.85</formula>
    </cfRule>
    <cfRule type="expression" dxfId="117" priority="50" stopIfTrue="1">
      <formula>T17=0</formula>
    </cfRule>
  </conditionalFormatting>
  <conditionalFormatting sqref="V17:V61 V69:V99">
    <cfRule type="cellIs" dxfId="116" priority="51" stopIfTrue="1" operator="greaterThan">
      <formula>1</formula>
    </cfRule>
  </conditionalFormatting>
  <conditionalFormatting sqref="V69:V99">
    <cfRule type="cellIs" dxfId="115" priority="2" stopIfTrue="1" operator="lessThan">
      <formula>0.7</formula>
    </cfRule>
    <cfRule type="cellIs" dxfId="114" priority="3" stopIfTrue="1" operator="between">
      <formula>0.851</formula>
      <formula>1</formula>
    </cfRule>
    <cfRule type="cellIs" dxfId="113" priority="4" stopIfTrue="1" operator="between">
      <formula>0.7</formula>
      <formula>0.85</formula>
    </cfRule>
    <cfRule type="expression" dxfId="112" priority="5" stopIfTrue="1">
      <formula>V69=0</formula>
    </cfRule>
    <cfRule type="expression" dxfId="111" priority="1" stopIfTrue="1">
      <formula>V69=0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29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EDAAE26-9638-495A-B299-8D8D5871BD85}">
          <x14:formula1>
            <xm:f>規格清單!$A$62:$A$75</xm:f>
          </x14:formula1>
          <xm:sqref>F4:F59 F69:F99</xm:sqref>
        </x14:dataValidation>
        <x14:dataValidation type="list" allowBlank="1" showInputMessage="1" showErrorMessage="1" xr:uid="{10A65E96-3D20-4768-8CD8-F4FFADA68776}">
          <x14:formula1>
            <xm:f>印刷機資料庫!$A$9:$A$11</xm:f>
          </x14:formula1>
          <xm:sqref>J69:J99 J4:J59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A105"/>
  <sheetViews>
    <sheetView zoomScale="70" zoomScaleNormal="70" workbookViewId="0">
      <pane xSplit="4" ySplit="3" topLeftCell="E4" activePane="bottomRight" state="frozen"/>
      <selection pane="topRight"/>
      <selection pane="bottomLeft"/>
      <selection pane="bottomRight" activeCell="J99" sqref="J99"/>
    </sheetView>
  </sheetViews>
  <sheetFormatPr defaultRowHeight="16.5"/>
  <cols>
    <col min="1" max="2" width="4.25" style="446" bestFit="1" customWidth="1"/>
    <col min="3" max="3" width="4" style="446" bestFit="1" customWidth="1"/>
    <col min="4" max="4" width="3.75" style="446" bestFit="1" customWidth="1"/>
    <col min="5" max="5" width="6" style="433" bestFit="1" customWidth="1"/>
    <col min="6" max="6" width="23.875" style="449" bestFit="1" customWidth="1"/>
    <col min="7" max="7" width="20.5" style="449" bestFit="1" customWidth="1"/>
    <col min="8" max="8" width="15.875" style="450" bestFit="1" customWidth="1"/>
    <col min="9" max="9" width="33.5" style="450" bestFit="1" customWidth="1"/>
    <col min="10" max="10" width="10" style="450" bestFit="1" customWidth="1"/>
    <col min="11" max="11" width="14" style="446" bestFit="1" customWidth="1"/>
    <col min="12" max="12" width="14.625" style="446" bestFit="1" customWidth="1"/>
    <col min="13" max="13" width="20.5" style="446" bestFit="1" customWidth="1"/>
    <col min="14" max="14" width="10.625" style="456" bestFit="1" customWidth="1"/>
    <col min="15" max="15" width="6.375" style="446" bestFit="1" customWidth="1"/>
    <col min="16" max="16" width="14.625" style="446" bestFit="1" customWidth="1"/>
    <col min="17" max="17" width="10" style="440" bestFit="1" customWidth="1"/>
    <col min="18" max="18" width="18.5" style="455" bestFit="1" customWidth="1"/>
    <col min="19" max="19" width="14.625" style="456" bestFit="1" customWidth="1"/>
    <col min="20" max="20" width="12.25" bestFit="1" customWidth="1"/>
    <col min="21" max="22" width="10" bestFit="1" customWidth="1"/>
    <col min="23" max="23" width="12.25" style="76" bestFit="1" customWidth="1"/>
    <col min="24" max="24" width="12.25" bestFit="1" customWidth="1"/>
    <col min="25" max="25" width="12.25" style="432" bestFit="1" customWidth="1"/>
    <col min="26" max="26" width="9.125" style="432" bestFit="1" customWidth="1"/>
    <col min="27" max="27" width="10.625" style="451" bestFit="1" customWidth="1"/>
    <col min="28" max="28" width="10.625" style="433" bestFit="1" customWidth="1"/>
    <col min="29" max="29" width="6.5" style="433" bestFit="1" customWidth="1"/>
    <col min="30" max="125" width="8.875" style="446" customWidth="1"/>
    <col min="126" max="16384" width="9" style="446"/>
  </cols>
  <sheetData>
    <row r="1" spans="1:53" ht="21.75" thickBot="1">
      <c r="A1" s="1882" t="s">
        <v>577</v>
      </c>
      <c r="B1" s="1882"/>
      <c r="C1" s="1882"/>
      <c r="D1" s="1882"/>
      <c r="E1" s="1882"/>
      <c r="F1" s="1882"/>
      <c r="G1" s="1882"/>
      <c r="H1" s="1882"/>
      <c r="I1" s="1882"/>
      <c r="J1" s="1882"/>
      <c r="K1" s="1882"/>
      <c r="L1" s="1882"/>
      <c r="M1" s="1882"/>
      <c r="N1" s="1882"/>
      <c r="O1" s="1882"/>
      <c r="P1" s="1882"/>
      <c r="Q1" s="1882"/>
      <c r="R1" s="1882"/>
      <c r="S1" s="1882"/>
      <c r="T1" s="1882"/>
      <c r="U1" s="1882"/>
      <c r="V1" s="1882"/>
      <c r="W1" s="1882"/>
      <c r="X1" s="1882"/>
      <c r="Y1" s="1882"/>
      <c r="Z1" s="1882"/>
      <c r="AA1" s="1882"/>
      <c r="AB1" s="1882"/>
      <c r="AC1" s="1882"/>
    </row>
    <row r="2" spans="1:53" ht="15.75">
      <c r="A2" s="1824" t="s">
        <v>330</v>
      </c>
      <c r="B2" s="1826" t="s">
        <v>311</v>
      </c>
      <c r="C2" s="1828" t="s">
        <v>331</v>
      </c>
      <c r="D2" s="1828" t="s">
        <v>332</v>
      </c>
      <c r="E2" s="1830" t="s">
        <v>194</v>
      </c>
      <c r="F2" s="1832" t="s">
        <v>510</v>
      </c>
      <c r="G2" s="1872" t="s">
        <v>628</v>
      </c>
      <c r="H2" s="1874" t="s">
        <v>629</v>
      </c>
      <c r="I2" s="1832" t="s">
        <v>361</v>
      </c>
      <c r="J2" s="1832" t="s">
        <v>1320</v>
      </c>
      <c r="K2" s="1828" t="s">
        <v>362</v>
      </c>
      <c r="L2" s="1828" t="s">
        <v>514</v>
      </c>
      <c r="M2" s="1856" t="s">
        <v>511</v>
      </c>
      <c r="N2" s="1858" t="s">
        <v>457</v>
      </c>
      <c r="O2" s="1828" t="s">
        <v>380</v>
      </c>
      <c r="P2" s="1876" t="s">
        <v>515</v>
      </c>
      <c r="Q2" s="1854" t="s">
        <v>3</v>
      </c>
      <c r="R2" s="1836" t="s">
        <v>512</v>
      </c>
      <c r="S2" s="1844" t="s">
        <v>1286</v>
      </c>
      <c r="T2" s="1846" t="s">
        <v>201</v>
      </c>
      <c r="U2" s="1846" t="s">
        <v>1318</v>
      </c>
      <c r="V2" s="1846" t="s">
        <v>1319</v>
      </c>
      <c r="W2" s="1849" t="s">
        <v>1285</v>
      </c>
      <c r="X2" s="1866" t="s">
        <v>1297</v>
      </c>
      <c r="Y2" s="1860" t="s">
        <v>340</v>
      </c>
      <c r="Z2" s="1861"/>
      <c r="AA2" s="1867" t="s">
        <v>371</v>
      </c>
      <c r="AB2" s="1867" t="s">
        <v>383</v>
      </c>
      <c r="AC2" s="1864" t="s">
        <v>29</v>
      </c>
    </row>
    <row r="3" spans="1:53" s="447" customFormat="1" thickBot="1">
      <c r="A3" s="1879"/>
      <c r="B3" s="1880"/>
      <c r="C3" s="1839"/>
      <c r="D3" s="1839"/>
      <c r="E3" s="1881"/>
      <c r="F3" s="1838"/>
      <c r="G3" s="1873"/>
      <c r="H3" s="1875"/>
      <c r="I3" s="1838"/>
      <c r="J3" s="1838"/>
      <c r="K3" s="1839"/>
      <c r="L3" s="1839"/>
      <c r="M3" s="1857"/>
      <c r="N3" s="1871"/>
      <c r="O3" s="1839"/>
      <c r="P3" s="1877"/>
      <c r="Q3" s="1869"/>
      <c r="R3" s="1870"/>
      <c r="S3" s="1878"/>
      <c r="T3" s="1848"/>
      <c r="U3" s="1848"/>
      <c r="V3" s="1848"/>
      <c r="W3" s="1850"/>
      <c r="X3" s="1850"/>
      <c r="Y3" s="491" t="s">
        <v>350</v>
      </c>
      <c r="Z3" s="491" t="s">
        <v>351</v>
      </c>
      <c r="AA3" s="1868"/>
      <c r="AB3" s="1868"/>
      <c r="AC3" s="1865"/>
      <c r="AD3" s="446"/>
      <c r="AE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</row>
    <row r="4" spans="1:53" s="439" customFormat="1" ht="15.75">
      <c r="A4" s="434"/>
      <c r="B4" s="434"/>
      <c r="C4" s="434"/>
      <c r="D4" s="434"/>
      <c r="E4" s="435" t="s">
        <v>58</v>
      </c>
      <c r="F4" s="464" t="s">
        <v>538</v>
      </c>
      <c r="G4" s="464"/>
      <c r="H4" s="464"/>
      <c r="I4" s="429" t="s">
        <v>541</v>
      </c>
      <c r="J4" s="429" t="s">
        <v>1301</v>
      </c>
      <c r="K4" s="464">
        <v>480</v>
      </c>
      <c r="L4" s="464"/>
      <c r="M4" s="900"/>
      <c r="N4" s="443">
        <f t="shared" ref="N4:N15" si="0">K4*L4</f>
        <v>0</v>
      </c>
      <c r="O4" s="438">
        <f>IFERROR(LOOKUP(1,0/((印刷機資料庫!$F$47:$F$79=F4)*(印刷機資料庫!$G$47:$G$79=J4)),印刷機資料庫!$J$47:$J$79),0)</f>
        <v>1000</v>
      </c>
      <c r="P4" s="438"/>
      <c r="Q4" s="442">
        <f t="shared" ref="Q4:Q15" si="1">IFERROR(P4/(M4+P4),0)</f>
        <v>0</v>
      </c>
      <c r="R4" s="482">
        <f>IFERROR(LOOKUP(1,0/((印刷機資料庫!$F$47:$F$79=F4)*(印刷機資料庫!$G$47:$G$79=J4)),印刷機資料庫!$I$47:$I$79),0)</f>
        <v>150</v>
      </c>
      <c r="S4" s="900">
        <f>IFERROR(LOOKUP(1,0/((印刷機資料庫!$F$47:$F$79=F4)*(印刷機資料庫!$G$47:$G$79=J4)),印刷機資料庫!$K$47:$K$79),0)</f>
        <v>99</v>
      </c>
      <c r="T4" s="898">
        <f t="shared" ref="T4:T15" si="2">IFERROR(L4/S4,0)</f>
        <v>0</v>
      </c>
      <c r="U4" s="923">
        <f t="shared" ref="U4:U15" si="3">IFERROR(R4*X4*60/O4,0)</f>
        <v>0</v>
      </c>
      <c r="V4" s="898">
        <f t="shared" ref="V4:V15" si="4">IFERROR(L4/U4,0)</f>
        <v>0</v>
      </c>
      <c r="W4" s="953"/>
      <c r="X4" s="478"/>
      <c r="Y4" s="438">
        <v>0</v>
      </c>
      <c r="Z4" s="482">
        <v>0</v>
      </c>
      <c r="AA4" s="536"/>
      <c r="AB4" s="438"/>
      <c r="AC4" s="438"/>
    </row>
    <row r="5" spans="1:53" s="439" customFormat="1" ht="15.75">
      <c r="A5" s="434"/>
      <c r="B5" s="434"/>
      <c r="C5" s="434"/>
      <c r="D5" s="434"/>
      <c r="E5" s="435" t="s">
        <v>58</v>
      </c>
      <c r="F5" s="464" t="s">
        <v>539</v>
      </c>
      <c r="G5" s="464"/>
      <c r="H5" s="464"/>
      <c r="I5" s="429" t="s">
        <v>542</v>
      </c>
      <c r="J5" s="429" t="s">
        <v>1301</v>
      </c>
      <c r="K5" s="464">
        <v>431</v>
      </c>
      <c r="L5" s="464"/>
      <c r="M5" s="900"/>
      <c r="N5" s="443">
        <f t="shared" si="0"/>
        <v>0</v>
      </c>
      <c r="O5" s="438">
        <f>IFERROR(LOOKUP(1,0/((印刷機資料庫!$F$47:$F$79=F5)*(印刷機資料庫!$G$47:$G$79=J5)),印刷機資料庫!$J$47:$J$79),0)</f>
        <v>1000</v>
      </c>
      <c r="P5" s="438"/>
      <c r="Q5" s="442">
        <f t="shared" si="1"/>
        <v>0</v>
      </c>
      <c r="R5" s="482">
        <f>IFERROR(LOOKUP(1,0/((印刷機資料庫!$F$47:$F$79=F5)*(印刷機資料庫!$G$47:$G$79=J5)),印刷機資料庫!$I$47:$I$79),0)</f>
        <v>150</v>
      </c>
      <c r="S5" s="900">
        <f>IFERROR(LOOKUP(1,0/((印刷機資料庫!$F$47:$F$79=F5)*(印刷機資料庫!$G$47:$G$79=J5)),印刷機資料庫!$K$47:$K$79),0)</f>
        <v>99</v>
      </c>
      <c r="T5" s="898">
        <f t="shared" si="2"/>
        <v>0</v>
      </c>
      <c r="U5" s="923">
        <f t="shared" si="3"/>
        <v>0</v>
      </c>
      <c r="V5" s="898">
        <f t="shared" si="4"/>
        <v>0</v>
      </c>
      <c r="W5" s="953"/>
      <c r="X5" s="478"/>
      <c r="Y5" s="438">
        <v>0</v>
      </c>
      <c r="Z5" s="482">
        <v>0</v>
      </c>
      <c r="AA5" s="536"/>
      <c r="AB5" s="438"/>
      <c r="AC5" s="438"/>
    </row>
    <row r="6" spans="1:53" s="439" customFormat="1" ht="15.75">
      <c r="A6" s="434"/>
      <c r="B6" s="434"/>
      <c r="C6" s="434"/>
      <c r="D6" s="434"/>
      <c r="E6" s="435" t="s">
        <v>58</v>
      </c>
      <c r="F6" s="464" t="s">
        <v>540</v>
      </c>
      <c r="G6" s="464"/>
      <c r="H6" s="464"/>
      <c r="I6" s="429" t="s">
        <v>543</v>
      </c>
      <c r="J6" s="429" t="s">
        <v>1301</v>
      </c>
      <c r="K6" s="464">
        <v>485</v>
      </c>
      <c r="L6" s="464"/>
      <c r="M6" s="900"/>
      <c r="N6" s="443">
        <f t="shared" si="0"/>
        <v>0</v>
      </c>
      <c r="O6" s="438">
        <f>IFERROR(LOOKUP(1,0/((印刷機資料庫!$F$47:$F$79=F6)*(印刷機資料庫!$G$47:$G$79=J6)),印刷機資料庫!$J$47:$J$79),0)</f>
        <v>1000</v>
      </c>
      <c r="P6" s="438"/>
      <c r="Q6" s="442">
        <f t="shared" si="1"/>
        <v>0</v>
      </c>
      <c r="R6" s="482">
        <f>IFERROR(LOOKUP(1,0/((印刷機資料庫!$F$47:$F$79=F6)*(印刷機資料庫!$G$47:$G$79=J6)),印刷機資料庫!$I$47:$I$79),0)</f>
        <v>150</v>
      </c>
      <c r="S6" s="900">
        <f>IFERROR(LOOKUP(1,0/((印刷機資料庫!$F$47:$F$79=F6)*(印刷機資料庫!$G$47:$G$79=J6)),印刷機資料庫!$K$47:$K$79),0)</f>
        <v>99</v>
      </c>
      <c r="T6" s="898">
        <f t="shared" si="2"/>
        <v>0</v>
      </c>
      <c r="U6" s="923">
        <f t="shared" si="3"/>
        <v>0</v>
      </c>
      <c r="V6" s="898">
        <f t="shared" si="4"/>
        <v>0</v>
      </c>
      <c r="W6" s="953"/>
      <c r="X6" s="478"/>
      <c r="Y6" s="438">
        <v>0</v>
      </c>
      <c r="Z6" s="482">
        <v>0</v>
      </c>
      <c r="AA6" s="536"/>
      <c r="AB6" s="438"/>
      <c r="AC6" s="438"/>
    </row>
    <row r="7" spans="1:53" s="439" customFormat="1" ht="15.75">
      <c r="A7" s="434"/>
      <c r="B7" s="434"/>
      <c r="C7" s="434"/>
      <c r="D7" s="434"/>
      <c r="E7" s="435" t="s">
        <v>58</v>
      </c>
      <c r="F7" s="464" t="s">
        <v>517</v>
      </c>
      <c r="G7" s="464"/>
      <c r="H7" s="464"/>
      <c r="I7" s="429" t="s">
        <v>544</v>
      </c>
      <c r="J7" s="429" t="s">
        <v>1301</v>
      </c>
      <c r="K7" s="464">
        <v>463</v>
      </c>
      <c r="L7" s="464"/>
      <c r="M7" s="900"/>
      <c r="N7" s="443">
        <f t="shared" si="0"/>
        <v>0</v>
      </c>
      <c r="O7" s="438">
        <f>IFERROR(LOOKUP(1,0/((印刷機資料庫!$F$47:$F$79=F7)*(印刷機資料庫!$G$47:$G$79=J7)),印刷機資料庫!$J$47:$J$79),0)</f>
        <v>1000</v>
      </c>
      <c r="P7" s="438"/>
      <c r="Q7" s="442">
        <f t="shared" si="1"/>
        <v>0</v>
      </c>
      <c r="R7" s="482">
        <f>IFERROR(LOOKUP(1,0/((印刷機資料庫!$F$47:$F$79=F7)*(印刷機資料庫!$G$47:$G$79=J7)),印刷機資料庫!$I$47:$I$79),0)</f>
        <v>150</v>
      </c>
      <c r="S7" s="900">
        <f>IFERROR(LOOKUP(1,0/((印刷機資料庫!$F$47:$F$79=F7)*(印刷機資料庫!$G$47:$G$79=J7)),印刷機資料庫!$K$47:$K$79),0)</f>
        <v>99</v>
      </c>
      <c r="T7" s="898">
        <f t="shared" si="2"/>
        <v>0</v>
      </c>
      <c r="U7" s="923">
        <f t="shared" si="3"/>
        <v>0</v>
      </c>
      <c r="V7" s="898">
        <f t="shared" si="4"/>
        <v>0</v>
      </c>
      <c r="W7" s="953"/>
      <c r="X7" s="478"/>
      <c r="Y7" s="438">
        <v>0</v>
      </c>
      <c r="Z7" s="482">
        <v>0</v>
      </c>
      <c r="AA7" s="536"/>
      <c r="AB7" s="438"/>
      <c r="AC7" s="438"/>
    </row>
    <row r="8" spans="1:53" s="439" customFormat="1" ht="15.75">
      <c r="A8" s="434"/>
      <c r="B8" s="434"/>
      <c r="C8" s="434"/>
      <c r="D8" s="434"/>
      <c r="E8" s="435" t="s">
        <v>58</v>
      </c>
      <c r="F8" s="464" t="s">
        <v>519</v>
      </c>
      <c r="G8" s="464"/>
      <c r="H8" s="464"/>
      <c r="I8" s="429" t="s">
        <v>527</v>
      </c>
      <c r="J8" s="429" t="s">
        <v>1301</v>
      </c>
      <c r="K8" s="464">
        <v>720</v>
      </c>
      <c r="L8" s="464"/>
      <c r="M8" s="900"/>
      <c r="N8" s="443">
        <f t="shared" si="0"/>
        <v>0</v>
      </c>
      <c r="O8" s="438">
        <f>IFERROR(LOOKUP(1,0/((印刷機資料庫!$F$47:$F$79=F8)*(印刷機資料庫!$G$47:$G$79=J8)),印刷機資料庫!$J$47:$J$79),0)</f>
        <v>600</v>
      </c>
      <c r="P8" s="438"/>
      <c r="Q8" s="442">
        <f t="shared" si="1"/>
        <v>0</v>
      </c>
      <c r="R8" s="482">
        <f>IFERROR(LOOKUP(1,0/((印刷機資料庫!$F$47:$F$79=F8)*(印刷機資料庫!$G$47:$G$79=J8)),印刷機資料庫!$I$47:$I$79),0)</f>
        <v>150</v>
      </c>
      <c r="S8" s="900">
        <f>IFERROR(LOOKUP(1,0/((印刷機資料庫!$F$47:$F$79=F8)*(印刷機資料庫!$G$47:$G$79=J8)),印刷機資料庫!$K$47:$K$79),0)</f>
        <v>165</v>
      </c>
      <c r="T8" s="898">
        <f t="shared" si="2"/>
        <v>0</v>
      </c>
      <c r="U8" s="923">
        <f t="shared" si="3"/>
        <v>0</v>
      </c>
      <c r="V8" s="898">
        <f t="shared" si="4"/>
        <v>0</v>
      </c>
      <c r="W8" s="953"/>
      <c r="X8" s="478"/>
      <c r="Y8" s="438">
        <v>0</v>
      </c>
      <c r="Z8" s="482">
        <v>0</v>
      </c>
      <c r="AA8" s="536"/>
      <c r="AB8" s="438"/>
      <c r="AC8" s="438"/>
    </row>
    <row r="9" spans="1:53" s="439" customFormat="1" ht="15.75">
      <c r="A9" s="434"/>
      <c r="B9" s="434"/>
      <c r="C9" s="434"/>
      <c r="D9" s="434"/>
      <c r="E9" s="435" t="s">
        <v>58</v>
      </c>
      <c r="F9" s="464" t="s">
        <v>522</v>
      </c>
      <c r="G9" s="464"/>
      <c r="H9" s="464"/>
      <c r="I9" s="429" t="s">
        <v>545</v>
      </c>
      <c r="J9" s="429" t="s">
        <v>1301</v>
      </c>
      <c r="K9" s="464">
        <v>720</v>
      </c>
      <c r="L9" s="464"/>
      <c r="M9" s="900"/>
      <c r="N9" s="443">
        <f t="shared" si="0"/>
        <v>0</v>
      </c>
      <c r="O9" s="438">
        <f>IFERROR(LOOKUP(1,0/((印刷機資料庫!$F$47:$F$79=F9)*(印刷機資料庫!$G$47:$G$79=J9)),印刷機資料庫!$J$47:$J$79),0)</f>
        <v>1000</v>
      </c>
      <c r="P9" s="438"/>
      <c r="Q9" s="442">
        <f t="shared" si="1"/>
        <v>0</v>
      </c>
      <c r="R9" s="482">
        <f>IFERROR(LOOKUP(1,0/((印刷機資料庫!$F$47:$F$79=F9)*(印刷機資料庫!$G$47:$G$79=J9)),印刷機資料庫!$I$47:$I$79),0)</f>
        <v>150</v>
      </c>
      <c r="S9" s="900">
        <f>IFERROR(LOOKUP(1,0/((印刷機資料庫!$F$47:$F$79=F9)*(印刷機資料庫!$G$47:$G$79=J9)),印刷機資料庫!$K$47:$K$79),0)</f>
        <v>99</v>
      </c>
      <c r="T9" s="898">
        <f t="shared" si="2"/>
        <v>0</v>
      </c>
      <c r="U9" s="923">
        <f t="shared" si="3"/>
        <v>0</v>
      </c>
      <c r="V9" s="898">
        <f t="shared" si="4"/>
        <v>0</v>
      </c>
      <c r="W9" s="953"/>
      <c r="X9" s="478"/>
      <c r="Y9" s="438">
        <v>0</v>
      </c>
      <c r="Z9" s="482">
        <v>0</v>
      </c>
      <c r="AA9" s="536"/>
      <c r="AB9" s="438"/>
      <c r="AC9" s="438"/>
    </row>
    <row r="10" spans="1:53" s="439" customFormat="1" ht="15.75">
      <c r="A10" s="434"/>
      <c r="B10" s="434"/>
      <c r="C10" s="434"/>
      <c r="D10" s="434"/>
      <c r="E10" s="435" t="s">
        <v>58</v>
      </c>
      <c r="F10" s="464" t="s">
        <v>523</v>
      </c>
      <c r="G10" s="464"/>
      <c r="H10" s="464"/>
      <c r="I10" s="429" t="s">
        <v>546</v>
      </c>
      <c r="J10" s="429" t="s">
        <v>1301</v>
      </c>
      <c r="K10" s="464">
        <v>830</v>
      </c>
      <c r="L10" s="464"/>
      <c r="M10" s="900"/>
      <c r="N10" s="443">
        <f t="shared" si="0"/>
        <v>0</v>
      </c>
      <c r="O10" s="438">
        <f>IFERROR(LOOKUP(1,0/((印刷機資料庫!$F$47:$F$79=F10)*(印刷機資料庫!$G$47:$G$79=J10)),印刷機資料庫!$J$47:$J$79),0)</f>
        <v>1000</v>
      </c>
      <c r="P10" s="438"/>
      <c r="Q10" s="442">
        <f t="shared" si="1"/>
        <v>0</v>
      </c>
      <c r="R10" s="482">
        <f>IFERROR(LOOKUP(1,0/((印刷機資料庫!$F$47:$F$79=F10)*(印刷機資料庫!$G$47:$G$79=J10)),印刷機資料庫!$I$47:$I$79),0)</f>
        <v>150</v>
      </c>
      <c r="S10" s="900">
        <f>IFERROR(LOOKUP(1,0/((印刷機資料庫!$F$47:$F$79=F10)*(印刷機資料庫!$G$47:$G$79=J10)),印刷機資料庫!$K$47:$K$79),0)</f>
        <v>99</v>
      </c>
      <c r="T10" s="898">
        <f t="shared" si="2"/>
        <v>0</v>
      </c>
      <c r="U10" s="923">
        <f t="shared" si="3"/>
        <v>0</v>
      </c>
      <c r="V10" s="898">
        <f t="shared" si="4"/>
        <v>0</v>
      </c>
      <c r="W10" s="953"/>
      <c r="X10" s="478"/>
      <c r="Y10" s="438">
        <v>0</v>
      </c>
      <c r="Z10" s="482">
        <v>0</v>
      </c>
      <c r="AA10" s="536"/>
      <c r="AB10" s="438"/>
      <c r="AC10" s="438"/>
    </row>
    <row r="11" spans="1:53" s="439" customFormat="1" ht="15.75">
      <c r="A11" s="434"/>
      <c r="B11" s="434"/>
      <c r="C11" s="434"/>
      <c r="D11" s="434"/>
      <c r="E11" s="435" t="s">
        <v>44</v>
      </c>
      <c r="F11" s="464" t="s">
        <v>1405</v>
      </c>
      <c r="G11" s="464"/>
      <c r="H11" s="464"/>
      <c r="I11" s="429" t="s">
        <v>547</v>
      </c>
      <c r="J11" s="429" t="s">
        <v>1301</v>
      </c>
      <c r="K11" s="464">
        <v>880</v>
      </c>
      <c r="L11" s="464"/>
      <c r="M11" s="900"/>
      <c r="N11" s="443">
        <f t="shared" si="0"/>
        <v>0</v>
      </c>
      <c r="O11" s="438">
        <f>IFERROR(LOOKUP(1,0/((印刷機資料庫!$F$47:$F$79=F11)*(印刷機資料庫!$G$47:$G$79=J11)),印刷機資料庫!$J$47:$J$79),0)</f>
        <v>2000</v>
      </c>
      <c r="P11" s="438"/>
      <c r="Q11" s="442">
        <f t="shared" si="1"/>
        <v>0</v>
      </c>
      <c r="R11" s="482">
        <f>IFERROR(LOOKUP(1,0/((印刷機資料庫!$F$47:$F$79=F11)*(印刷機資料庫!$G$47:$G$79=J11)),印刷機資料庫!$I$47:$I$79),0)</f>
        <v>150</v>
      </c>
      <c r="S11" s="900">
        <f>IFERROR(LOOKUP(1,0/((印刷機資料庫!$F$47:$F$79=F11)*(印刷機資料庫!$G$47:$G$79=J11)),印刷機資料庫!$K$47:$K$79),0)</f>
        <v>49.5</v>
      </c>
      <c r="T11" s="898">
        <f t="shared" si="2"/>
        <v>0</v>
      </c>
      <c r="U11" s="923">
        <f t="shared" si="3"/>
        <v>0</v>
      </c>
      <c r="V11" s="898">
        <f t="shared" si="4"/>
        <v>0</v>
      </c>
      <c r="W11" s="953"/>
      <c r="X11" s="478"/>
      <c r="Y11" s="438">
        <v>0</v>
      </c>
      <c r="Z11" s="482">
        <v>0</v>
      </c>
      <c r="AA11" s="536"/>
      <c r="AB11" s="438"/>
      <c r="AC11" s="438"/>
    </row>
    <row r="12" spans="1:53" s="439" customFormat="1" ht="15.75">
      <c r="A12" s="434"/>
      <c r="B12" s="434"/>
      <c r="C12" s="434"/>
      <c r="D12" s="434"/>
      <c r="E12" s="435" t="s">
        <v>44</v>
      </c>
      <c r="F12" s="464" t="s">
        <v>1406</v>
      </c>
      <c r="G12" s="464"/>
      <c r="H12" s="464"/>
      <c r="I12" s="429" t="s">
        <v>649</v>
      </c>
      <c r="J12" s="429" t="s">
        <v>1301</v>
      </c>
      <c r="K12" s="464">
        <v>1100</v>
      </c>
      <c r="L12" s="464"/>
      <c r="M12" s="900"/>
      <c r="N12" s="443">
        <f t="shared" si="0"/>
        <v>0</v>
      </c>
      <c r="O12" s="438">
        <f>IFERROR(LOOKUP(1,0/((印刷機資料庫!$F$47:$F$79=F12)*(印刷機資料庫!$G$47:$G$79=J12)),印刷機資料庫!$J$47:$J$79),0)</f>
        <v>2000</v>
      </c>
      <c r="P12" s="438"/>
      <c r="Q12" s="442">
        <f t="shared" si="1"/>
        <v>0</v>
      </c>
      <c r="R12" s="482">
        <f>IFERROR(LOOKUP(1,0/((印刷機資料庫!$F$47:$F$79=F12)*(印刷機資料庫!$G$47:$G$79=J12)),印刷機資料庫!$I$47:$I$79),0)</f>
        <v>150</v>
      </c>
      <c r="S12" s="900">
        <f>IFERROR(LOOKUP(1,0/((印刷機資料庫!$F$47:$F$79=F12)*(印刷機資料庫!$G$47:$G$79=J12)),印刷機資料庫!$K$47:$K$79),0)</f>
        <v>49.5</v>
      </c>
      <c r="T12" s="898">
        <f>IFERROR(L12/S12,0)</f>
        <v>0</v>
      </c>
      <c r="U12" s="923">
        <f t="shared" si="3"/>
        <v>0</v>
      </c>
      <c r="V12" s="898">
        <f t="shared" si="4"/>
        <v>0</v>
      </c>
      <c r="W12" s="953"/>
      <c r="X12" s="478"/>
      <c r="Y12" s="438">
        <v>0</v>
      </c>
      <c r="Z12" s="482">
        <v>0</v>
      </c>
      <c r="AA12" s="536"/>
      <c r="AB12" s="438"/>
      <c r="AC12" s="438"/>
    </row>
    <row r="13" spans="1:53" s="439" customFormat="1" ht="15.75">
      <c r="A13" s="434"/>
      <c r="B13" s="434"/>
      <c r="C13" s="434"/>
      <c r="D13" s="434"/>
      <c r="E13" s="435"/>
      <c r="F13" s="464"/>
      <c r="G13" s="464"/>
      <c r="H13" s="464"/>
      <c r="I13" s="429"/>
      <c r="J13" s="429"/>
      <c r="K13" s="464"/>
      <c r="L13" s="464"/>
      <c r="M13" s="900"/>
      <c r="N13" s="443">
        <f t="shared" si="0"/>
        <v>0</v>
      </c>
      <c r="O13" s="438">
        <f>IFERROR(LOOKUP(1,0/((印刷機資料庫!$F$47:$F$79=F13)*(印刷機資料庫!$G$47:$G$79=J13)),印刷機資料庫!$J$47:$J$79),0)</f>
        <v>0</v>
      </c>
      <c r="P13" s="438"/>
      <c r="Q13" s="442">
        <f t="shared" si="1"/>
        <v>0</v>
      </c>
      <c r="R13" s="482">
        <f>IFERROR(LOOKUP(1,0/((印刷機資料庫!$F$47:$F$79=F13)*(印刷機資料庫!$G$47:$G$79=J13)),印刷機資料庫!$I$47:$I$79),0)</f>
        <v>0</v>
      </c>
      <c r="S13" s="900">
        <f>IFERROR(LOOKUP(1,0/((印刷機資料庫!$F$47:$F$79=F13)*(印刷機資料庫!$G$47:$G$79=J13)),印刷機資料庫!$K$47:$K$79),0)</f>
        <v>0</v>
      </c>
      <c r="T13" s="898">
        <f t="shared" si="2"/>
        <v>0</v>
      </c>
      <c r="U13" s="923">
        <f t="shared" si="3"/>
        <v>0</v>
      </c>
      <c r="V13" s="898">
        <f t="shared" si="4"/>
        <v>0</v>
      </c>
      <c r="W13" s="953"/>
      <c r="X13" s="478"/>
      <c r="Y13" s="438">
        <v>0</v>
      </c>
      <c r="Z13" s="482">
        <v>0</v>
      </c>
      <c r="AA13" s="536"/>
      <c r="AB13" s="438"/>
      <c r="AC13" s="438"/>
    </row>
    <row r="14" spans="1:53" s="439" customFormat="1" ht="15.75">
      <c r="A14" s="434"/>
      <c r="B14" s="434"/>
      <c r="C14" s="434"/>
      <c r="D14" s="434"/>
      <c r="E14" s="435"/>
      <c r="F14" s="464"/>
      <c r="G14" s="464"/>
      <c r="H14" s="464"/>
      <c r="I14" s="429"/>
      <c r="J14" s="429"/>
      <c r="K14" s="464"/>
      <c r="L14" s="464"/>
      <c r="M14" s="900"/>
      <c r="N14" s="443">
        <f t="shared" si="0"/>
        <v>0</v>
      </c>
      <c r="O14" s="438">
        <f>IFERROR(LOOKUP(1,0/((印刷機資料庫!$F$47:$F$79=F14)*(印刷機資料庫!$G$47:$G$79=J14)),印刷機資料庫!$J$47:$J$79),0)</f>
        <v>0</v>
      </c>
      <c r="P14" s="438"/>
      <c r="Q14" s="442">
        <f t="shared" si="1"/>
        <v>0</v>
      </c>
      <c r="R14" s="482">
        <f>IFERROR(LOOKUP(1,0/((印刷機資料庫!$F$47:$F$79=F14)*(印刷機資料庫!$G$47:$G$79=J14)),印刷機資料庫!$I$47:$I$79),0)</f>
        <v>0</v>
      </c>
      <c r="S14" s="900">
        <f>IFERROR(LOOKUP(1,0/((印刷機資料庫!$F$47:$F$79=F14)*(印刷機資料庫!$G$47:$G$79=J14)),印刷機資料庫!$K$47:$K$79),0)</f>
        <v>0</v>
      </c>
      <c r="T14" s="898">
        <f t="shared" si="2"/>
        <v>0</v>
      </c>
      <c r="U14" s="923">
        <f t="shared" si="3"/>
        <v>0</v>
      </c>
      <c r="V14" s="898">
        <f t="shared" si="4"/>
        <v>0</v>
      </c>
      <c r="W14" s="953"/>
      <c r="X14" s="478"/>
      <c r="Y14" s="438">
        <v>0</v>
      </c>
      <c r="Z14" s="482">
        <v>0</v>
      </c>
      <c r="AA14" s="536"/>
      <c r="AB14" s="438"/>
      <c r="AC14" s="438"/>
    </row>
    <row r="15" spans="1:53" s="439" customFormat="1" ht="15.75">
      <c r="A15" s="434"/>
      <c r="B15" s="434"/>
      <c r="C15" s="434"/>
      <c r="D15" s="434"/>
      <c r="E15" s="435"/>
      <c r="F15" s="464"/>
      <c r="G15" s="464"/>
      <c r="H15" s="464"/>
      <c r="I15" s="429"/>
      <c r="J15" s="429"/>
      <c r="K15" s="464"/>
      <c r="L15" s="464"/>
      <c r="M15" s="900"/>
      <c r="N15" s="443">
        <f t="shared" si="0"/>
        <v>0</v>
      </c>
      <c r="O15" s="438">
        <f>IFERROR(LOOKUP(1,0/((印刷機資料庫!$F$47:$F$79=F15)*(印刷機資料庫!$G$47:$G$79=J15)),印刷機資料庫!$J$47:$J$79),0)</f>
        <v>0</v>
      </c>
      <c r="P15" s="438"/>
      <c r="Q15" s="442">
        <f t="shared" si="1"/>
        <v>0</v>
      </c>
      <c r="R15" s="482">
        <f>IFERROR(LOOKUP(1,0/((印刷機資料庫!$F$47:$F$79=F15)*(印刷機資料庫!$G$47:$G$79=J15)),印刷機資料庫!$I$47:$I$79),0)</f>
        <v>0</v>
      </c>
      <c r="S15" s="900">
        <f>IFERROR(LOOKUP(1,0/((印刷機資料庫!$F$47:$F$79=F15)*(印刷機資料庫!$G$47:$G$79=J15)),印刷機資料庫!$K$47:$K$79),0)</f>
        <v>0</v>
      </c>
      <c r="T15" s="898">
        <f t="shared" si="2"/>
        <v>0</v>
      </c>
      <c r="U15" s="923">
        <f t="shared" si="3"/>
        <v>0</v>
      </c>
      <c r="V15" s="898">
        <f t="shared" si="4"/>
        <v>0</v>
      </c>
      <c r="W15" s="953"/>
      <c r="X15" s="478"/>
      <c r="Y15" s="438">
        <v>0</v>
      </c>
      <c r="Z15" s="482">
        <v>0</v>
      </c>
      <c r="AA15" s="536"/>
      <c r="AB15" s="438"/>
      <c r="AC15" s="438"/>
    </row>
    <row r="16" spans="1:53" s="439" customFormat="1" thickBot="1">
      <c r="A16" s="496"/>
      <c r="B16" s="496"/>
      <c r="C16" s="496"/>
      <c r="D16" s="496"/>
      <c r="E16" s="497"/>
      <c r="F16" s="994"/>
      <c r="G16" s="500"/>
      <c r="H16" s="500"/>
      <c r="I16" s="498"/>
      <c r="J16" s="498"/>
      <c r="K16" s="500"/>
      <c r="L16" s="500"/>
      <c r="M16" s="991"/>
      <c r="N16" s="501"/>
      <c r="O16" s="499">
        <f>IFERROR(LOOKUP(1,0/((印刷機資料庫!$F$47:$F$79=F16)*(印刷機資料庫!$G$47:$G$79=J16)),印刷機資料庫!$J$47:$J$79),0)</f>
        <v>0</v>
      </c>
      <c r="P16" s="499"/>
      <c r="Q16" s="503"/>
      <c r="R16" s="509">
        <f>IFERROR(LOOKUP(1,0/((印刷機資料庫!$F$47:$F$79=F16)*(印刷機資料庫!$G$47:$G$79=J16)),印刷機資料庫!$I$47:$I$79),0)</f>
        <v>0</v>
      </c>
      <c r="S16" s="991">
        <f>IFERROR(LOOKUP(1,0/((印刷機資料庫!$F$47:$F$79=F16)*(印刷機資料庫!$G$47:$G$79=J16)),印刷機資料庫!$K$47:$K$79),0)</f>
        <v>0</v>
      </c>
      <c r="T16" s="551"/>
      <c r="U16" s="551"/>
      <c r="V16" s="551"/>
      <c r="W16" s="954"/>
      <c r="X16" s="508"/>
      <c r="Y16" s="499"/>
      <c r="Z16" s="509"/>
      <c r="AA16" s="529"/>
      <c r="AB16" s="499"/>
      <c r="AC16" s="499"/>
    </row>
    <row r="17" spans="1:29" s="433" customFormat="1" ht="15.75">
      <c r="A17" s="889">
        <v>11</v>
      </c>
      <c r="B17" s="889">
        <v>1</v>
      </c>
      <c r="C17" s="889" t="s">
        <v>632</v>
      </c>
      <c r="D17" s="889" t="s">
        <v>0</v>
      </c>
      <c r="E17" s="963" t="s">
        <v>42</v>
      </c>
      <c r="F17" s="993"/>
      <c r="G17" s="532"/>
      <c r="H17" s="532">
        <f>IFERROR(#REF!*G17,0)</f>
        <v>0</v>
      </c>
      <c r="I17" s="964"/>
      <c r="J17" s="964"/>
      <c r="K17" s="532"/>
      <c r="L17" s="480"/>
      <c r="M17" s="927">
        <f>L17*O17</f>
        <v>0</v>
      </c>
      <c r="N17" s="995">
        <f t="shared" ref="N17:N26" si="5">K17*L17</f>
        <v>0</v>
      </c>
      <c r="O17" s="480">
        <f>IFERROR(LOOKUP(1,0/((印刷機資料庫!$F$47:$F$79=F17)*(印刷機資料庫!$G$47:$G$79=J17)),印刷機資料庫!$J$47:$J$79),0)</f>
        <v>0</v>
      </c>
      <c r="P17" s="965"/>
      <c r="Q17" s="493"/>
      <c r="R17" s="968">
        <f>IFERROR(LOOKUP(1,0/((印刷機資料庫!$F$47:$F$79=F17)*(印刷機資料庫!$G$47:$G$79=J17)),印刷機資料庫!$I$47:$I$79),0)</f>
        <v>0</v>
      </c>
      <c r="S17" s="927">
        <f>IFERROR(LOOKUP(1,0/((印刷機資料庫!$F$47:$F$79=F17)*(印刷機資料庫!$G$47:$G$79=J17)),印刷機資料庫!$K$47:$K$79),0)</f>
        <v>0</v>
      </c>
      <c r="T17" s="996">
        <f>IFERROR(L17/S17,0)</f>
        <v>0</v>
      </c>
      <c r="U17" s="987">
        <f>IFERROR(R17*X17*60/O17,0)</f>
        <v>0</v>
      </c>
      <c r="V17" s="996">
        <f>IFERROR(L17/U17,0)</f>
        <v>0</v>
      </c>
      <c r="W17" s="971"/>
      <c r="X17" s="997">
        <f>Y17+Z17/60</f>
        <v>0</v>
      </c>
      <c r="Y17" s="480"/>
      <c r="Z17" s="968"/>
      <c r="AA17" s="998"/>
      <c r="AB17" s="480"/>
      <c r="AC17" s="480"/>
    </row>
    <row r="18" spans="1:29" s="433" customFormat="1" ht="15.75">
      <c r="A18" s="581">
        <v>11</v>
      </c>
      <c r="B18" s="581">
        <v>1</v>
      </c>
      <c r="C18" s="581" t="s">
        <v>632</v>
      </c>
      <c r="D18" s="581" t="s">
        <v>0</v>
      </c>
      <c r="E18" s="435" t="s">
        <v>42</v>
      </c>
      <c r="F18" s="992"/>
      <c r="G18" s="464"/>
      <c r="H18" s="464">
        <f>IFERROR(#REF!*G18,0)</f>
        <v>0</v>
      </c>
      <c r="I18" s="429"/>
      <c r="J18" s="429"/>
      <c r="K18" s="464"/>
      <c r="L18" s="438"/>
      <c r="M18" s="900">
        <f>L18*O18</f>
        <v>0</v>
      </c>
      <c r="N18" s="901">
        <f>K18*L18</f>
        <v>0</v>
      </c>
      <c r="O18" s="438">
        <f>IFERROR(LOOKUP(1,0/((印刷機資料庫!$F$47:$F$79=F18)*(印刷機資料庫!$G$47:$G$79=J18)),印刷機資料庫!$J$47:$J$79),0)</f>
        <v>0</v>
      </c>
      <c r="P18" s="462"/>
      <c r="Q18" s="442"/>
      <c r="R18" s="482">
        <f>IFERROR(LOOKUP(1,0/((印刷機資料庫!$F$47:$F$79=F18)*(印刷機資料庫!$G$47:$G$79=J18)),印刷機資料庫!$I$47:$I$79),0)</f>
        <v>0</v>
      </c>
      <c r="S18" s="900">
        <f>IFERROR(LOOKUP(1,0/((印刷機資料庫!$F$47:$F$79=F18)*(印刷機資料庫!$G$47:$G$79=J18)),印刷機資料庫!$K$47:$K$79),0)</f>
        <v>0</v>
      </c>
      <c r="T18" s="898">
        <f t="shared" ref="T18:T54" si="6">IFERROR(L18/S18,0)</f>
        <v>0</v>
      </c>
      <c r="U18" s="923">
        <f t="shared" ref="U18:U54" si="7">IFERROR(R18*X18*60/O18,0)</f>
        <v>0</v>
      </c>
      <c r="V18" s="898">
        <f t="shared" ref="V18:V54" si="8">IFERROR(L18/U18,0)</f>
        <v>0</v>
      </c>
      <c r="W18" s="952"/>
      <c r="X18" s="899">
        <f t="shared" ref="X18:X54" si="9">Y18+Z18/60</f>
        <v>0</v>
      </c>
      <c r="Y18" s="438"/>
      <c r="Z18" s="482"/>
      <c r="AA18" s="465"/>
      <c r="AB18" s="438"/>
      <c r="AC18" s="438"/>
    </row>
    <row r="19" spans="1:29" s="433" customFormat="1" ht="15.75">
      <c r="A19" s="581">
        <v>11</v>
      </c>
      <c r="B19" s="581">
        <v>2</v>
      </c>
      <c r="C19" s="581" t="s">
        <v>667</v>
      </c>
      <c r="D19" s="581" t="s">
        <v>0</v>
      </c>
      <c r="E19" s="435" t="s">
        <v>42</v>
      </c>
      <c r="F19" s="992"/>
      <c r="G19" s="464"/>
      <c r="H19" s="464">
        <f>IFERROR(#REF!*G19,0)</f>
        <v>0</v>
      </c>
      <c r="I19" s="429"/>
      <c r="J19" s="429"/>
      <c r="K19" s="464"/>
      <c r="L19" s="438"/>
      <c r="M19" s="900">
        <f t="shared" ref="M19:M55" si="10">L19*O19</f>
        <v>0</v>
      </c>
      <c r="N19" s="901">
        <f t="shared" si="5"/>
        <v>0</v>
      </c>
      <c r="O19" s="438">
        <f>IFERROR(LOOKUP(1,0/((印刷機資料庫!$F$47:$F$79=F19)*(印刷機資料庫!$G$47:$G$79=J19)),印刷機資料庫!$J$47:$J$79),0)</f>
        <v>0</v>
      </c>
      <c r="P19" s="462"/>
      <c r="Q19" s="442"/>
      <c r="R19" s="482">
        <f>IFERROR(LOOKUP(1,0/((印刷機資料庫!$F$47:$F$79=F19)*(印刷機資料庫!$G$47:$G$79=J19)),印刷機資料庫!$I$47:$I$79),0)</f>
        <v>0</v>
      </c>
      <c r="S19" s="900">
        <f>IFERROR(LOOKUP(1,0/((印刷機資料庫!$F$47:$F$79=F19)*(印刷機資料庫!$G$47:$G$79=J19)),印刷機資料庫!$K$47:$K$79),0)</f>
        <v>0</v>
      </c>
      <c r="T19" s="898">
        <f t="shared" si="6"/>
        <v>0</v>
      </c>
      <c r="U19" s="923">
        <f>IFERROR(R19*X19*60/O19,0)</f>
        <v>0</v>
      </c>
      <c r="V19" s="898">
        <f t="shared" si="8"/>
        <v>0</v>
      </c>
      <c r="W19" s="952"/>
      <c r="X19" s="899">
        <f t="shared" si="9"/>
        <v>0</v>
      </c>
      <c r="Y19" s="438"/>
      <c r="Z19" s="482"/>
      <c r="AA19" s="465"/>
      <c r="AB19" s="438"/>
      <c r="AC19" s="438"/>
    </row>
    <row r="20" spans="1:29" s="433" customFormat="1" ht="15.75">
      <c r="A20" s="581">
        <v>11</v>
      </c>
      <c r="B20" s="581">
        <v>3</v>
      </c>
      <c r="C20" s="581" t="s">
        <v>669</v>
      </c>
      <c r="D20" s="581" t="s">
        <v>0</v>
      </c>
      <c r="E20" s="435" t="s">
        <v>42</v>
      </c>
      <c r="F20" s="992"/>
      <c r="G20" s="464"/>
      <c r="H20" s="464">
        <f>IFERROR(#REF!*G20,0)</f>
        <v>0</v>
      </c>
      <c r="I20" s="429"/>
      <c r="J20" s="429"/>
      <c r="K20" s="464"/>
      <c r="L20" s="438"/>
      <c r="M20" s="900">
        <f t="shared" si="10"/>
        <v>0</v>
      </c>
      <c r="N20" s="901">
        <f>K20*L20</f>
        <v>0</v>
      </c>
      <c r="O20" s="438">
        <f>IFERROR(LOOKUP(1,0/((印刷機資料庫!$F$47:$F$79=F20)*(印刷機資料庫!$G$47:$G$79=J20)),印刷機資料庫!$J$47:$J$79),0)</f>
        <v>0</v>
      </c>
      <c r="P20" s="462"/>
      <c r="Q20" s="442"/>
      <c r="R20" s="482">
        <f>IFERROR(LOOKUP(1,0/((印刷機資料庫!$F$47:$F$79=F20)*(印刷機資料庫!$G$47:$G$79=J20)),印刷機資料庫!$I$47:$I$79),0)</f>
        <v>0</v>
      </c>
      <c r="S20" s="900">
        <f>IFERROR(LOOKUP(1,0/((印刷機資料庫!$F$47:$F$79=F20)*(印刷機資料庫!$G$47:$G$79=J20)),印刷機資料庫!$K$47:$K$79),0)</f>
        <v>0</v>
      </c>
      <c r="T20" s="898">
        <f t="shared" si="6"/>
        <v>0</v>
      </c>
      <c r="U20" s="923">
        <f>IFERROR(R20*X20*60/O20,0)</f>
        <v>0</v>
      </c>
      <c r="V20" s="898">
        <f t="shared" si="8"/>
        <v>0</v>
      </c>
      <c r="W20" s="952"/>
      <c r="X20" s="899">
        <f t="shared" si="9"/>
        <v>0</v>
      </c>
      <c r="Y20" s="438"/>
      <c r="Z20" s="482"/>
      <c r="AA20" s="465"/>
      <c r="AB20" s="438"/>
      <c r="AC20" s="438"/>
    </row>
    <row r="21" spans="1:29" s="433" customFormat="1" ht="15.75">
      <c r="A21" s="581">
        <v>11</v>
      </c>
      <c r="B21" s="581">
        <v>4</v>
      </c>
      <c r="C21" s="581" t="s">
        <v>670</v>
      </c>
      <c r="D21" s="581" t="s">
        <v>0</v>
      </c>
      <c r="E21" s="435" t="s">
        <v>42</v>
      </c>
      <c r="F21" s="992"/>
      <c r="G21" s="464"/>
      <c r="H21" s="464">
        <f>IFERROR(#REF!*G21,0)</f>
        <v>0</v>
      </c>
      <c r="I21" s="429"/>
      <c r="J21" s="429"/>
      <c r="K21" s="464"/>
      <c r="L21" s="438"/>
      <c r="M21" s="900">
        <f t="shared" si="10"/>
        <v>0</v>
      </c>
      <c r="N21" s="901">
        <f t="shared" si="5"/>
        <v>0</v>
      </c>
      <c r="O21" s="438">
        <f>IFERROR(LOOKUP(1,0/((印刷機資料庫!$F$47:$F$79=F21)*(印刷機資料庫!$G$47:$G$79=J21)),印刷機資料庫!$J$47:$J$79),0)</f>
        <v>0</v>
      </c>
      <c r="P21" s="462"/>
      <c r="Q21" s="442"/>
      <c r="R21" s="482">
        <f>IFERROR(LOOKUP(1,0/((印刷機資料庫!$F$47:$F$79=F21)*(印刷機資料庫!$G$47:$G$79=J21)),印刷機資料庫!$I$47:$I$79),0)</f>
        <v>0</v>
      </c>
      <c r="S21" s="900">
        <f>IFERROR(LOOKUP(1,0/((印刷機資料庫!$F$47:$F$79=F21)*(印刷機資料庫!$G$47:$G$79=J21)),印刷機資料庫!$K$47:$K$79),0)</f>
        <v>0</v>
      </c>
      <c r="T21" s="898">
        <f t="shared" si="6"/>
        <v>0</v>
      </c>
      <c r="U21" s="923">
        <f t="shared" si="7"/>
        <v>0</v>
      </c>
      <c r="V21" s="898">
        <f t="shared" si="8"/>
        <v>0</v>
      </c>
      <c r="W21" s="952"/>
      <c r="X21" s="899">
        <f t="shared" si="9"/>
        <v>0</v>
      </c>
      <c r="Y21" s="438"/>
      <c r="Z21" s="482"/>
      <c r="AA21" s="465"/>
      <c r="AB21" s="438"/>
      <c r="AC21" s="438"/>
    </row>
    <row r="22" spans="1:29" s="433" customFormat="1" ht="15.75">
      <c r="A22" s="581">
        <v>11</v>
      </c>
      <c r="B22" s="581">
        <v>5</v>
      </c>
      <c r="C22" s="581" t="s">
        <v>671</v>
      </c>
      <c r="D22" s="889" t="s">
        <v>0</v>
      </c>
      <c r="E22" s="435" t="s">
        <v>42</v>
      </c>
      <c r="F22" s="992"/>
      <c r="G22" s="464"/>
      <c r="H22" s="464">
        <f>IFERROR(#REF!*G22,0)</f>
        <v>0</v>
      </c>
      <c r="I22" s="429"/>
      <c r="J22" s="429"/>
      <c r="K22" s="464"/>
      <c r="L22" s="438"/>
      <c r="M22" s="900">
        <f t="shared" si="10"/>
        <v>0</v>
      </c>
      <c r="N22" s="901">
        <f t="shared" si="5"/>
        <v>0</v>
      </c>
      <c r="O22" s="438">
        <f>IFERROR(LOOKUP(1,0/((印刷機資料庫!$F$47:$F$79=F22)*(印刷機資料庫!$G$47:$G$79=J22)),印刷機資料庫!$J$47:$J$79),0)</f>
        <v>0</v>
      </c>
      <c r="P22" s="462"/>
      <c r="Q22" s="442"/>
      <c r="R22" s="482">
        <f>IFERROR(LOOKUP(1,0/((印刷機資料庫!$F$47:$F$79=F22)*(印刷機資料庫!$G$47:$G$79=J22)),印刷機資料庫!$I$47:$I$79),0)</f>
        <v>0</v>
      </c>
      <c r="S22" s="900">
        <f>IFERROR(LOOKUP(1,0/((印刷機資料庫!$F$47:$F$79=F22)*(印刷機資料庫!$G$47:$G$79=J22)),印刷機資料庫!$K$47:$K$79),0)</f>
        <v>0</v>
      </c>
      <c r="T22" s="898">
        <f t="shared" si="6"/>
        <v>0</v>
      </c>
      <c r="U22" s="923">
        <f t="shared" si="7"/>
        <v>0</v>
      </c>
      <c r="V22" s="898">
        <f t="shared" si="8"/>
        <v>0</v>
      </c>
      <c r="W22" s="952"/>
      <c r="X22" s="899">
        <f t="shared" si="9"/>
        <v>0</v>
      </c>
      <c r="Y22" s="438"/>
      <c r="Z22" s="482"/>
      <c r="AA22" s="465"/>
      <c r="AB22" s="438"/>
      <c r="AC22" s="438"/>
    </row>
    <row r="23" spans="1:29" s="433" customFormat="1" ht="15.75">
      <c r="A23" s="581">
        <v>11</v>
      </c>
      <c r="B23" s="581">
        <v>6</v>
      </c>
      <c r="C23" s="581" t="s">
        <v>672</v>
      </c>
      <c r="D23" s="889" t="s">
        <v>0</v>
      </c>
      <c r="E23" s="435" t="s">
        <v>42</v>
      </c>
      <c r="F23" s="992"/>
      <c r="G23" s="464"/>
      <c r="H23" s="464">
        <f>IFERROR(#REF!*G23,0)</f>
        <v>0</v>
      </c>
      <c r="I23" s="429"/>
      <c r="J23" s="429"/>
      <c r="K23" s="464"/>
      <c r="L23" s="438"/>
      <c r="M23" s="900">
        <f t="shared" si="10"/>
        <v>0</v>
      </c>
      <c r="N23" s="901">
        <f t="shared" si="5"/>
        <v>0</v>
      </c>
      <c r="O23" s="438">
        <f>IFERROR(LOOKUP(1,0/((印刷機資料庫!$F$47:$F$79=F23)*(印刷機資料庫!$G$47:$G$79=J23)),印刷機資料庫!$J$47:$J$79),0)</f>
        <v>0</v>
      </c>
      <c r="P23" s="462"/>
      <c r="Q23" s="442"/>
      <c r="R23" s="482">
        <f>IFERROR(LOOKUP(1,0/((印刷機資料庫!$F$47:$F$79=F23)*(印刷機資料庫!$G$47:$G$79=J23)),印刷機資料庫!$I$47:$I$79),0)</f>
        <v>0</v>
      </c>
      <c r="S23" s="900">
        <f>IFERROR(LOOKUP(1,0/((印刷機資料庫!$F$47:$F$79=F23)*(印刷機資料庫!$G$47:$G$79=J23)),印刷機資料庫!$K$47:$K$79),0)</f>
        <v>0</v>
      </c>
      <c r="T23" s="898">
        <f t="shared" si="6"/>
        <v>0</v>
      </c>
      <c r="U23" s="923">
        <f t="shared" si="7"/>
        <v>0</v>
      </c>
      <c r="V23" s="898">
        <f t="shared" si="8"/>
        <v>0</v>
      </c>
      <c r="W23" s="952"/>
      <c r="X23" s="899">
        <f t="shared" si="9"/>
        <v>0</v>
      </c>
      <c r="Y23" s="438"/>
      <c r="Z23" s="482"/>
      <c r="AA23" s="465"/>
      <c r="AB23" s="438"/>
      <c r="AC23" s="438"/>
    </row>
    <row r="24" spans="1:29" s="433" customFormat="1" ht="15.75">
      <c r="A24" s="581">
        <v>11</v>
      </c>
      <c r="B24" s="581">
        <v>6</v>
      </c>
      <c r="C24" s="581" t="s">
        <v>672</v>
      </c>
      <c r="D24" s="889" t="s">
        <v>0</v>
      </c>
      <c r="E24" s="435" t="s">
        <v>42</v>
      </c>
      <c r="F24" s="992"/>
      <c r="G24" s="464"/>
      <c r="H24" s="464">
        <f>IFERROR(#REF!*G24,0)</f>
        <v>0</v>
      </c>
      <c r="I24" s="429"/>
      <c r="J24" s="429"/>
      <c r="K24" s="464"/>
      <c r="L24" s="438"/>
      <c r="M24" s="900">
        <f t="shared" si="10"/>
        <v>0</v>
      </c>
      <c r="N24" s="901">
        <f t="shared" si="5"/>
        <v>0</v>
      </c>
      <c r="O24" s="438">
        <f>IFERROR(LOOKUP(1,0/((印刷機資料庫!$F$47:$F$79=F24)*(印刷機資料庫!$G$47:$G$79=J24)),印刷機資料庫!$J$47:$J$79),0)</f>
        <v>0</v>
      </c>
      <c r="P24" s="462"/>
      <c r="Q24" s="442"/>
      <c r="R24" s="482">
        <f>IFERROR(LOOKUP(1,0/((印刷機資料庫!$F$47:$F$79=F24)*(印刷機資料庫!$G$47:$G$79=J24)),印刷機資料庫!$I$47:$I$79),0)</f>
        <v>0</v>
      </c>
      <c r="S24" s="900">
        <f>IFERROR(LOOKUP(1,0/((印刷機資料庫!$F$47:$F$79=F24)*(印刷機資料庫!$G$47:$G$79=J24)),印刷機資料庫!$K$47:$K$79),0)</f>
        <v>0</v>
      </c>
      <c r="T24" s="898">
        <f t="shared" si="6"/>
        <v>0</v>
      </c>
      <c r="U24" s="923">
        <f t="shared" si="7"/>
        <v>0</v>
      </c>
      <c r="V24" s="898">
        <f t="shared" si="8"/>
        <v>0</v>
      </c>
      <c r="W24" s="952"/>
      <c r="X24" s="899">
        <f t="shared" si="9"/>
        <v>0</v>
      </c>
      <c r="Y24" s="438"/>
      <c r="Z24" s="482"/>
      <c r="AA24" s="465"/>
      <c r="AB24" s="438"/>
      <c r="AC24" s="438"/>
    </row>
    <row r="25" spans="1:29" s="433" customFormat="1" ht="15.75">
      <c r="A25" s="581">
        <v>11</v>
      </c>
      <c r="B25" s="581">
        <v>7</v>
      </c>
      <c r="C25" s="581" t="s">
        <v>673</v>
      </c>
      <c r="D25" s="889" t="s">
        <v>0</v>
      </c>
      <c r="E25" s="435" t="s">
        <v>44</v>
      </c>
      <c r="F25" s="992"/>
      <c r="G25" s="464"/>
      <c r="H25" s="464">
        <f>IFERROR(#REF!*G25,0)</f>
        <v>0</v>
      </c>
      <c r="I25" s="429"/>
      <c r="J25" s="429"/>
      <c r="K25" s="464"/>
      <c r="L25" s="438"/>
      <c r="M25" s="900">
        <f t="shared" si="10"/>
        <v>0</v>
      </c>
      <c r="N25" s="901">
        <f t="shared" si="5"/>
        <v>0</v>
      </c>
      <c r="O25" s="438">
        <f>IFERROR(LOOKUP(1,0/((印刷機資料庫!$F$47:$F$79=F25)*(印刷機資料庫!$G$47:$G$79=J25)),印刷機資料庫!$J$47:$J$79),0)</f>
        <v>0</v>
      </c>
      <c r="P25" s="462"/>
      <c r="Q25" s="442"/>
      <c r="R25" s="482">
        <f>IFERROR(LOOKUP(1,0/((印刷機資料庫!$F$47:$F$79=F25)*(印刷機資料庫!$G$47:$G$79=J25)),印刷機資料庫!$I$47:$I$79),0)</f>
        <v>0</v>
      </c>
      <c r="S25" s="900">
        <f>IFERROR(LOOKUP(1,0/((印刷機資料庫!$F$47:$F$79=F25)*(印刷機資料庫!$G$47:$G$79=J25)),印刷機資料庫!$K$47:$K$79),0)</f>
        <v>0</v>
      </c>
      <c r="T25" s="898">
        <f t="shared" si="6"/>
        <v>0</v>
      </c>
      <c r="U25" s="923">
        <f t="shared" si="7"/>
        <v>0</v>
      </c>
      <c r="V25" s="898">
        <f t="shared" si="8"/>
        <v>0</v>
      </c>
      <c r="W25" s="952"/>
      <c r="X25" s="899">
        <f t="shared" si="9"/>
        <v>0</v>
      </c>
      <c r="Y25" s="438"/>
      <c r="Z25" s="482"/>
      <c r="AA25" s="465"/>
      <c r="AB25" s="438"/>
      <c r="AC25" s="438"/>
    </row>
    <row r="26" spans="1:29" s="433" customFormat="1" ht="15.75">
      <c r="A26" s="581">
        <v>11</v>
      </c>
      <c r="B26" s="581">
        <v>7</v>
      </c>
      <c r="C26" s="581" t="s">
        <v>673</v>
      </c>
      <c r="D26" s="889" t="s">
        <v>0</v>
      </c>
      <c r="E26" s="435" t="s">
        <v>44</v>
      </c>
      <c r="F26" s="992"/>
      <c r="G26" s="464"/>
      <c r="H26" s="464">
        <f>IFERROR(#REF!*G26,0)</f>
        <v>0</v>
      </c>
      <c r="I26" s="429"/>
      <c r="J26" s="429"/>
      <c r="K26" s="464"/>
      <c r="L26" s="438"/>
      <c r="M26" s="900">
        <f t="shared" si="10"/>
        <v>0</v>
      </c>
      <c r="N26" s="901">
        <f t="shared" si="5"/>
        <v>0</v>
      </c>
      <c r="O26" s="438">
        <f>IFERROR(LOOKUP(1,0/((印刷機資料庫!$F$47:$F$79=F26)*(印刷機資料庫!$G$47:$G$79=J26)),印刷機資料庫!$J$47:$J$79),0)</f>
        <v>0</v>
      </c>
      <c r="P26" s="462"/>
      <c r="Q26" s="442"/>
      <c r="R26" s="482">
        <f>IFERROR(LOOKUP(1,0/((印刷機資料庫!$F$47:$F$79=F26)*(印刷機資料庫!$G$47:$G$79=J26)),印刷機資料庫!$I$47:$I$79),0)</f>
        <v>0</v>
      </c>
      <c r="S26" s="900">
        <f>IFERROR(LOOKUP(1,0/((印刷機資料庫!$F$47:$F$79=F26)*(印刷機資料庫!$G$47:$G$79=J26)),印刷機資料庫!$K$47:$K$79),0)</f>
        <v>0</v>
      </c>
      <c r="T26" s="898">
        <f t="shared" si="6"/>
        <v>0</v>
      </c>
      <c r="U26" s="923">
        <f t="shared" si="7"/>
        <v>0</v>
      </c>
      <c r="V26" s="898">
        <f t="shared" si="8"/>
        <v>0</v>
      </c>
      <c r="W26" s="952"/>
      <c r="X26" s="899">
        <f t="shared" si="9"/>
        <v>0</v>
      </c>
      <c r="Y26" s="438"/>
      <c r="Z26" s="482"/>
      <c r="AA26" s="465"/>
      <c r="AB26" s="438"/>
      <c r="AC26" s="438"/>
    </row>
    <row r="27" spans="1:29" s="433" customFormat="1" ht="15.75">
      <c r="A27" s="581">
        <v>11</v>
      </c>
      <c r="B27" s="581">
        <v>8</v>
      </c>
      <c r="C27" s="581" t="s">
        <v>632</v>
      </c>
      <c r="D27" s="889" t="s">
        <v>0</v>
      </c>
      <c r="E27" s="435" t="s">
        <v>58</v>
      </c>
      <c r="F27" s="992"/>
      <c r="G27" s="464"/>
      <c r="H27" s="464">
        <f>IFERROR(#REF!*G27,0)</f>
        <v>0</v>
      </c>
      <c r="I27" s="429"/>
      <c r="J27" s="429"/>
      <c r="K27" s="464"/>
      <c r="L27" s="438"/>
      <c r="M27" s="900">
        <f t="shared" si="10"/>
        <v>0</v>
      </c>
      <c r="N27" s="901">
        <f>K27*L27</f>
        <v>0</v>
      </c>
      <c r="O27" s="438">
        <f>IFERROR(LOOKUP(1,0/((印刷機資料庫!$F$47:$F$79=F27)*(印刷機資料庫!$G$47:$G$79=J27)),印刷機資料庫!$J$47:$J$79),0)</f>
        <v>0</v>
      </c>
      <c r="P27" s="462"/>
      <c r="Q27" s="442"/>
      <c r="R27" s="482">
        <f>IFERROR(LOOKUP(1,0/((印刷機資料庫!$F$47:$F$79=F27)*(印刷機資料庫!$G$47:$G$79=J27)),印刷機資料庫!$I$47:$I$79),0)</f>
        <v>0</v>
      </c>
      <c r="S27" s="900">
        <f>IFERROR(LOOKUP(1,0/((印刷機資料庫!$F$47:$F$79=F27)*(印刷機資料庫!$G$47:$G$79=J27)),印刷機資料庫!$K$47:$K$79),0)</f>
        <v>0</v>
      </c>
      <c r="T27" s="898">
        <f>IFERROR(L27/S27,0)</f>
        <v>0</v>
      </c>
      <c r="U27" s="923">
        <f t="shared" si="7"/>
        <v>0</v>
      </c>
      <c r="V27" s="898">
        <f>IFERROR(L27/U27,0)</f>
        <v>0</v>
      </c>
      <c r="W27" s="952"/>
      <c r="X27" s="899">
        <f t="shared" si="9"/>
        <v>0</v>
      </c>
      <c r="Y27" s="438"/>
      <c r="Z27" s="482"/>
      <c r="AA27" s="465"/>
      <c r="AB27" s="438"/>
      <c r="AC27" s="438"/>
    </row>
    <row r="28" spans="1:29" s="433" customFormat="1" ht="15.75">
      <c r="A28" s="581">
        <v>11</v>
      </c>
      <c r="B28" s="581">
        <v>9</v>
      </c>
      <c r="C28" s="581" t="s">
        <v>667</v>
      </c>
      <c r="D28" s="889" t="s">
        <v>0</v>
      </c>
      <c r="E28" s="435" t="s">
        <v>58</v>
      </c>
      <c r="F28" s="992"/>
      <c r="G28" s="464"/>
      <c r="H28" s="464">
        <f>IFERROR(#REF!*G28,0)</f>
        <v>0</v>
      </c>
      <c r="I28" s="429"/>
      <c r="J28" s="429"/>
      <c r="K28" s="464"/>
      <c r="L28" s="438"/>
      <c r="M28" s="900">
        <f t="shared" si="10"/>
        <v>0</v>
      </c>
      <c r="N28" s="901">
        <f>K28*L28</f>
        <v>0</v>
      </c>
      <c r="O28" s="438">
        <f>IFERROR(LOOKUP(1,0/((印刷機資料庫!$F$47:$F$79=F28)*(印刷機資料庫!$G$47:$G$79=J28)),印刷機資料庫!$J$47:$J$79),0)</f>
        <v>0</v>
      </c>
      <c r="P28" s="462"/>
      <c r="Q28" s="442"/>
      <c r="R28" s="482">
        <f>IFERROR(LOOKUP(1,0/((印刷機資料庫!$F$47:$F$79=F28)*(印刷機資料庫!$G$47:$G$79=J28)),印刷機資料庫!$I$47:$I$79),0)</f>
        <v>0</v>
      </c>
      <c r="S28" s="900">
        <f>IFERROR(LOOKUP(1,0/((印刷機資料庫!$F$47:$F$79=F28)*(印刷機資料庫!$G$47:$G$79=J28)),印刷機資料庫!$K$47:$K$79),0)</f>
        <v>0</v>
      </c>
      <c r="T28" s="898">
        <f>IFERROR(L28/S28,0)</f>
        <v>0</v>
      </c>
      <c r="U28" s="923">
        <f t="shared" si="7"/>
        <v>0</v>
      </c>
      <c r="V28" s="898">
        <f t="shared" si="8"/>
        <v>0</v>
      </c>
      <c r="W28" s="952"/>
      <c r="X28" s="899">
        <f t="shared" si="9"/>
        <v>0</v>
      </c>
      <c r="Y28" s="438"/>
      <c r="Z28" s="482"/>
      <c r="AA28" s="465"/>
      <c r="AB28" s="438"/>
      <c r="AC28" s="438"/>
    </row>
    <row r="29" spans="1:29" s="433" customFormat="1" ht="15.75">
      <c r="A29" s="581">
        <v>11</v>
      </c>
      <c r="B29" s="581">
        <v>9</v>
      </c>
      <c r="C29" s="581" t="s">
        <v>667</v>
      </c>
      <c r="D29" s="889" t="s">
        <v>0</v>
      </c>
      <c r="E29" s="435" t="s">
        <v>58</v>
      </c>
      <c r="F29" s="992"/>
      <c r="G29" s="464"/>
      <c r="H29" s="464">
        <f>IFERROR(#REF!*G29,0)</f>
        <v>0</v>
      </c>
      <c r="I29" s="429"/>
      <c r="J29" s="429"/>
      <c r="K29" s="464"/>
      <c r="L29" s="438"/>
      <c r="M29" s="900">
        <f t="shared" si="10"/>
        <v>0</v>
      </c>
      <c r="N29" s="901">
        <f>K29*L29</f>
        <v>0</v>
      </c>
      <c r="O29" s="438">
        <f>IFERROR(LOOKUP(1,0/((印刷機資料庫!$F$47:$F$79=F29)*(印刷機資料庫!$G$47:$G$79=J29)),印刷機資料庫!$J$47:$J$79),0)</f>
        <v>0</v>
      </c>
      <c r="P29" s="462"/>
      <c r="Q29" s="442"/>
      <c r="R29" s="482">
        <f>IFERROR(LOOKUP(1,0/((印刷機資料庫!$F$47:$F$79=F29)*(印刷機資料庫!$G$47:$G$79=J29)),印刷機資料庫!$I$47:$I$79),0)</f>
        <v>0</v>
      </c>
      <c r="S29" s="900">
        <f>IFERROR(LOOKUP(1,0/((印刷機資料庫!$F$47:$F$79=F29)*(印刷機資料庫!$G$47:$G$79=J29)),印刷機資料庫!$K$47:$K$79),0)</f>
        <v>0</v>
      </c>
      <c r="T29" s="898">
        <f t="shared" si="6"/>
        <v>0</v>
      </c>
      <c r="U29" s="923">
        <f t="shared" si="7"/>
        <v>0</v>
      </c>
      <c r="V29" s="898">
        <f t="shared" si="8"/>
        <v>0</v>
      </c>
      <c r="W29" s="952"/>
      <c r="X29" s="899">
        <f t="shared" si="9"/>
        <v>0</v>
      </c>
      <c r="Y29" s="438"/>
      <c r="Z29" s="482"/>
      <c r="AA29" s="465"/>
      <c r="AB29" s="438"/>
      <c r="AC29" s="438"/>
    </row>
    <row r="30" spans="1:29" s="433" customFormat="1" ht="15.75">
      <c r="A30" s="581">
        <v>11</v>
      </c>
      <c r="B30" s="581">
        <v>10</v>
      </c>
      <c r="C30" s="581" t="s">
        <v>669</v>
      </c>
      <c r="D30" s="889" t="s">
        <v>0</v>
      </c>
      <c r="E30" s="435" t="s">
        <v>58</v>
      </c>
      <c r="F30" s="992"/>
      <c r="G30" s="464"/>
      <c r="H30" s="464">
        <f>IFERROR(#REF!*G30,0)</f>
        <v>0</v>
      </c>
      <c r="I30" s="429"/>
      <c r="J30" s="429"/>
      <c r="K30" s="464"/>
      <c r="L30" s="438"/>
      <c r="M30" s="900">
        <f t="shared" si="10"/>
        <v>0</v>
      </c>
      <c r="N30" s="901">
        <f>K30*L30</f>
        <v>0</v>
      </c>
      <c r="O30" s="438">
        <f>IFERROR(LOOKUP(1,0/((印刷機資料庫!$F$47:$F$79=F30)*(印刷機資料庫!$G$47:$G$79=J30)),印刷機資料庫!$J$47:$J$79),0)</f>
        <v>0</v>
      </c>
      <c r="P30" s="462"/>
      <c r="Q30" s="442"/>
      <c r="R30" s="482">
        <f>IFERROR(LOOKUP(1,0/((印刷機資料庫!$F$47:$F$79=F30)*(印刷機資料庫!$G$47:$G$79=J30)),印刷機資料庫!$I$47:$I$79),0)</f>
        <v>0</v>
      </c>
      <c r="S30" s="900">
        <f>IFERROR(LOOKUP(1,0/((印刷機資料庫!$F$47:$F$79=F30)*(印刷機資料庫!$G$47:$G$79=J30)),印刷機資料庫!$K$47:$K$79),0)</f>
        <v>0</v>
      </c>
      <c r="T30" s="898">
        <f t="shared" si="6"/>
        <v>0</v>
      </c>
      <c r="U30" s="923">
        <f t="shared" si="7"/>
        <v>0</v>
      </c>
      <c r="V30" s="898">
        <f t="shared" si="8"/>
        <v>0</v>
      </c>
      <c r="W30" s="952"/>
      <c r="X30" s="899">
        <f t="shared" si="9"/>
        <v>0</v>
      </c>
      <c r="Y30" s="438"/>
      <c r="Z30" s="482"/>
      <c r="AA30" s="465"/>
      <c r="AB30" s="438"/>
      <c r="AC30" s="438"/>
    </row>
    <row r="31" spans="1:29" s="433" customFormat="1" ht="15.75">
      <c r="A31" s="581">
        <v>11</v>
      </c>
      <c r="B31" s="581">
        <v>11</v>
      </c>
      <c r="C31" s="581" t="s">
        <v>670</v>
      </c>
      <c r="D31" s="889" t="s">
        <v>0</v>
      </c>
      <c r="E31" s="435" t="s">
        <v>58</v>
      </c>
      <c r="F31" s="992"/>
      <c r="G31" s="464"/>
      <c r="H31" s="464">
        <f>IFERROR(#REF!*G31,0)</f>
        <v>0</v>
      </c>
      <c r="I31" s="429"/>
      <c r="J31" s="429"/>
      <c r="K31" s="464"/>
      <c r="L31" s="438"/>
      <c r="M31" s="900">
        <f t="shared" si="10"/>
        <v>0</v>
      </c>
      <c r="N31" s="901">
        <f t="shared" ref="N31:N59" si="11">K31*L31</f>
        <v>0</v>
      </c>
      <c r="O31" s="438">
        <f>IFERROR(LOOKUP(1,0/((印刷機資料庫!$F$47:$F$79=F31)*(印刷機資料庫!$G$47:$G$79=J31)),印刷機資料庫!$J$47:$J$79),0)</f>
        <v>0</v>
      </c>
      <c r="P31" s="462"/>
      <c r="Q31" s="442"/>
      <c r="R31" s="482">
        <f>IFERROR(LOOKUP(1,0/((印刷機資料庫!$F$47:$F$79=F31)*(印刷機資料庫!$G$47:$G$79=J31)),印刷機資料庫!$I$47:$I$79),0)</f>
        <v>0</v>
      </c>
      <c r="S31" s="900">
        <f>IFERROR(LOOKUP(1,0/((印刷機資料庫!$F$47:$F$79=F31)*(印刷機資料庫!$G$47:$G$79=J31)),印刷機資料庫!$K$47:$K$79),0)</f>
        <v>0</v>
      </c>
      <c r="T31" s="898">
        <f t="shared" si="6"/>
        <v>0</v>
      </c>
      <c r="U31" s="923">
        <f t="shared" si="7"/>
        <v>0</v>
      </c>
      <c r="V31" s="898">
        <f t="shared" si="8"/>
        <v>0</v>
      </c>
      <c r="W31" s="952"/>
      <c r="X31" s="899">
        <f t="shared" si="9"/>
        <v>0</v>
      </c>
      <c r="Y31" s="438"/>
      <c r="Z31" s="482"/>
      <c r="AA31" s="465"/>
      <c r="AB31" s="438"/>
      <c r="AC31" s="438"/>
    </row>
    <row r="32" spans="1:29" s="433" customFormat="1" ht="15.75">
      <c r="A32" s="581">
        <v>11</v>
      </c>
      <c r="B32" s="581">
        <v>12</v>
      </c>
      <c r="C32" s="581" t="s">
        <v>671</v>
      </c>
      <c r="D32" s="889" t="s">
        <v>0</v>
      </c>
      <c r="E32" s="435" t="s">
        <v>58</v>
      </c>
      <c r="F32" s="992"/>
      <c r="G32" s="464"/>
      <c r="H32" s="464">
        <f>IFERROR(#REF!*G32,0)</f>
        <v>0</v>
      </c>
      <c r="I32" s="429"/>
      <c r="J32" s="429"/>
      <c r="K32" s="464"/>
      <c r="L32" s="438"/>
      <c r="M32" s="900">
        <f t="shared" si="10"/>
        <v>0</v>
      </c>
      <c r="N32" s="901">
        <f t="shared" si="11"/>
        <v>0</v>
      </c>
      <c r="O32" s="438">
        <f>IFERROR(LOOKUP(1,0/((印刷機資料庫!$F$47:$F$79=F32)*(印刷機資料庫!$G$47:$G$79=J32)),印刷機資料庫!$J$47:$J$79),0)</f>
        <v>0</v>
      </c>
      <c r="P32" s="462"/>
      <c r="Q32" s="442"/>
      <c r="R32" s="482">
        <f>IFERROR(LOOKUP(1,0/((印刷機資料庫!$F$47:$F$79=F32)*(印刷機資料庫!$G$47:$G$79=J32)),印刷機資料庫!$I$47:$I$79),0)</f>
        <v>0</v>
      </c>
      <c r="S32" s="900">
        <f>IFERROR(LOOKUP(1,0/((印刷機資料庫!$F$47:$F$79=F32)*(印刷機資料庫!$G$47:$G$79=J32)),印刷機資料庫!$K$47:$K$79),0)</f>
        <v>0</v>
      </c>
      <c r="T32" s="898">
        <f t="shared" si="6"/>
        <v>0</v>
      </c>
      <c r="U32" s="923">
        <f t="shared" si="7"/>
        <v>0</v>
      </c>
      <c r="V32" s="898">
        <f t="shared" si="8"/>
        <v>0</v>
      </c>
      <c r="W32" s="952"/>
      <c r="X32" s="899">
        <f t="shared" si="9"/>
        <v>0</v>
      </c>
      <c r="Y32" s="438"/>
      <c r="Z32" s="482"/>
      <c r="AA32" s="465"/>
      <c r="AB32" s="438"/>
      <c r="AC32" s="438"/>
    </row>
    <row r="33" spans="1:29" s="433" customFormat="1" ht="15.75">
      <c r="A33" s="581">
        <v>11</v>
      </c>
      <c r="B33" s="581">
        <v>13</v>
      </c>
      <c r="C33" s="581" t="s">
        <v>672</v>
      </c>
      <c r="D33" s="889" t="s">
        <v>0</v>
      </c>
      <c r="E33" s="435" t="s">
        <v>58</v>
      </c>
      <c r="F33" s="992"/>
      <c r="G33" s="464"/>
      <c r="H33" s="464">
        <f>IFERROR(#REF!*G33,0)</f>
        <v>0</v>
      </c>
      <c r="I33" s="429"/>
      <c r="J33" s="429"/>
      <c r="K33" s="464"/>
      <c r="L33" s="438"/>
      <c r="M33" s="900">
        <f t="shared" si="10"/>
        <v>0</v>
      </c>
      <c r="N33" s="901">
        <f t="shared" si="11"/>
        <v>0</v>
      </c>
      <c r="O33" s="438">
        <f>IFERROR(LOOKUP(1,0/((印刷機資料庫!$F$47:$F$79=F33)*(印刷機資料庫!$G$47:$G$79=J33)),印刷機資料庫!$J$47:$J$79),0)</f>
        <v>0</v>
      </c>
      <c r="P33" s="462"/>
      <c r="Q33" s="442"/>
      <c r="R33" s="482">
        <f>IFERROR(LOOKUP(1,0/((印刷機資料庫!$F$47:$F$79=F33)*(印刷機資料庫!$G$47:$G$79=J33)),印刷機資料庫!$I$47:$I$79),0)</f>
        <v>0</v>
      </c>
      <c r="S33" s="900">
        <f>IFERROR(LOOKUP(1,0/((印刷機資料庫!$F$47:$F$79=F33)*(印刷機資料庫!$G$47:$G$79=J33)),印刷機資料庫!$K$47:$K$79),0)</f>
        <v>0</v>
      </c>
      <c r="T33" s="898">
        <f t="shared" si="6"/>
        <v>0</v>
      </c>
      <c r="U33" s="923">
        <f t="shared" si="7"/>
        <v>0</v>
      </c>
      <c r="V33" s="898">
        <f t="shared" si="8"/>
        <v>0</v>
      </c>
      <c r="W33" s="952"/>
      <c r="X33" s="899">
        <f t="shared" si="9"/>
        <v>0</v>
      </c>
      <c r="Y33" s="438"/>
      <c r="Z33" s="482"/>
      <c r="AA33" s="465"/>
      <c r="AB33" s="438"/>
      <c r="AC33" s="438"/>
    </row>
    <row r="34" spans="1:29" s="433" customFormat="1" ht="15.75">
      <c r="A34" s="581">
        <v>11</v>
      </c>
      <c r="B34" s="581">
        <v>14</v>
      </c>
      <c r="C34" s="581" t="s">
        <v>673</v>
      </c>
      <c r="D34" s="889" t="s">
        <v>0</v>
      </c>
      <c r="E34" s="435" t="s">
        <v>58</v>
      </c>
      <c r="F34" s="992"/>
      <c r="G34" s="464"/>
      <c r="H34" s="464">
        <f>IFERROR(#REF!*G34,0)</f>
        <v>0</v>
      </c>
      <c r="I34" s="429"/>
      <c r="J34" s="429"/>
      <c r="K34" s="464"/>
      <c r="L34" s="438"/>
      <c r="M34" s="900">
        <f t="shared" si="10"/>
        <v>0</v>
      </c>
      <c r="N34" s="901">
        <f t="shared" si="11"/>
        <v>0</v>
      </c>
      <c r="O34" s="438">
        <f>IFERROR(LOOKUP(1,0/((印刷機資料庫!$F$47:$F$79=F34)*(印刷機資料庫!$G$47:$G$79=J34)),印刷機資料庫!$J$47:$J$79),0)</f>
        <v>0</v>
      </c>
      <c r="P34" s="462"/>
      <c r="Q34" s="442"/>
      <c r="R34" s="482">
        <f>IFERROR(LOOKUP(1,0/((印刷機資料庫!$F$47:$F$79=F34)*(印刷機資料庫!$G$47:$G$79=J34)),印刷機資料庫!$I$47:$I$79),0)</f>
        <v>0</v>
      </c>
      <c r="S34" s="900">
        <f>IFERROR(LOOKUP(1,0/((印刷機資料庫!$F$47:$F$79=F34)*(印刷機資料庫!$G$47:$G$79=J34)),印刷機資料庫!$K$47:$K$79),0)</f>
        <v>0</v>
      </c>
      <c r="T34" s="898">
        <f t="shared" si="6"/>
        <v>0</v>
      </c>
      <c r="U34" s="923">
        <f t="shared" si="7"/>
        <v>0</v>
      </c>
      <c r="V34" s="898">
        <f t="shared" si="8"/>
        <v>0</v>
      </c>
      <c r="W34" s="952"/>
      <c r="X34" s="899">
        <f t="shared" si="9"/>
        <v>0</v>
      </c>
      <c r="Y34" s="438"/>
      <c r="Z34" s="482"/>
      <c r="AA34" s="465"/>
      <c r="AB34" s="438"/>
      <c r="AC34" s="438"/>
    </row>
    <row r="35" spans="1:29" s="433" customFormat="1" ht="15.75">
      <c r="A35" s="581">
        <v>11</v>
      </c>
      <c r="B35" s="581">
        <v>15</v>
      </c>
      <c r="C35" s="581" t="s">
        <v>632</v>
      </c>
      <c r="D35" s="889" t="s">
        <v>0</v>
      </c>
      <c r="E35" s="435" t="s">
        <v>58</v>
      </c>
      <c r="F35" s="992"/>
      <c r="G35" s="464"/>
      <c r="H35" s="464">
        <f>IFERROR(#REF!*G35,0)</f>
        <v>0</v>
      </c>
      <c r="I35" s="429"/>
      <c r="J35" s="429"/>
      <c r="K35" s="464"/>
      <c r="L35" s="438"/>
      <c r="M35" s="900">
        <f t="shared" si="10"/>
        <v>0</v>
      </c>
      <c r="N35" s="901">
        <f t="shared" si="11"/>
        <v>0</v>
      </c>
      <c r="O35" s="438">
        <f>IFERROR(LOOKUP(1,0/((印刷機資料庫!$F$47:$F$79=F35)*(印刷機資料庫!$G$47:$G$79=J35)),印刷機資料庫!$J$47:$J$79),0)</f>
        <v>0</v>
      </c>
      <c r="P35" s="462"/>
      <c r="Q35" s="442"/>
      <c r="R35" s="482">
        <f>IFERROR(LOOKUP(1,0/((印刷機資料庫!$F$47:$F$79=F35)*(印刷機資料庫!$G$47:$G$79=J35)),印刷機資料庫!$I$47:$I$79),0)</f>
        <v>0</v>
      </c>
      <c r="S35" s="900">
        <f>IFERROR(LOOKUP(1,0/((印刷機資料庫!$F$47:$F$79=F35)*(印刷機資料庫!$G$47:$G$79=J35)),印刷機資料庫!$K$47:$K$79),0)</f>
        <v>0</v>
      </c>
      <c r="T35" s="898">
        <f t="shared" si="6"/>
        <v>0</v>
      </c>
      <c r="U35" s="923">
        <f t="shared" si="7"/>
        <v>0</v>
      </c>
      <c r="V35" s="898">
        <f t="shared" si="8"/>
        <v>0</v>
      </c>
      <c r="W35" s="952"/>
      <c r="X35" s="899">
        <f t="shared" si="9"/>
        <v>0</v>
      </c>
      <c r="Y35" s="438"/>
      <c r="Z35" s="482"/>
      <c r="AA35" s="465"/>
      <c r="AB35" s="438"/>
      <c r="AC35" s="438"/>
    </row>
    <row r="36" spans="1:29" s="433" customFormat="1" ht="15.75">
      <c r="A36" s="581">
        <v>11</v>
      </c>
      <c r="B36" s="581">
        <v>15</v>
      </c>
      <c r="C36" s="581" t="s">
        <v>632</v>
      </c>
      <c r="D36" s="889" t="s">
        <v>0</v>
      </c>
      <c r="E36" s="435" t="s">
        <v>58</v>
      </c>
      <c r="F36" s="992"/>
      <c r="G36" s="464"/>
      <c r="H36" s="464">
        <f>IFERROR(#REF!*G36,0)</f>
        <v>0</v>
      </c>
      <c r="I36" s="429"/>
      <c r="J36" s="429"/>
      <c r="K36" s="464"/>
      <c r="L36" s="438"/>
      <c r="M36" s="900">
        <f t="shared" si="10"/>
        <v>0</v>
      </c>
      <c r="N36" s="901">
        <f t="shared" si="11"/>
        <v>0</v>
      </c>
      <c r="O36" s="438">
        <f>IFERROR(LOOKUP(1,0/((印刷機資料庫!$F$47:$F$79=F36)*(印刷機資料庫!$G$47:$G$79=J36)),印刷機資料庫!$J$47:$J$79),0)</f>
        <v>0</v>
      </c>
      <c r="P36" s="462"/>
      <c r="Q36" s="442"/>
      <c r="R36" s="482">
        <f>IFERROR(LOOKUP(1,0/((印刷機資料庫!$F$47:$F$79=F36)*(印刷機資料庫!$G$47:$G$79=J36)),印刷機資料庫!$I$47:$I$79),0)</f>
        <v>0</v>
      </c>
      <c r="S36" s="900">
        <f>IFERROR(LOOKUP(1,0/((印刷機資料庫!$F$47:$F$79=F36)*(印刷機資料庫!$G$47:$G$79=J36)),印刷機資料庫!$K$47:$K$79),0)</f>
        <v>0</v>
      </c>
      <c r="T36" s="898">
        <f t="shared" si="6"/>
        <v>0</v>
      </c>
      <c r="U36" s="923">
        <f t="shared" si="7"/>
        <v>0</v>
      </c>
      <c r="V36" s="898">
        <f t="shared" si="8"/>
        <v>0</v>
      </c>
      <c r="W36" s="952"/>
      <c r="X36" s="899">
        <f t="shared" si="9"/>
        <v>0</v>
      </c>
      <c r="Y36" s="438"/>
      <c r="Z36" s="482"/>
      <c r="AA36" s="465"/>
      <c r="AB36" s="438"/>
      <c r="AC36" s="438"/>
    </row>
    <row r="37" spans="1:29" s="433" customFormat="1" ht="15.75">
      <c r="A37" s="581">
        <v>11</v>
      </c>
      <c r="B37" s="581">
        <v>15</v>
      </c>
      <c r="C37" s="581" t="s">
        <v>632</v>
      </c>
      <c r="D37" s="889" t="s">
        <v>0</v>
      </c>
      <c r="E37" s="435" t="s">
        <v>58</v>
      </c>
      <c r="F37" s="992"/>
      <c r="G37" s="464"/>
      <c r="H37" s="464">
        <f>IFERROR(#REF!*G37,0)</f>
        <v>0</v>
      </c>
      <c r="I37" s="429"/>
      <c r="J37" s="429"/>
      <c r="K37" s="464"/>
      <c r="L37" s="438"/>
      <c r="M37" s="900">
        <f t="shared" si="10"/>
        <v>0</v>
      </c>
      <c r="N37" s="901">
        <f t="shared" si="11"/>
        <v>0</v>
      </c>
      <c r="O37" s="438">
        <f>IFERROR(LOOKUP(1,0/((印刷機資料庫!$F$47:$F$79=F37)*(印刷機資料庫!$G$47:$G$79=J37)),印刷機資料庫!$J$47:$J$79),0)</f>
        <v>0</v>
      </c>
      <c r="P37" s="462"/>
      <c r="Q37" s="442"/>
      <c r="R37" s="482">
        <f>IFERROR(LOOKUP(1,0/((印刷機資料庫!$F$47:$F$79=F37)*(印刷機資料庫!$G$47:$G$79=J37)),印刷機資料庫!$I$47:$I$79),0)</f>
        <v>0</v>
      </c>
      <c r="S37" s="900">
        <f>IFERROR(LOOKUP(1,0/((印刷機資料庫!$F$47:$F$79=F37)*(印刷機資料庫!$G$47:$G$79=J37)),印刷機資料庫!$K$47:$K$79),0)</f>
        <v>0</v>
      </c>
      <c r="T37" s="898">
        <f t="shared" si="6"/>
        <v>0</v>
      </c>
      <c r="U37" s="923">
        <f t="shared" si="7"/>
        <v>0</v>
      </c>
      <c r="V37" s="898">
        <f t="shared" si="8"/>
        <v>0</v>
      </c>
      <c r="W37" s="952"/>
      <c r="X37" s="899">
        <f t="shared" si="9"/>
        <v>0</v>
      </c>
      <c r="Y37" s="438"/>
      <c r="Z37" s="482"/>
      <c r="AA37" s="465"/>
      <c r="AB37" s="438"/>
      <c r="AC37" s="438"/>
    </row>
    <row r="38" spans="1:29" s="433" customFormat="1" ht="15.75">
      <c r="A38" s="581">
        <v>11</v>
      </c>
      <c r="B38" s="581">
        <v>16</v>
      </c>
      <c r="C38" s="581" t="s">
        <v>667</v>
      </c>
      <c r="D38" s="889" t="s">
        <v>0</v>
      </c>
      <c r="E38" s="435" t="s">
        <v>58</v>
      </c>
      <c r="F38" s="992"/>
      <c r="G38" s="464"/>
      <c r="H38" s="464">
        <f>IFERROR(#REF!*G38,0)</f>
        <v>0</v>
      </c>
      <c r="I38" s="429"/>
      <c r="J38" s="429"/>
      <c r="K38" s="464"/>
      <c r="L38" s="438"/>
      <c r="M38" s="900">
        <f t="shared" si="10"/>
        <v>0</v>
      </c>
      <c r="N38" s="901">
        <f t="shared" si="11"/>
        <v>0</v>
      </c>
      <c r="O38" s="438">
        <f>IFERROR(LOOKUP(1,0/((印刷機資料庫!$F$47:$F$79=F38)*(印刷機資料庫!$G$47:$G$79=J38)),印刷機資料庫!$J$47:$J$79),0)</f>
        <v>0</v>
      </c>
      <c r="P38" s="462"/>
      <c r="Q38" s="442"/>
      <c r="R38" s="482">
        <f>IFERROR(LOOKUP(1,0/((印刷機資料庫!$F$47:$F$79=F38)*(印刷機資料庫!$G$47:$G$79=J38)),印刷機資料庫!$I$47:$I$79),0)</f>
        <v>0</v>
      </c>
      <c r="S38" s="900">
        <f>IFERROR(LOOKUP(1,0/((印刷機資料庫!$F$47:$F$79=F38)*(印刷機資料庫!$G$47:$G$79=J38)),印刷機資料庫!$K$47:$K$79),0)</f>
        <v>0</v>
      </c>
      <c r="T38" s="898">
        <f t="shared" si="6"/>
        <v>0</v>
      </c>
      <c r="U38" s="923">
        <f t="shared" si="7"/>
        <v>0</v>
      </c>
      <c r="V38" s="898">
        <f t="shared" si="8"/>
        <v>0</v>
      </c>
      <c r="W38" s="952"/>
      <c r="X38" s="899">
        <f t="shared" si="9"/>
        <v>0</v>
      </c>
      <c r="Y38" s="438"/>
      <c r="Z38" s="482"/>
      <c r="AA38" s="465"/>
      <c r="AB38" s="438"/>
      <c r="AC38" s="438"/>
    </row>
    <row r="39" spans="1:29" s="433" customFormat="1" ht="15.75">
      <c r="A39" s="581">
        <v>11</v>
      </c>
      <c r="B39" s="581">
        <v>16</v>
      </c>
      <c r="C39" s="581" t="s">
        <v>667</v>
      </c>
      <c r="D39" s="889" t="s">
        <v>0</v>
      </c>
      <c r="E39" s="435" t="s">
        <v>58</v>
      </c>
      <c r="F39" s="992"/>
      <c r="G39" s="464"/>
      <c r="H39" s="464">
        <f>IFERROR(#REF!*G39,0)</f>
        <v>0</v>
      </c>
      <c r="I39" s="429"/>
      <c r="J39" s="429"/>
      <c r="K39" s="464"/>
      <c r="L39" s="438"/>
      <c r="M39" s="900">
        <f t="shared" si="10"/>
        <v>0</v>
      </c>
      <c r="N39" s="901">
        <f t="shared" si="11"/>
        <v>0</v>
      </c>
      <c r="O39" s="438">
        <f>IFERROR(LOOKUP(1,0/((印刷機資料庫!$F$47:$F$79=F39)*(印刷機資料庫!$G$47:$G$79=J39)),印刷機資料庫!$J$47:$J$79),0)</f>
        <v>0</v>
      </c>
      <c r="P39" s="462"/>
      <c r="Q39" s="442"/>
      <c r="R39" s="482">
        <f>IFERROR(LOOKUP(1,0/((印刷機資料庫!$F$47:$F$79=F39)*(印刷機資料庫!$G$47:$G$79=J39)),印刷機資料庫!$I$47:$I$79),0)</f>
        <v>0</v>
      </c>
      <c r="S39" s="900">
        <f>IFERROR(LOOKUP(1,0/((印刷機資料庫!$F$47:$F$79=F39)*(印刷機資料庫!$G$47:$G$79=J39)),印刷機資料庫!$K$47:$K$79),0)</f>
        <v>0</v>
      </c>
      <c r="T39" s="898">
        <f>IFERROR(L39/S39,0)</f>
        <v>0</v>
      </c>
      <c r="U39" s="923">
        <f t="shared" si="7"/>
        <v>0</v>
      </c>
      <c r="V39" s="898">
        <f t="shared" si="8"/>
        <v>0</v>
      </c>
      <c r="W39" s="952"/>
      <c r="X39" s="899">
        <f t="shared" si="9"/>
        <v>0</v>
      </c>
      <c r="Y39" s="438"/>
      <c r="Z39" s="482"/>
      <c r="AA39" s="465"/>
      <c r="AB39" s="438"/>
      <c r="AC39" s="438"/>
    </row>
    <row r="40" spans="1:29" s="433" customFormat="1" ht="15.75">
      <c r="A40" s="581">
        <v>11</v>
      </c>
      <c r="B40" s="581">
        <v>16</v>
      </c>
      <c r="C40" s="581" t="s">
        <v>667</v>
      </c>
      <c r="D40" s="889" t="s">
        <v>0</v>
      </c>
      <c r="E40" s="435" t="s">
        <v>44</v>
      </c>
      <c r="F40" s="992"/>
      <c r="G40" s="464"/>
      <c r="H40" s="464">
        <f>IFERROR(#REF!*G40,0)</f>
        <v>0</v>
      </c>
      <c r="I40" s="429"/>
      <c r="J40" s="429"/>
      <c r="K40" s="464"/>
      <c r="L40" s="438"/>
      <c r="M40" s="900">
        <f t="shared" si="10"/>
        <v>0</v>
      </c>
      <c r="N40" s="901">
        <f t="shared" si="11"/>
        <v>0</v>
      </c>
      <c r="O40" s="438">
        <f>IFERROR(LOOKUP(1,0/((印刷機資料庫!$F$47:$F$79=F40)*(印刷機資料庫!$G$47:$G$79=J40)),印刷機資料庫!$J$47:$J$79),0)</f>
        <v>0</v>
      </c>
      <c r="P40" s="462"/>
      <c r="Q40" s="442"/>
      <c r="R40" s="482">
        <f>IFERROR(LOOKUP(1,0/((印刷機資料庫!$F$47:$F$79=F40)*(印刷機資料庫!$G$47:$G$79=J40)),印刷機資料庫!$I$47:$I$79),0)</f>
        <v>0</v>
      </c>
      <c r="S40" s="900">
        <f>IFERROR(LOOKUP(1,0/((印刷機資料庫!$F$47:$F$79=F40)*(印刷機資料庫!$G$47:$G$79=J40)),印刷機資料庫!$K$47:$K$79),0)</f>
        <v>0</v>
      </c>
      <c r="T40" s="898">
        <f t="shared" si="6"/>
        <v>0</v>
      </c>
      <c r="U40" s="923">
        <f t="shared" si="7"/>
        <v>0</v>
      </c>
      <c r="V40" s="898">
        <f t="shared" si="8"/>
        <v>0</v>
      </c>
      <c r="W40" s="952"/>
      <c r="X40" s="899">
        <f t="shared" si="9"/>
        <v>0</v>
      </c>
      <c r="Y40" s="438"/>
      <c r="Z40" s="482"/>
      <c r="AA40" s="465"/>
      <c r="AB40" s="438"/>
      <c r="AC40" s="438"/>
    </row>
    <row r="41" spans="1:29" s="433" customFormat="1" ht="15.75">
      <c r="A41" s="581">
        <v>11</v>
      </c>
      <c r="B41" s="581">
        <v>17</v>
      </c>
      <c r="C41" s="581" t="s">
        <v>669</v>
      </c>
      <c r="D41" s="889" t="s">
        <v>0</v>
      </c>
      <c r="E41" s="435" t="s">
        <v>44</v>
      </c>
      <c r="F41" s="992"/>
      <c r="G41" s="464"/>
      <c r="H41" s="464">
        <f>IFERROR(#REF!*G41,0)</f>
        <v>0</v>
      </c>
      <c r="I41" s="429"/>
      <c r="J41" s="429"/>
      <c r="K41" s="464"/>
      <c r="L41" s="438"/>
      <c r="M41" s="900">
        <f t="shared" si="10"/>
        <v>0</v>
      </c>
      <c r="N41" s="901">
        <f t="shared" si="11"/>
        <v>0</v>
      </c>
      <c r="O41" s="438">
        <f>IFERROR(LOOKUP(1,0/((印刷機資料庫!$F$47:$F$79=F41)*(印刷機資料庫!$G$47:$G$79=J41)),印刷機資料庫!$J$47:$J$79),0)</f>
        <v>0</v>
      </c>
      <c r="P41" s="462"/>
      <c r="Q41" s="442"/>
      <c r="R41" s="482">
        <f>IFERROR(LOOKUP(1,0/((印刷機資料庫!$F$47:$F$79=F41)*(印刷機資料庫!$G$47:$G$79=J41)),印刷機資料庫!$I$47:$I$79),0)</f>
        <v>0</v>
      </c>
      <c r="S41" s="900">
        <f>IFERROR(LOOKUP(1,0/((印刷機資料庫!$F$47:$F$79=F41)*(印刷機資料庫!$G$47:$G$79=J41)),印刷機資料庫!$K$47:$K$79),0)</f>
        <v>0</v>
      </c>
      <c r="T41" s="898">
        <f t="shared" si="6"/>
        <v>0</v>
      </c>
      <c r="U41" s="923">
        <f t="shared" si="7"/>
        <v>0</v>
      </c>
      <c r="V41" s="898">
        <f t="shared" si="8"/>
        <v>0</v>
      </c>
      <c r="W41" s="952"/>
      <c r="X41" s="899">
        <f t="shared" si="9"/>
        <v>0</v>
      </c>
      <c r="Y41" s="438"/>
      <c r="Z41" s="482"/>
      <c r="AA41" s="465"/>
      <c r="AB41" s="438"/>
      <c r="AC41" s="438"/>
    </row>
    <row r="42" spans="1:29" s="433" customFormat="1" ht="15.75">
      <c r="A42" s="581">
        <v>11</v>
      </c>
      <c r="B42" s="581">
        <v>18</v>
      </c>
      <c r="C42" s="581" t="s">
        <v>670</v>
      </c>
      <c r="D42" s="889" t="s">
        <v>0</v>
      </c>
      <c r="E42" s="435" t="s">
        <v>44</v>
      </c>
      <c r="F42" s="992"/>
      <c r="G42" s="464"/>
      <c r="H42" s="464">
        <f>IFERROR(#REF!*G42,0)</f>
        <v>0</v>
      </c>
      <c r="I42" s="429"/>
      <c r="J42" s="429"/>
      <c r="K42" s="464"/>
      <c r="L42" s="438"/>
      <c r="M42" s="900">
        <f t="shared" si="10"/>
        <v>0</v>
      </c>
      <c r="N42" s="901">
        <f t="shared" si="11"/>
        <v>0</v>
      </c>
      <c r="O42" s="438">
        <f>IFERROR(LOOKUP(1,0/((印刷機資料庫!$F$47:$F$79=F42)*(印刷機資料庫!$G$47:$G$79=J42)),印刷機資料庫!$J$47:$J$79),0)</f>
        <v>0</v>
      </c>
      <c r="P42" s="462"/>
      <c r="Q42" s="442"/>
      <c r="R42" s="482">
        <f>IFERROR(LOOKUP(1,0/((印刷機資料庫!$F$47:$F$79=F42)*(印刷機資料庫!$G$47:$G$79=J42)),印刷機資料庫!$I$47:$I$79),0)</f>
        <v>0</v>
      </c>
      <c r="S42" s="900">
        <f>IFERROR(LOOKUP(1,0/((印刷機資料庫!$F$47:$F$79=F42)*(印刷機資料庫!$G$47:$G$79=J42)),印刷機資料庫!$K$47:$K$79),0)</f>
        <v>0</v>
      </c>
      <c r="T42" s="898">
        <f t="shared" si="6"/>
        <v>0</v>
      </c>
      <c r="U42" s="923">
        <f t="shared" si="7"/>
        <v>0</v>
      </c>
      <c r="V42" s="898">
        <f t="shared" si="8"/>
        <v>0</v>
      </c>
      <c r="W42" s="952"/>
      <c r="X42" s="899">
        <f t="shared" si="9"/>
        <v>0</v>
      </c>
      <c r="Y42" s="438"/>
      <c r="Z42" s="482"/>
      <c r="AA42" s="465"/>
      <c r="AB42" s="438"/>
      <c r="AC42" s="438"/>
    </row>
    <row r="43" spans="1:29" s="433" customFormat="1" ht="15.75">
      <c r="A43" s="581">
        <v>11</v>
      </c>
      <c r="B43" s="581">
        <v>19</v>
      </c>
      <c r="C43" s="581" t="s">
        <v>671</v>
      </c>
      <c r="D43" s="889" t="s">
        <v>0</v>
      </c>
      <c r="E43" s="435" t="s">
        <v>44</v>
      </c>
      <c r="F43" s="992"/>
      <c r="G43" s="464"/>
      <c r="H43" s="464">
        <f>IFERROR(#REF!*G43,0)</f>
        <v>0</v>
      </c>
      <c r="I43" s="429"/>
      <c r="J43" s="429"/>
      <c r="K43" s="464"/>
      <c r="L43" s="438"/>
      <c r="M43" s="900">
        <f t="shared" si="10"/>
        <v>0</v>
      </c>
      <c r="N43" s="901">
        <f t="shared" si="11"/>
        <v>0</v>
      </c>
      <c r="O43" s="438">
        <f>IFERROR(LOOKUP(1,0/((印刷機資料庫!$F$47:$F$79=F43)*(印刷機資料庫!$G$47:$G$79=J43)),印刷機資料庫!$J$47:$J$79),0)</f>
        <v>0</v>
      </c>
      <c r="P43" s="462"/>
      <c r="Q43" s="442"/>
      <c r="R43" s="482">
        <f>IFERROR(LOOKUP(1,0/((印刷機資料庫!$F$47:$F$79=F43)*(印刷機資料庫!$G$47:$G$79=J43)),印刷機資料庫!$I$47:$I$79),0)</f>
        <v>0</v>
      </c>
      <c r="S43" s="900">
        <f>IFERROR(LOOKUP(1,0/((印刷機資料庫!$F$47:$F$79=F43)*(印刷機資料庫!$G$47:$G$79=J43)),印刷機資料庫!$K$47:$K$79),0)</f>
        <v>0</v>
      </c>
      <c r="T43" s="898">
        <f t="shared" si="6"/>
        <v>0</v>
      </c>
      <c r="U43" s="923">
        <f t="shared" si="7"/>
        <v>0</v>
      </c>
      <c r="V43" s="898">
        <f t="shared" si="8"/>
        <v>0</v>
      </c>
      <c r="W43" s="952"/>
      <c r="X43" s="899">
        <f t="shared" si="9"/>
        <v>0</v>
      </c>
      <c r="Y43" s="438"/>
      <c r="Z43" s="482"/>
      <c r="AA43" s="465"/>
      <c r="AB43" s="438"/>
      <c r="AC43" s="438"/>
    </row>
    <row r="44" spans="1:29" s="433" customFormat="1" ht="15.75">
      <c r="A44" s="434">
        <v>11</v>
      </c>
      <c r="B44" s="434">
        <v>20</v>
      </c>
      <c r="C44" s="581" t="s">
        <v>672</v>
      </c>
      <c r="D44" s="889" t="s">
        <v>0</v>
      </c>
      <c r="E44" s="435" t="s">
        <v>44</v>
      </c>
      <c r="F44" s="992"/>
      <c r="G44" s="464"/>
      <c r="H44" s="464">
        <f>IFERROR(#REF!*G44,0)</f>
        <v>0</v>
      </c>
      <c r="I44" s="429"/>
      <c r="J44" s="429"/>
      <c r="K44" s="464"/>
      <c r="L44" s="438"/>
      <c r="M44" s="900">
        <f t="shared" si="10"/>
        <v>0</v>
      </c>
      <c r="N44" s="901">
        <f t="shared" si="11"/>
        <v>0</v>
      </c>
      <c r="O44" s="438">
        <f>IFERROR(LOOKUP(1,0/((印刷機資料庫!$F$47:$F$79=F44)*(印刷機資料庫!$G$47:$G$79=J44)),印刷機資料庫!$J$47:$J$79),0)</f>
        <v>0</v>
      </c>
      <c r="P44" s="462"/>
      <c r="Q44" s="442"/>
      <c r="R44" s="482">
        <f>IFERROR(LOOKUP(1,0/((印刷機資料庫!$F$47:$F$79=F44)*(印刷機資料庫!$G$47:$G$79=J44)),印刷機資料庫!$I$47:$I$79),0)</f>
        <v>0</v>
      </c>
      <c r="S44" s="900">
        <f>IFERROR(LOOKUP(1,0/((印刷機資料庫!$F$47:$F$79=F44)*(印刷機資料庫!$G$47:$G$79=J44)),印刷機資料庫!$K$47:$K$79),0)</f>
        <v>0</v>
      </c>
      <c r="T44" s="898">
        <f t="shared" si="6"/>
        <v>0</v>
      </c>
      <c r="U44" s="923">
        <f t="shared" si="7"/>
        <v>0</v>
      </c>
      <c r="V44" s="898">
        <f t="shared" si="8"/>
        <v>0</v>
      </c>
      <c r="W44" s="952"/>
      <c r="X44" s="899">
        <f t="shared" si="9"/>
        <v>0</v>
      </c>
      <c r="Y44" s="438"/>
      <c r="Z44" s="482"/>
      <c r="AA44" s="465"/>
      <c r="AB44" s="438"/>
      <c r="AC44" s="438"/>
    </row>
    <row r="45" spans="1:29" s="433" customFormat="1" ht="15.75">
      <c r="A45" s="434">
        <v>11</v>
      </c>
      <c r="B45" s="434">
        <v>21</v>
      </c>
      <c r="C45" s="581" t="s">
        <v>673</v>
      </c>
      <c r="D45" s="889" t="s">
        <v>0</v>
      </c>
      <c r="E45" s="435" t="s">
        <v>44</v>
      </c>
      <c r="F45" s="992"/>
      <c r="G45" s="464"/>
      <c r="H45" s="464">
        <f>IFERROR(#REF!*G45,0)</f>
        <v>0</v>
      </c>
      <c r="I45" s="429"/>
      <c r="J45" s="429"/>
      <c r="K45" s="464"/>
      <c r="L45" s="438"/>
      <c r="M45" s="900">
        <f t="shared" si="10"/>
        <v>0</v>
      </c>
      <c r="N45" s="901">
        <f t="shared" si="11"/>
        <v>0</v>
      </c>
      <c r="O45" s="438">
        <f>IFERROR(LOOKUP(1,0/((印刷機資料庫!$F$47:$F$79=F45)*(印刷機資料庫!$G$47:$G$79=J45)),印刷機資料庫!$J$47:$J$79),0)</f>
        <v>0</v>
      </c>
      <c r="P45" s="462"/>
      <c r="Q45" s="442"/>
      <c r="R45" s="482">
        <f>IFERROR(LOOKUP(1,0/((印刷機資料庫!$F$47:$F$79=F45)*(印刷機資料庫!$G$47:$G$79=J45)),印刷機資料庫!$I$47:$I$79),0)</f>
        <v>0</v>
      </c>
      <c r="S45" s="900">
        <f>IFERROR(LOOKUP(1,0/((印刷機資料庫!$F$47:$F$79=F45)*(印刷機資料庫!$G$47:$G$79=J45)),印刷機資料庫!$K$47:$K$79),0)</f>
        <v>0</v>
      </c>
      <c r="T45" s="898">
        <f t="shared" si="6"/>
        <v>0</v>
      </c>
      <c r="U45" s="923">
        <f t="shared" si="7"/>
        <v>0</v>
      </c>
      <c r="V45" s="898">
        <f t="shared" si="8"/>
        <v>0</v>
      </c>
      <c r="W45" s="952"/>
      <c r="X45" s="899">
        <f t="shared" si="9"/>
        <v>0</v>
      </c>
      <c r="Y45" s="438"/>
      <c r="Z45" s="482"/>
      <c r="AA45" s="465"/>
      <c r="AB45" s="438"/>
      <c r="AC45" s="438"/>
    </row>
    <row r="46" spans="1:29" s="433" customFormat="1" ht="15.75">
      <c r="A46" s="434">
        <v>11</v>
      </c>
      <c r="B46" s="434">
        <v>22</v>
      </c>
      <c r="C46" s="581" t="s">
        <v>632</v>
      </c>
      <c r="D46" s="889" t="s">
        <v>0</v>
      </c>
      <c r="E46" s="435" t="s">
        <v>44</v>
      </c>
      <c r="F46" s="992"/>
      <c r="G46" s="464"/>
      <c r="H46" s="464">
        <f>IFERROR(#REF!*G46,0)</f>
        <v>0</v>
      </c>
      <c r="I46" s="429"/>
      <c r="J46" s="429"/>
      <c r="K46" s="464"/>
      <c r="L46" s="438"/>
      <c r="M46" s="900">
        <f t="shared" si="10"/>
        <v>0</v>
      </c>
      <c r="N46" s="901">
        <f t="shared" si="11"/>
        <v>0</v>
      </c>
      <c r="O46" s="438">
        <f>IFERROR(LOOKUP(1,0/((印刷機資料庫!$F$47:$F$79=F46)*(印刷機資料庫!$G$47:$G$79=J46)),印刷機資料庫!$J$47:$J$79),0)</f>
        <v>0</v>
      </c>
      <c r="P46" s="462"/>
      <c r="Q46" s="442"/>
      <c r="R46" s="482">
        <f>IFERROR(LOOKUP(1,0/((印刷機資料庫!$F$47:$F$79=F46)*(印刷機資料庫!$G$47:$G$79=J46)),印刷機資料庫!$I$47:$I$79),0)</f>
        <v>0</v>
      </c>
      <c r="S46" s="900">
        <f>IFERROR(LOOKUP(1,0/((印刷機資料庫!$F$47:$F$79=F46)*(印刷機資料庫!$G$47:$G$79=J46)),印刷機資料庫!$K$47:$K$79),0)</f>
        <v>0</v>
      </c>
      <c r="T46" s="898">
        <f>IFERROR(L46/S46,0)</f>
        <v>0</v>
      </c>
      <c r="U46" s="923">
        <f t="shared" si="7"/>
        <v>0</v>
      </c>
      <c r="V46" s="898">
        <f t="shared" si="8"/>
        <v>0</v>
      </c>
      <c r="W46" s="952"/>
      <c r="X46" s="899">
        <f t="shared" si="9"/>
        <v>0</v>
      </c>
      <c r="Y46" s="438"/>
      <c r="Z46" s="482"/>
      <c r="AA46" s="465"/>
      <c r="AB46" s="438"/>
      <c r="AC46" s="438"/>
    </row>
    <row r="47" spans="1:29" s="433" customFormat="1" ht="15.75">
      <c r="A47" s="434">
        <v>11</v>
      </c>
      <c r="B47" s="434">
        <v>22</v>
      </c>
      <c r="C47" s="581" t="s">
        <v>632</v>
      </c>
      <c r="D47" s="889" t="s">
        <v>0</v>
      </c>
      <c r="E47" s="435" t="s">
        <v>42</v>
      </c>
      <c r="F47" s="992"/>
      <c r="G47" s="464"/>
      <c r="H47" s="464">
        <f>IFERROR(#REF!*G47,0)</f>
        <v>0</v>
      </c>
      <c r="I47" s="429"/>
      <c r="J47" s="429"/>
      <c r="K47" s="464"/>
      <c r="L47" s="438"/>
      <c r="M47" s="900">
        <f t="shared" si="10"/>
        <v>0</v>
      </c>
      <c r="N47" s="901">
        <f t="shared" si="11"/>
        <v>0</v>
      </c>
      <c r="O47" s="438">
        <f>IFERROR(LOOKUP(1,0/((印刷機資料庫!$F$47:$F$79=F47)*(印刷機資料庫!$G$47:$G$79=J47)),印刷機資料庫!$J$47:$J$79),0)</f>
        <v>0</v>
      </c>
      <c r="P47" s="462"/>
      <c r="Q47" s="442"/>
      <c r="R47" s="482">
        <f>IFERROR(LOOKUP(1,0/((印刷機資料庫!$F$47:$F$79=F47)*(印刷機資料庫!$G$47:$G$79=J47)),印刷機資料庫!$I$47:$I$79),0)</f>
        <v>0</v>
      </c>
      <c r="S47" s="900">
        <f>IFERROR(LOOKUP(1,0/((印刷機資料庫!$F$47:$F$79=F47)*(印刷機資料庫!$G$47:$G$79=J47)),印刷機資料庫!$K$47:$K$79),0)</f>
        <v>0</v>
      </c>
      <c r="T47" s="898">
        <f t="shared" si="6"/>
        <v>0</v>
      </c>
      <c r="U47" s="923">
        <f t="shared" si="7"/>
        <v>0</v>
      </c>
      <c r="V47" s="898">
        <f t="shared" si="8"/>
        <v>0</v>
      </c>
      <c r="W47" s="952"/>
      <c r="X47" s="899">
        <f t="shared" si="9"/>
        <v>0</v>
      </c>
      <c r="Y47" s="438"/>
      <c r="Z47" s="482"/>
      <c r="AA47" s="465"/>
      <c r="AB47" s="438"/>
      <c r="AC47" s="438"/>
    </row>
    <row r="48" spans="1:29" s="433" customFormat="1" ht="15.75">
      <c r="A48" s="434">
        <v>11</v>
      </c>
      <c r="B48" s="434">
        <v>23</v>
      </c>
      <c r="C48" s="581" t="s">
        <v>667</v>
      </c>
      <c r="D48" s="889" t="s">
        <v>0</v>
      </c>
      <c r="E48" s="435" t="s">
        <v>42</v>
      </c>
      <c r="F48" s="992"/>
      <c r="G48" s="464"/>
      <c r="H48" s="464">
        <f>IFERROR(#REF!*G48,0)</f>
        <v>0</v>
      </c>
      <c r="I48" s="429"/>
      <c r="J48" s="429"/>
      <c r="K48" s="464"/>
      <c r="L48" s="438"/>
      <c r="M48" s="900">
        <f t="shared" si="10"/>
        <v>0</v>
      </c>
      <c r="N48" s="901">
        <f t="shared" si="11"/>
        <v>0</v>
      </c>
      <c r="O48" s="438">
        <f>IFERROR(LOOKUP(1,0/((印刷機資料庫!$F$47:$F$79=F48)*(印刷機資料庫!$G$47:$G$79=J48)),印刷機資料庫!$J$47:$J$79),0)</f>
        <v>0</v>
      </c>
      <c r="P48" s="462"/>
      <c r="Q48" s="442"/>
      <c r="R48" s="482">
        <f>IFERROR(LOOKUP(1,0/((印刷機資料庫!$F$47:$F$79=F48)*(印刷機資料庫!$G$47:$G$79=J48)),印刷機資料庫!$I$47:$I$79),0)</f>
        <v>0</v>
      </c>
      <c r="S48" s="900">
        <f>IFERROR(LOOKUP(1,0/((印刷機資料庫!$F$47:$F$79=F48)*(印刷機資料庫!$G$47:$G$79=J48)),印刷機資料庫!$K$47:$K$79),0)</f>
        <v>0</v>
      </c>
      <c r="T48" s="898">
        <f t="shared" si="6"/>
        <v>0</v>
      </c>
      <c r="U48" s="923">
        <f t="shared" si="7"/>
        <v>0</v>
      </c>
      <c r="V48" s="898">
        <f t="shared" si="8"/>
        <v>0</v>
      </c>
      <c r="W48" s="952"/>
      <c r="X48" s="899">
        <f t="shared" si="9"/>
        <v>0</v>
      </c>
      <c r="Y48" s="438"/>
      <c r="Z48" s="482"/>
      <c r="AA48" s="465"/>
      <c r="AB48" s="438"/>
      <c r="AC48" s="438"/>
    </row>
    <row r="49" spans="1:30" s="433" customFormat="1" ht="15.75">
      <c r="A49" s="434">
        <v>11</v>
      </c>
      <c r="B49" s="434">
        <v>23</v>
      </c>
      <c r="C49" s="581" t="s">
        <v>667</v>
      </c>
      <c r="D49" s="889" t="s">
        <v>0</v>
      </c>
      <c r="E49" s="435" t="s">
        <v>42</v>
      </c>
      <c r="F49" s="992"/>
      <c r="G49" s="464"/>
      <c r="H49" s="464">
        <f>IFERROR(#REF!*G49,0)</f>
        <v>0</v>
      </c>
      <c r="I49" s="429"/>
      <c r="J49" s="429"/>
      <c r="K49" s="464"/>
      <c r="L49" s="438"/>
      <c r="M49" s="900">
        <f t="shared" si="10"/>
        <v>0</v>
      </c>
      <c r="N49" s="901">
        <f t="shared" si="11"/>
        <v>0</v>
      </c>
      <c r="O49" s="438">
        <f>IFERROR(LOOKUP(1,0/((印刷機資料庫!$F$47:$F$79=F49)*(印刷機資料庫!$G$47:$G$79=J49)),印刷機資料庫!$J$47:$J$79),0)</f>
        <v>0</v>
      </c>
      <c r="P49" s="462"/>
      <c r="Q49" s="442"/>
      <c r="R49" s="482">
        <f>IFERROR(LOOKUP(1,0/((印刷機資料庫!$F$47:$F$79=F49)*(印刷機資料庫!$G$47:$G$79=J49)),印刷機資料庫!$I$47:$I$79),0)</f>
        <v>0</v>
      </c>
      <c r="S49" s="900">
        <f>IFERROR(LOOKUP(1,0/((印刷機資料庫!$F$47:$F$79=F49)*(印刷機資料庫!$G$47:$G$79=J49)),印刷機資料庫!$K$47:$K$79),0)</f>
        <v>0</v>
      </c>
      <c r="T49" s="898">
        <f>IFERROR(L49/S49,0)</f>
        <v>0</v>
      </c>
      <c r="U49" s="923">
        <f t="shared" si="7"/>
        <v>0</v>
      </c>
      <c r="V49" s="898">
        <f t="shared" si="8"/>
        <v>0</v>
      </c>
      <c r="W49" s="952"/>
      <c r="X49" s="899">
        <f t="shared" si="9"/>
        <v>0</v>
      </c>
      <c r="Y49" s="438"/>
      <c r="Z49" s="482"/>
      <c r="AA49" s="465"/>
      <c r="AB49" s="438"/>
      <c r="AC49" s="438"/>
    </row>
    <row r="50" spans="1:30" s="433" customFormat="1" ht="15.75">
      <c r="A50" s="434">
        <v>11</v>
      </c>
      <c r="B50" s="434">
        <v>23</v>
      </c>
      <c r="C50" s="581" t="s">
        <v>667</v>
      </c>
      <c r="D50" s="889" t="s">
        <v>0</v>
      </c>
      <c r="E50" s="435" t="s">
        <v>42</v>
      </c>
      <c r="F50" s="992"/>
      <c r="G50" s="464"/>
      <c r="H50" s="464">
        <f>IFERROR(#REF!*G50,0)</f>
        <v>0</v>
      </c>
      <c r="I50" s="429"/>
      <c r="J50" s="429"/>
      <c r="K50" s="464"/>
      <c r="L50" s="438"/>
      <c r="M50" s="900">
        <f t="shared" si="10"/>
        <v>0</v>
      </c>
      <c r="N50" s="901">
        <f t="shared" si="11"/>
        <v>0</v>
      </c>
      <c r="O50" s="438">
        <f>IFERROR(LOOKUP(1,0/((印刷機資料庫!$F$47:$F$79=F50)*(印刷機資料庫!$G$47:$G$79=J50)),印刷機資料庫!$J$47:$J$79),0)</f>
        <v>0</v>
      </c>
      <c r="P50" s="462"/>
      <c r="Q50" s="442"/>
      <c r="R50" s="482">
        <f>IFERROR(LOOKUP(1,0/((印刷機資料庫!$F$47:$F$79=F50)*(印刷機資料庫!$G$47:$G$79=J50)),印刷機資料庫!$I$47:$I$79),0)</f>
        <v>0</v>
      </c>
      <c r="S50" s="900">
        <f>IFERROR(LOOKUP(1,0/((印刷機資料庫!$F$47:$F$79=F50)*(印刷機資料庫!$G$47:$G$79=J50)),印刷機資料庫!$K$47:$K$79),0)</f>
        <v>0</v>
      </c>
      <c r="T50" s="898">
        <f t="shared" si="6"/>
        <v>0</v>
      </c>
      <c r="U50" s="923">
        <f t="shared" si="7"/>
        <v>0</v>
      </c>
      <c r="V50" s="898">
        <f t="shared" si="8"/>
        <v>0</v>
      </c>
      <c r="W50" s="952"/>
      <c r="X50" s="899">
        <f t="shared" si="9"/>
        <v>0</v>
      </c>
      <c r="Y50" s="438"/>
      <c r="Z50" s="482"/>
      <c r="AA50" s="465"/>
      <c r="AB50" s="438"/>
      <c r="AC50" s="438"/>
    </row>
    <row r="51" spans="1:30" s="433" customFormat="1" ht="15.75">
      <c r="A51" s="434">
        <v>11</v>
      </c>
      <c r="B51" s="434">
        <v>24</v>
      </c>
      <c r="C51" s="581" t="s">
        <v>669</v>
      </c>
      <c r="D51" s="889" t="s">
        <v>0</v>
      </c>
      <c r="E51" s="435" t="s">
        <v>42</v>
      </c>
      <c r="F51" s="992"/>
      <c r="G51" s="464"/>
      <c r="H51" s="464">
        <f>IFERROR(#REF!*G51,0)</f>
        <v>0</v>
      </c>
      <c r="I51" s="429"/>
      <c r="J51" s="429"/>
      <c r="K51" s="464"/>
      <c r="L51" s="438"/>
      <c r="M51" s="900">
        <f t="shared" si="10"/>
        <v>0</v>
      </c>
      <c r="N51" s="901">
        <f t="shared" si="11"/>
        <v>0</v>
      </c>
      <c r="O51" s="438">
        <f>IFERROR(LOOKUP(1,0/((印刷機資料庫!$F$47:$F$79=F51)*(印刷機資料庫!$G$47:$G$79=J51)),印刷機資料庫!$J$47:$J$79),0)</f>
        <v>0</v>
      </c>
      <c r="P51" s="462"/>
      <c r="Q51" s="442"/>
      <c r="R51" s="482">
        <f>IFERROR(LOOKUP(1,0/((印刷機資料庫!$F$47:$F$79=F51)*(印刷機資料庫!$G$47:$G$79=J51)),印刷機資料庫!$I$47:$I$79),0)</f>
        <v>0</v>
      </c>
      <c r="S51" s="900">
        <f>IFERROR(LOOKUP(1,0/((印刷機資料庫!$F$47:$F$79=F51)*(印刷機資料庫!$G$47:$G$79=J51)),印刷機資料庫!$K$47:$K$79),0)</f>
        <v>0</v>
      </c>
      <c r="T51" s="898">
        <f t="shared" si="6"/>
        <v>0</v>
      </c>
      <c r="U51" s="923">
        <f t="shared" si="7"/>
        <v>0</v>
      </c>
      <c r="V51" s="898">
        <f t="shared" si="8"/>
        <v>0</v>
      </c>
      <c r="W51" s="952"/>
      <c r="X51" s="899">
        <f t="shared" si="9"/>
        <v>0</v>
      </c>
      <c r="Y51" s="438"/>
      <c r="Z51" s="482"/>
      <c r="AA51" s="465"/>
      <c r="AB51" s="438"/>
      <c r="AC51" s="438"/>
    </row>
    <row r="52" spans="1:30" s="433" customFormat="1" ht="15.75">
      <c r="A52" s="434">
        <v>11</v>
      </c>
      <c r="B52" s="434">
        <v>25</v>
      </c>
      <c r="C52" s="581" t="s">
        <v>670</v>
      </c>
      <c r="D52" s="889" t="s">
        <v>0</v>
      </c>
      <c r="E52" s="435" t="s">
        <v>42</v>
      </c>
      <c r="F52" s="992"/>
      <c r="G52" s="464"/>
      <c r="H52" s="464">
        <f>IFERROR(#REF!*G52,0)</f>
        <v>0</v>
      </c>
      <c r="I52" s="429"/>
      <c r="J52" s="429"/>
      <c r="K52" s="464"/>
      <c r="L52" s="438"/>
      <c r="M52" s="900">
        <f t="shared" si="10"/>
        <v>0</v>
      </c>
      <c r="N52" s="901">
        <f t="shared" si="11"/>
        <v>0</v>
      </c>
      <c r="O52" s="438">
        <f>IFERROR(LOOKUP(1,0/((印刷機資料庫!$F$47:$F$79=F52)*(印刷機資料庫!$G$47:$G$79=J52)),印刷機資料庫!$J$47:$J$79),0)</f>
        <v>0</v>
      </c>
      <c r="P52" s="462"/>
      <c r="Q52" s="442"/>
      <c r="R52" s="482">
        <f>IFERROR(LOOKUP(1,0/((印刷機資料庫!$F$47:$F$79=F52)*(印刷機資料庫!$G$47:$G$79=J52)),印刷機資料庫!$I$47:$I$79),0)</f>
        <v>0</v>
      </c>
      <c r="S52" s="900">
        <f>IFERROR(LOOKUP(1,0/((印刷機資料庫!$F$47:$F$79=F52)*(印刷機資料庫!$G$47:$G$79=J52)),印刷機資料庫!$K$47:$K$79),0)</f>
        <v>0</v>
      </c>
      <c r="T52" s="898">
        <f t="shared" si="6"/>
        <v>0</v>
      </c>
      <c r="U52" s="923">
        <f t="shared" si="7"/>
        <v>0</v>
      </c>
      <c r="V52" s="898">
        <f t="shared" si="8"/>
        <v>0</v>
      </c>
      <c r="W52" s="952"/>
      <c r="X52" s="899">
        <f t="shared" si="9"/>
        <v>0</v>
      </c>
      <c r="Y52" s="438"/>
      <c r="Z52" s="482"/>
      <c r="AA52" s="465"/>
      <c r="AB52" s="438"/>
      <c r="AC52" s="438"/>
    </row>
    <row r="53" spans="1:30" s="433" customFormat="1" ht="15.75">
      <c r="A53" s="434">
        <v>11</v>
      </c>
      <c r="B53" s="434">
        <v>26</v>
      </c>
      <c r="C53" s="581" t="s">
        <v>671</v>
      </c>
      <c r="D53" s="889" t="s">
        <v>0</v>
      </c>
      <c r="E53" s="435" t="s">
        <v>42</v>
      </c>
      <c r="F53" s="992"/>
      <c r="G53" s="464"/>
      <c r="H53" s="464">
        <f>IFERROR(#REF!*G53,0)</f>
        <v>0</v>
      </c>
      <c r="I53" s="429"/>
      <c r="J53" s="429"/>
      <c r="K53" s="464"/>
      <c r="L53" s="438"/>
      <c r="M53" s="900">
        <f t="shared" si="10"/>
        <v>0</v>
      </c>
      <c r="N53" s="901">
        <f t="shared" si="11"/>
        <v>0</v>
      </c>
      <c r="O53" s="438">
        <f>IFERROR(LOOKUP(1,0/((印刷機資料庫!$F$47:$F$79=F53)*(印刷機資料庫!$G$47:$G$79=J53)),印刷機資料庫!$J$47:$J$79),0)</f>
        <v>0</v>
      </c>
      <c r="P53" s="462"/>
      <c r="Q53" s="444"/>
      <c r="R53" s="482">
        <f>IFERROR(LOOKUP(1,0/((印刷機資料庫!$F$47:$F$79=F53)*(印刷機資料庫!$G$47:$G$79=J53)),印刷機資料庫!$I$47:$I$79),0)</f>
        <v>0</v>
      </c>
      <c r="S53" s="900">
        <f>IFERROR(LOOKUP(1,0/((印刷機資料庫!$F$47:$F$79=F53)*(印刷機資料庫!$G$47:$G$79=J53)),印刷機資料庫!$K$47:$K$79),0)</f>
        <v>0</v>
      </c>
      <c r="T53" s="898">
        <f t="shared" si="6"/>
        <v>0</v>
      </c>
      <c r="U53" s="923">
        <f t="shared" si="7"/>
        <v>0</v>
      </c>
      <c r="V53" s="898">
        <f t="shared" si="8"/>
        <v>0</v>
      </c>
      <c r="W53" s="952"/>
      <c r="X53" s="899">
        <f t="shared" si="9"/>
        <v>0</v>
      </c>
      <c r="Y53" s="438"/>
      <c r="Z53" s="482"/>
      <c r="AA53" s="465"/>
      <c r="AB53" s="438"/>
      <c r="AC53" s="438"/>
    </row>
    <row r="54" spans="1:30" s="433" customFormat="1" ht="15.75">
      <c r="A54" s="434">
        <v>11</v>
      </c>
      <c r="B54" s="434">
        <v>27</v>
      </c>
      <c r="C54" s="581" t="s">
        <v>672</v>
      </c>
      <c r="D54" s="889" t="s">
        <v>0</v>
      </c>
      <c r="E54" s="435" t="s">
        <v>44</v>
      </c>
      <c r="F54" s="992"/>
      <c r="G54" s="464"/>
      <c r="H54" s="464">
        <f>IFERROR(#REF!*G54,0)</f>
        <v>0</v>
      </c>
      <c r="I54" s="429"/>
      <c r="J54" s="429"/>
      <c r="K54" s="464"/>
      <c r="L54" s="438"/>
      <c r="M54" s="900">
        <f t="shared" si="10"/>
        <v>0</v>
      </c>
      <c r="N54" s="901">
        <f t="shared" si="11"/>
        <v>0</v>
      </c>
      <c r="O54" s="438">
        <f>IFERROR(LOOKUP(1,0/((印刷機資料庫!$F$47:$F$79=F54)*(印刷機資料庫!$G$47:$G$79=J54)),印刷機資料庫!$J$47:$J$79),0)</f>
        <v>0</v>
      </c>
      <c r="P54" s="462"/>
      <c r="Q54" s="442"/>
      <c r="R54" s="482">
        <f>IFERROR(LOOKUP(1,0/((印刷機資料庫!$F$47:$F$79=F54)*(印刷機資料庫!$G$47:$G$79=J54)),印刷機資料庫!$I$47:$I$79),0)</f>
        <v>0</v>
      </c>
      <c r="S54" s="900">
        <f>IFERROR(LOOKUP(1,0/((印刷機資料庫!$F$47:$F$79=F54)*(印刷機資料庫!$G$47:$G$79=J54)),印刷機資料庫!$K$47:$K$79),0)</f>
        <v>0</v>
      </c>
      <c r="T54" s="898">
        <f t="shared" si="6"/>
        <v>0</v>
      </c>
      <c r="U54" s="923">
        <f t="shared" si="7"/>
        <v>0</v>
      </c>
      <c r="V54" s="898">
        <f t="shared" si="8"/>
        <v>0</v>
      </c>
      <c r="W54" s="952"/>
      <c r="X54" s="899">
        <f t="shared" si="9"/>
        <v>0</v>
      </c>
      <c r="Y54" s="438"/>
      <c r="Z54" s="482"/>
      <c r="AA54" s="465"/>
      <c r="AB54" s="438"/>
      <c r="AC54" s="438"/>
    </row>
    <row r="55" spans="1:30" s="433" customFormat="1" ht="15.75">
      <c r="A55" s="434">
        <v>11</v>
      </c>
      <c r="B55" s="434">
        <v>28</v>
      </c>
      <c r="C55" s="581" t="s">
        <v>673</v>
      </c>
      <c r="D55" s="889" t="s">
        <v>0</v>
      </c>
      <c r="E55" s="435" t="s">
        <v>44</v>
      </c>
      <c r="F55" s="992"/>
      <c r="G55" s="464"/>
      <c r="H55" s="464">
        <f>IFERROR(#REF!*G55,0)</f>
        <v>0</v>
      </c>
      <c r="I55" s="429"/>
      <c r="J55" s="429"/>
      <c r="K55" s="464"/>
      <c r="L55" s="438"/>
      <c r="M55" s="900">
        <f t="shared" si="10"/>
        <v>0</v>
      </c>
      <c r="N55" s="901">
        <f t="shared" si="11"/>
        <v>0</v>
      </c>
      <c r="O55" s="438">
        <f>IFERROR(LOOKUP(1,0/((印刷機資料庫!$F$47:$F$79=F55)*(印刷機資料庫!$G$47:$G$79=J55)),印刷機資料庫!$J$47:$J$79),0)</f>
        <v>0</v>
      </c>
      <c r="P55" s="462"/>
      <c r="Q55" s="442"/>
      <c r="R55" s="482">
        <f>IFERROR(LOOKUP(1,0/((印刷機資料庫!$F$47:$F$79=F55)*(印刷機資料庫!$G$47:$G$79=J55)),印刷機資料庫!$I$47:$I$79),0)</f>
        <v>0</v>
      </c>
      <c r="S55" s="900">
        <f>IFERROR(LOOKUP(1,0/((印刷機資料庫!$F$47:$F$79=F55)*(印刷機資料庫!$G$47:$G$79=J55)),印刷機資料庫!$K$47:$K$79),0)</f>
        <v>0</v>
      </c>
      <c r="T55" s="898">
        <f>IFERROR(L55/S55,0)</f>
        <v>0</v>
      </c>
      <c r="U55" s="923">
        <f>IFERROR(R55*X55*60/O55,0)</f>
        <v>0</v>
      </c>
      <c r="V55" s="898">
        <f>IFERROR(L55/U55,0)</f>
        <v>0</v>
      </c>
      <c r="W55" s="952"/>
      <c r="X55" s="899">
        <f>Y55+Z55/60</f>
        <v>0</v>
      </c>
      <c r="Y55" s="438"/>
      <c r="Z55" s="482"/>
      <c r="AA55" s="465"/>
      <c r="AB55" s="438"/>
      <c r="AC55" s="438"/>
    </row>
    <row r="56" spans="1:30" s="433" customFormat="1" ht="15.75">
      <c r="A56" s="434">
        <v>11</v>
      </c>
      <c r="B56" s="434">
        <v>29</v>
      </c>
      <c r="C56" s="581" t="s">
        <v>632</v>
      </c>
      <c r="D56" s="889" t="s">
        <v>0</v>
      </c>
      <c r="E56" s="435" t="s">
        <v>58</v>
      </c>
      <c r="F56" s="992"/>
      <c r="G56" s="464"/>
      <c r="H56" s="464">
        <f>IFERROR(#REF!*G56,0)</f>
        <v>0</v>
      </c>
      <c r="I56" s="429"/>
      <c r="J56" s="429"/>
      <c r="K56" s="464"/>
      <c r="L56" s="438"/>
      <c r="M56" s="900">
        <f>L56*O56</f>
        <v>0</v>
      </c>
      <c r="N56" s="901">
        <f t="shared" si="11"/>
        <v>0</v>
      </c>
      <c r="O56" s="438">
        <f>IFERROR(LOOKUP(1,0/((印刷機資料庫!$F$47:$F$79=F56)*(印刷機資料庫!$G$47:$G$79=J56)),印刷機資料庫!$J$47:$J$79),0)</f>
        <v>0</v>
      </c>
      <c r="P56" s="462"/>
      <c r="Q56" s="442"/>
      <c r="R56" s="482">
        <f>IFERROR(LOOKUP(1,0/((印刷機資料庫!$F$47:$F$79=F56)*(印刷機資料庫!$G$47:$G$79=J56)),印刷機資料庫!$I$47:$I$79),0)</f>
        <v>0</v>
      </c>
      <c r="S56" s="900">
        <f>IFERROR(LOOKUP(1,0/((印刷機資料庫!$F$47:$F$79=F56)*(印刷機資料庫!$G$47:$G$79=J56)),印刷機資料庫!$K$47:$K$79),0)</f>
        <v>0</v>
      </c>
      <c r="T56" s="898">
        <f>IFERROR(L56/S56,0)</f>
        <v>0</v>
      </c>
      <c r="U56" s="923">
        <f>IFERROR(R56*X56*60/O56,0)</f>
        <v>0</v>
      </c>
      <c r="V56" s="898">
        <f>IFERROR(L56/U56,0)</f>
        <v>0</v>
      </c>
      <c r="W56" s="952"/>
      <c r="X56" s="899">
        <f>Y56+Z56/60</f>
        <v>0</v>
      </c>
      <c r="Y56" s="438"/>
      <c r="Z56" s="482"/>
      <c r="AA56" s="465"/>
      <c r="AB56" s="438"/>
      <c r="AC56" s="438"/>
    </row>
    <row r="57" spans="1:30" s="433" customFormat="1" ht="15.75">
      <c r="A57" s="434">
        <v>11</v>
      </c>
      <c r="B57" s="434">
        <v>30</v>
      </c>
      <c r="C57" s="581" t="s">
        <v>667</v>
      </c>
      <c r="D57" s="889" t="s">
        <v>0</v>
      </c>
      <c r="E57" s="435" t="s">
        <v>58</v>
      </c>
      <c r="F57" s="992"/>
      <c r="G57" s="464"/>
      <c r="H57" s="464">
        <f>IFERROR(#REF!*G57,0)</f>
        <v>0</v>
      </c>
      <c r="I57" s="429"/>
      <c r="J57" s="429"/>
      <c r="K57" s="464"/>
      <c r="L57" s="438"/>
      <c r="M57" s="900">
        <f>L57*O57</f>
        <v>0</v>
      </c>
      <c r="N57" s="901">
        <f t="shared" si="11"/>
        <v>0</v>
      </c>
      <c r="O57" s="438">
        <f>IFERROR(LOOKUP(1,0/((印刷機資料庫!$F$47:$F$79=F57)*(印刷機資料庫!$G$47:$G$79=J57)),印刷機資料庫!$J$47:$J$79),0)</f>
        <v>0</v>
      </c>
      <c r="P57" s="462"/>
      <c r="Q57" s="442"/>
      <c r="R57" s="482">
        <f>IFERROR(LOOKUP(1,0/((印刷機資料庫!$F$47:$F$79=F57)*(印刷機資料庫!$G$47:$G$79=J57)),印刷機資料庫!$I$47:$I$79),0)</f>
        <v>0</v>
      </c>
      <c r="S57" s="900">
        <f>IFERROR(LOOKUP(1,0/((印刷機資料庫!$F$47:$F$79=F57)*(印刷機資料庫!$G$47:$G$79=J57)),印刷機資料庫!$K$47:$K$79),0)</f>
        <v>0</v>
      </c>
      <c r="T57" s="898">
        <f>IFERROR(L57/S57,0)</f>
        <v>0</v>
      </c>
      <c r="U57" s="923">
        <f>IFERROR(R57*X57*60/O57,0)</f>
        <v>0</v>
      </c>
      <c r="V57" s="898">
        <f>IFERROR(L57/U57,0)</f>
        <v>0</v>
      </c>
      <c r="W57" s="952"/>
      <c r="X57" s="899">
        <f>Y57+Z57/60</f>
        <v>0</v>
      </c>
      <c r="Y57" s="438"/>
      <c r="Z57" s="482"/>
      <c r="AA57" s="465"/>
      <c r="AB57" s="438"/>
      <c r="AC57" s="539"/>
    </row>
    <row r="58" spans="1:30" s="433" customFormat="1" ht="15.75">
      <c r="A58" s="434">
        <v>11</v>
      </c>
      <c r="B58" s="434">
        <v>30</v>
      </c>
      <c r="C58" s="581" t="s">
        <v>667</v>
      </c>
      <c r="D58" s="889" t="s">
        <v>0</v>
      </c>
      <c r="E58" s="435" t="s">
        <v>58</v>
      </c>
      <c r="F58" s="992"/>
      <c r="G58" s="464"/>
      <c r="H58" s="464">
        <f>IFERROR(#REF!*G58,0)</f>
        <v>0</v>
      </c>
      <c r="I58" s="429"/>
      <c r="J58" s="429"/>
      <c r="K58" s="464"/>
      <c r="L58" s="438"/>
      <c r="M58" s="900">
        <f>L58*O58</f>
        <v>0</v>
      </c>
      <c r="N58" s="901">
        <f t="shared" si="11"/>
        <v>0</v>
      </c>
      <c r="O58" s="438">
        <f>IFERROR(LOOKUP(1,0/((印刷機資料庫!$F$47:$F$79=F58)*(印刷機資料庫!$G$47:$G$79=J58)),印刷機資料庫!$J$47:$J$79),0)</f>
        <v>0</v>
      </c>
      <c r="P58" s="462"/>
      <c r="Q58" s="442"/>
      <c r="R58" s="482">
        <f>IFERROR(LOOKUP(1,0/((印刷機資料庫!$F$47:$F$79=F58)*(印刷機資料庫!$G$47:$G$79=J58)),印刷機資料庫!$I$47:$I$79),0)</f>
        <v>0</v>
      </c>
      <c r="S58" s="900">
        <f>IFERROR(LOOKUP(1,0/((印刷機資料庫!$F$47:$F$79=F58)*(印刷機資料庫!$G$47:$G$79=J58)),印刷機資料庫!$K$47:$K$79),0)</f>
        <v>0</v>
      </c>
      <c r="T58" s="898">
        <f>IFERROR(L58/S58,0)</f>
        <v>0</v>
      </c>
      <c r="U58" s="923">
        <f>IFERROR(R58*X58*60/O58,0)</f>
        <v>0</v>
      </c>
      <c r="V58" s="898">
        <f>IFERROR(L58/U58,0)</f>
        <v>0</v>
      </c>
      <c r="W58" s="952"/>
      <c r="X58" s="899">
        <f>Y58+Z58/60</f>
        <v>0</v>
      </c>
      <c r="Y58" s="438"/>
      <c r="Z58" s="482"/>
      <c r="AA58" s="465"/>
      <c r="AB58" s="939"/>
      <c r="AC58" s="438"/>
      <c r="AD58" s="458"/>
    </row>
    <row r="59" spans="1:30" s="433" customFormat="1" ht="15.75">
      <c r="A59" s="434"/>
      <c r="B59" s="434"/>
      <c r="C59" s="581"/>
      <c r="D59" s="889"/>
      <c r="E59" s="435"/>
      <c r="F59" s="992"/>
      <c r="G59" s="464"/>
      <c r="H59" s="464">
        <f>IFERROR(#REF!*G59,0)</f>
        <v>0</v>
      </c>
      <c r="I59" s="429"/>
      <c r="J59" s="429"/>
      <c r="K59" s="464"/>
      <c r="L59" s="438"/>
      <c r="M59" s="900">
        <f>L59*O59</f>
        <v>0</v>
      </c>
      <c r="N59" s="901">
        <f t="shared" si="11"/>
        <v>0</v>
      </c>
      <c r="O59" s="438">
        <f>IFERROR(LOOKUP(1,0/((印刷機資料庫!$F$47:$F$79=F59)*(印刷機資料庫!$G$47:$G$79=J59)),印刷機資料庫!$J$47:$J$79),0)</f>
        <v>0</v>
      </c>
      <c r="P59" s="462"/>
      <c r="Q59" s="442"/>
      <c r="R59" s="482">
        <f>IFERROR(LOOKUP(1,0/((印刷機資料庫!$F$47:$F$79=F59)*(印刷機資料庫!$G$47:$G$79=J59)),印刷機資料庫!$I$47:$I$79),0)</f>
        <v>0</v>
      </c>
      <c r="S59" s="900">
        <f>IFERROR(LOOKUP(1,0/((印刷機資料庫!$F$47:$F$79=F59)*(印刷機資料庫!$G$47:$G$79=J59)),印刷機資料庫!$K$47:$K$79),0)</f>
        <v>0</v>
      </c>
      <c r="T59" s="898">
        <f>IFERROR(L59/S59,0)</f>
        <v>0</v>
      </c>
      <c r="U59" s="923">
        <f>IFERROR(R59*X59*60/O59,0)</f>
        <v>0</v>
      </c>
      <c r="V59" s="898">
        <f>IFERROR(L59/U59,0)</f>
        <v>0</v>
      </c>
      <c r="W59" s="952"/>
      <c r="X59" s="899">
        <f>Y59+Z59/60</f>
        <v>0</v>
      </c>
      <c r="Y59" s="438"/>
      <c r="Z59" s="482"/>
      <c r="AA59" s="465"/>
      <c r="AB59" s="939"/>
      <c r="AC59" s="438"/>
      <c r="AD59" s="458"/>
    </row>
    <row r="60" spans="1:30" s="433" customFormat="1" ht="15.75">
      <c r="A60" s="446"/>
      <c r="B60" s="446"/>
      <c r="C60" s="456"/>
      <c r="D60" s="456"/>
      <c r="E60" s="448"/>
      <c r="F60" s="452"/>
      <c r="G60" s="452"/>
      <c r="H60" s="430"/>
      <c r="I60" s="518"/>
      <c r="J60" s="518"/>
      <c r="K60" s="452"/>
      <c r="L60" s="439"/>
      <c r="M60" s="945"/>
      <c r="N60" s="946"/>
      <c r="O60" s="467"/>
      <c r="P60" s="467"/>
      <c r="Q60" s="869"/>
      <c r="R60" s="470"/>
      <c r="S60" s="945"/>
      <c r="T60" s="936"/>
      <c r="U60" s="947"/>
      <c r="V60" s="936"/>
      <c r="W60" s="955"/>
      <c r="X60" s="948"/>
      <c r="Y60" s="439"/>
      <c r="Z60" s="471"/>
      <c r="AB60" s="439"/>
      <c r="AC60" s="439"/>
      <c r="AD60" s="458"/>
    </row>
    <row r="61" spans="1:30" s="433" customFormat="1" ht="15.75">
      <c r="A61" s="446"/>
      <c r="B61" s="446"/>
      <c r="C61" s="456"/>
      <c r="D61" s="456"/>
      <c r="E61" s="448"/>
      <c r="F61" s="452"/>
      <c r="G61" s="452"/>
      <c r="H61" s="430"/>
      <c r="I61" s="518"/>
      <c r="J61" s="518"/>
      <c r="K61" s="452"/>
      <c r="L61" s="439"/>
      <c r="M61" s="945"/>
      <c r="N61" s="946"/>
      <c r="O61" s="467"/>
      <c r="P61" s="467"/>
      <c r="Q61" s="869"/>
      <c r="R61" s="470"/>
      <c r="S61" s="945"/>
      <c r="T61" s="936"/>
      <c r="U61" s="947"/>
      <c r="V61" s="936"/>
      <c r="W61" s="955"/>
      <c r="X61" s="948"/>
      <c r="Y61" s="439"/>
      <c r="Z61" s="471"/>
      <c r="AB61" s="439"/>
      <c r="AC61" s="439"/>
      <c r="AD61" s="458"/>
    </row>
    <row r="62" spans="1:30" s="433" customFormat="1" thickBot="1">
      <c r="A62" s="446"/>
      <c r="B62" s="446"/>
      <c r="C62" s="446"/>
      <c r="D62" s="446"/>
      <c r="E62" s="448"/>
      <c r="F62" s="430"/>
      <c r="G62" s="430"/>
      <c r="H62" s="430"/>
      <c r="I62" s="430"/>
      <c r="J62" s="430"/>
      <c r="K62" s="439"/>
      <c r="L62" s="439"/>
      <c r="M62" s="452"/>
      <c r="N62" s="457"/>
      <c r="O62" s="467"/>
      <c r="P62" s="467"/>
      <c r="Q62" s="457"/>
      <c r="R62" s="470"/>
      <c r="S62" s="458"/>
      <c r="T62" s="487">
        <f>SUM(T17:T58)</f>
        <v>0</v>
      </c>
      <c r="U62" s="925"/>
      <c r="V62" s="487"/>
      <c r="W62" s="956"/>
      <c r="X62" s="487"/>
      <c r="Y62" s="489"/>
      <c r="Z62" s="489"/>
      <c r="AA62" s="469" t="s">
        <v>46</v>
      </c>
      <c r="AB62" s="439"/>
      <c r="AC62" s="439"/>
    </row>
    <row r="63" spans="1:30" s="469" customFormat="1" ht="15.75">
      <c r="A63" s="479"/>
      <c r="B63" s="479"/>
      <c r="C63" s="479"/>
      <c r="D63" s="479"/>
      <c r="E63" s="452"/>
      <c r="F63" s="517"/>
      <c r="G63" s="525" t="s">
        <v>631</v>
      </c>
      <c r="H63" s="518"/>
      <c r="I63" s="518"/>
      <c r="J63" s="518"/>
      <c r="K63" s="1842" t="s">
        <v>1348</v>
      </c>
      <c r="L63" s="949" t="s">
        <v>536</v>
      </c>
      <c r="M63" s="525" t="s">
        <v>630</v>
      </c>
      <c r="N63" s="526" t="s">
        <v>458</v>
      </c>
      <c r="O63" s="521"/>
      <c r="P63" s="524" t="s">
        <v>537</v>
      </c>
      <c r="Q63" s="524" t="s">
        <v>455</v>
      </c>
      <c r="R63" s="520"/>
      <c r="S63" s="524" t="s">
        <v>1284</v>
      </c>
      <c r="T63" s="524" t="s">
        <v>459</v>
      </c>
      <c r="U63" s="520"/>
      <c r="V63" s="524" t="s">
        <v>1345</v>
      </c>
      <c r="W63" s="524" t="s">
        <v>1350</v>
      </c>
      <c r="X63" s="524" t="s">
        <v>1351</v>
      </c>
      <c r="Y63" s="524" t="s">
        <v>1353</v>
      </c>
      <c r="Z63" s="524" t="s">
        <v>1352</v>
      </c>
      <c r="AA63" s="469" t="s">
        <v>253</v>
      </c>
      <c r="AB63" s="452"/>
      <c r="AC63" s="452"/>
    </row>
    <row r="64" spans="1:30" thickBot="1">
      <c r="G64" s="522">
        <f>SUM(H17:H58)</f>
        <v>0</v>
      </c>
      <c r="H64" s="431"/>
      <c r="I64" s="431"/>
      <c r="J64" s="431"/>
      <c r="K64" s="1843"/>
      <c r="L64" s="950">
        <f>SUM(L17:L59)</f>
        <v>0</v>
      </c>
      <c r="M64" s="522">
        <f>SUM(M17:M59)</f>
        <v>0</v>
      </c>
      <c r="N64" s="523">
        <f>SUM(N17:N59)</f>
        <v>0</v>
      </c>
      <c r="P64" s="523">
        <f>SUM(P17:P59)</f>
        <v>0</v>
      </c>
      <c r="Q64" s="897" t="e">
        <f>P64/(M64+P64)</f>
        <v>#DIV/0!</v>
      </c>
      <c r="S64" s="523" t="e">
        <f>L64/T64</f>
        <v>#DIV/0!</v>
      </c>
      <c r="T64" s="898">
        <f>T62/V64</f>
        <v>0</v>
      </c>
      <c r="U64" s="455"/>
      <c r="V64" s="516">
        <v>21</v>
      </c>
      <c r="W64" s="958">
        <f>SUM(W17:W59)</f>
        <v>0</v>
      </c>
      <c r="X64" s="516">
        <f>SUM(X17:X59)</f>
        <v>0</v>
      </c>
      <c r="Y64" s="516">
        <f>W64-X64</f>
        <v>0</v>
      </c>
      <c r="Z64" s="896" t="e">
        <f>X64/W64</f>
        <v>#DIV/0!</v>
      </c>
    </row>
    <row r="65" spans="1:53" ht="21">
      <c r="M65" s="453"/>
      <c r="N65"/>
      <c r="Q65"/>
      <c r="T65" s="940"/>
      <c r="U65" s="942"/>
    </row>
    <row r="66" spans="1:53" ht="17.25" thickBot="1">
      <c r="S66" s="446"/>
      <c r="T66" s="446"/>
      <c r="U66" s="446"/>
    </row>
    <row r="67" spans="1:53" ht="15.75">
      <c r="A67" s="1824" t="s">
        <v>330</v>
      </c>
      <c r="B67" s="1826" t="s">
        <v>311</v>
      </c>
      <c r="C67" s="1828" t="s">
        <v>331</v>
      </c>
      <c r="D67" s="1828" t="s">
        <v>332</v>
      </c>
      <c r="E67" s="1830" t="s">
        <v>194</v>
      </c>
      <c r="F67" s="1832" t="s">
        <v>510</v>
      </c>
      <c r="G67" s="1872" t="s">
        <v>628</v>
      </c>
      <c r="H67" s="1874" t="s">
        <v>629</v>
      </c>
      <c r="I67" s="1832" t="s">
        <v>361</v>
      </c>
      <c r="J67" s="1832" t="s">
        <v>1320</v>
      </c>
      <c r="K67" s="1828" t="s">
        <v>362</v>
      </c>
      <c r="L67" s="1828" t="s">
        <v>514</v>
      </c>
      <c r="M67" s="1856" t="s">
        <v>511</v>
      </c>
      <c r="N67" s="1858" t="s">
        <v>457</v>
      </c>
      <c r="O67" s="1828" t="s">
        <v>380</v>
      </c>
      <c r="P67" s="1876" t="s">
        <v>515</v>
      </c>
      <c r="Q67" s="1854" t="s">
        <v>3</v>
      </c>
      <c r="R67" s="1836" t="s">
        <v>512</v>
      </c>
      <c r="S67" s="1844" t="s">
        <v>1286</v>
      </c>
      <c r="T67" s="1846" t="s">
        <v>201</v>
      </c>
      <c r="U67" s="1846" t="s">
        <v>1318</v>
      </c>
      <c r="V67" s="1846" t="s">
        <v>1319</v>
      </c>
      <c r="W67" s="1849" t="s">
        <v>1285</v>
      </c>
      <c r="X67" s="1866" t="s">
        <v>1297</v>
      </c>
      <c r="Y67" s="1860" t="s">
        <v>340</v>
      </c>
      <c r="Z67" s="1861"/>
      <c r="AA67" s="1867" t="s">
        <v>371</v>
      </c>
      <c r="AB67" s="1867" t="s">
        <v>383</v>
      </c>
      <c r="AC67" s="1864" t="s">
        <v>29</v>
      </c>
    </row>
    <row r="68" spans="1:53" s="447" customFormat="1" thickBot="1">
      <c r="A68" s="1879"/>
      <c r="B68" s="1880"/>
      <c r="C68" s="1839"/>
      <c r="D68" s="1839"/>
      <c r="E68" s="1881"/>
      <c r="F68" s="1838"/>
      <c r="G68" s="1873"/>
      <c r="H68" s="1875"/>
      <c r="I68" s="1838"/>
      <c r="J68" s="1838"/>
      <c r="K68" s="1839"/>
      <c r="L68" s="1839"/>
      <c r="M68" s="1857"/>
      <c r="N68" s="1871"/>
      <c r="O68" s="1839"/>
      <c r="P68" s="1877"/>
      <c r="Q68" s="1869"/>
      <c r="R68" s="1870"/>
      <c r="S68" s="1878"/>
      <c r="T68" s="1848"/>
      <c r="U68" s="1848"/>
      <c r="V68" s="1848"/>
      <c r="W68" s="1850"/>
      <c r="X68" s="1850"/>
      <c r="Y68" s="491" t="s">
        <v>350</v>
      </c>
      <c r="Z68" s="491" t="s">
        <v>351</v>
      </c>
      <c r="AA68" s="1868"/>
      <c r="AB68" s="1868"/>
      <c r="AC68" s="1865"/>
      <c r="AD68" s="446"/>
      <c r="AE68" s="446"/>
      <c r="AR68" s="446"/>
      <c r="AS68" s="446"/>
      <c r="AT68" s="446"/>
      <c r="AU68" s="446"/>
      <c r="AV68" s="446"/>
      <c r="AW68" s="446"/>
      <c r="AX68" s="446"/>
      <c r="AY68" s="446"/>
      <c r="AZ68" s="446"/>
      <c r="BA68" s="446"/>
    </row>
    <row r="69" spans="1:53" s="433" customFormat="1" ht="15.75">
      <c r="A69" s="581"/>
      <c r="B69" s="581">
        <v>1</v>
      </c>
      <c r="C69" s="581" t="s">
        <v>632</v>
      </c>
      <c r="D69" s="581" t="s">
        <v>43</v>
      </c>
      <c r="E69" s="435" t="s">
        <v>42</v>
      </c>
      <c r="F69" s="429"/>
      <c r="G69" s="464"/>
      <c r="H69" s="464">
        <f>IFERROR(#REF!*G69,0)</f>
        <v>0</v>
      </c>
      <c r="I69" s="429"/>
      <c r="J69" s="429"/>
      <c r="K69" s="464"/>
      <c r="L69" s="438"/>
      <c r="M69" s="900">
        <f>L69*O69</f>
        <v>0</v>
      </c>
      <c r="N69" s="901">
        <f>K69*L69</f>
        <v>0</v>
      </c>
      <c r="O69" s="438">
        <f>IFERROR(LOOKUP(1,0/((印刷機資料庫!$F$47:$F$79=F69)*(印刷機資料庫!$G$47:$G$79=J69)),印刷機資料庫!$J$47:$J$79),0)</f>
        <v>0</v>
      </c>
      <c r="P69" s="462"/>
      <c r="Q69" s="442">
        <f t="shared" ref="Q69:Q88" si="12">IFERROR(P69/(M69+P69),0)</f>
        <v>0</v>
      </c>
      <c r="R69" s="482">
        <f>IFERROR(LOOKUP(1,0/((印刷機資料庫!$F$47:$F$79=F69)*(印刷機資料庫!$G$47:$G$79=J69)),印刷機資料庫!$I$47:$I$79),0)</f>
        <v>0</v>
      </c>
      <c r="S69" s="900">
        <f>IFERROR(LOOKUP(1,0/((印刷機資料庫!$F$47:$F$79=F69)*(印刷機資料庫!$G$47:$G$79=J69)),印刷機資料庫!$K$47:$K$79),0)</f>
        <v>0</v>
      </c>
      <c r="T69" s="898">
        <f>IFERROR(L69/S69,0)</f>
        <v>0</v>
      </c>
      <c r="U69" s="923">
        <f>IFERROR(R69*X69*60/O69,0)</f>
        <v>0</v>
      </c>
      <c r="V69" s="898">
        <f>IFERROR(L69/U69,0)</f>
        <v>0</v>
      </c>
      <c r="W69" s="953"/>
      <c r="X69" s="899">
        <f>Y69+Z69/60</f>
        <v>0</v>
      </c>
      <c r="Y69" s="438"/>
      <c r="Z69" s="482"/>
      <c r="AA69" s="465"/>
      <c r="AB69" s="438"/>
      <c r="AC69" s="438"/>
    </row>
    <row r="70" spans="1:53" s="433" customFormat="1" ht="15.75">
      <c r="A70" s="581"/>
      <c r="B70" s="581">
        <v>2</v>
      </c>
      <c r="C70" s="581" t="s">
        <v>667</v>
      </c>
      <c r="D70" s="581" t="s">
        <v>43</v>
      </c>
      <c r="E70" s="435" t="s">
        <v>42</v>
      </c>
      <c r="F70" s="429"/>
      <c r="G70" s="464"/>
      <c r="H70" s="464">
        <f>IFERROR(#REF!*G70,0)</f>
        <v>0</v>
      </c>
      <c r="I70" s="429"/>
      <c r="J70" s="429"/>
      <c r="K70" s="464"/>
      <c r="L70" s="438"/>
      <c r="M70" s="900">
        <f t="shared" ref="M70:M99" si="13">L70*O70</f>
        <v>0</v>
      </c>
      <c r="N70" s="901">
        <f>K70*L70</f>
        <v>0</v>
      </c>
      <c r="O70" s="438">
        <f>IFERROR(LOOKUP(1,0/((印刷機資料庫!$F$47:$F$79=F70)*(印刷機資料庫!$G$47:$G$79=J70)),印刷機資料庫!$J$47:$J$79),0)</f>
        <v>0</v>
      </c>
      <c r="P70" s="462"/>
      <c r="Q70" s="442">
        <f t="shared" si="12"/>
        <v>0</v>
      </c>
      <c r="R70" s="482">
        <f>IFERROR(LOOKUP(1,0/((印刷機資料庫!$F$47:$F$79=F70)*(印刷機資料庫!$G$47:$G$79=J70)),印刷機資料庫!$I$47:$I$79),0)</f>
        <v>0</v>
      </c>
      <c r="S70" s="900">
        <f>IFERROR(LOOKUP(1,0/((印刷機資料庫!$F$47:$F$79=F70)*(印刷機資料庫!$G$47:$G$79=J70)),印刷機資料庫!$K$47:$K$79),0)</f>
        <v>0</v>
      </c>
      <c r="T70" s="898">
        <f t="shared" ref="T70:T75" si="14">IFERROR(L70/S70,0)</f>
        <v>0</v>
      </c>
      <c r="U70" s="923">
        <f>IFERROR(R70*X70*60/O70,0)</f>
        <v>0</v>
      </c>
      <c r="V70" s="898">
        <f t="shared" ref="V70:V75" si="15">IFERROR(L70/U70,0)</f>
        <v>0</v>
      </c>
      <c r="W70" s="953"/>
      <c r="X70" s="899">
        <f t="shared" ref="X70:X99" si="16">Y70+Z70/60</f>
        <v>0</v>
      </c>
      <c r="Y70" s="438"/>
      <c r="Z70" s="482"/>
      <c r="AA70" s="465"/>
      <c r="AB70" s="438"/>
      <c r="AC70" s="438"/>
    </row>
    <row r="71" spans="1:53" s="433" customFormat="1" ht="15.75">
      <c r="A71" s="581"/>
      <c r="B71" s="581">
        <v>3</v>
      </c>
      <c r="C71" s="581" t="s">
        <v>669</v>
      </c>
      <c r="D71" s="581" t="s">
        <v>43</v>
      </c>
      <c r="E71" s="435" t="s">
        <v>42</v>
      </c>
      <c r="F71" s="429"/>
      <c r="G71" s="464"/>
      <c r="H71" s="464">
        <f>IFERROR(#REF!*G71,0)</f>
        <v>0</v>
      </c>
      <c r="I71" s="429"/>
      <c r="J71" s="429"/>
      <c r="K71" s="464"/>
      <c r="L71" s="438"/>
      <c r="M71" s="900">
        <f t="shared" si="13"/>
        <v>0</v>
      </c>
      <c r="N71" s="901">
        <f>K71*L71</f>
        <v>0</v>
      </c>
      <c r="O71" s="438">
        <f>IFERROR(LOOKUP(1,0/((印刷機資料庫!$F$47:$F$79=F71)*(印刷機資料庫!$G$47:$G$79=J71)),印刷機資料庫!$J$47:$J$79),0)</f>
        <v>0</v>
      </c>
      <c r="P71" s="462"/>
      <c r="Q71" s="442">
        <f t="shared" si="12"/>
        <v>0</v>
      </c>
      <c r="R71" s="482">
        <f>IFERROR(LOOKUP(1,0/((印刷機資料庫!$F$47:$F$79=F71)*(印刷機資料庫!$G$47:$G$79=J71)),印刷機資料庫!$I$47:$I$79),0)</f>
        <v>0</v>
      </c>
      <c r="S71" s="900">
        <f>IFERROR(LOOKUP(1,0/((印刷機資料庫!$F$47:$F$79=F71)*(印刷機資料庫!$G$47:$G$79=J71)),印刷機資料庫!$K$47:$K$79),0)</f>
        <v>0</v>
      </c>
      <c r="T71" s="898">
        <f t="shared" si="14"/>
        <v>0</v>
      </c>
      <c r="U71" s="923">
        <f>IFERROR(R71*X71*60/O71,0)</f>
        <v>0</v>
      </c>
      <c r="V71" s="898">
        <f t="shared" si="15"/>
        <v>0</v>
      </c>
      <c r="W71" s="953"/>
      <c r="X71" s="899">
        <f t="shared" si="16"/>
        <v>0</v>
      </c>
      <c r="Y71" s="438"/>
      <c r="Z71" s="482"/>
      <c r="AA71" s="465"/>
      <c r="AB71" s="438"/>
      <c r="AC71" s="438"/>
    </row>
    <row r="72" spans="1:53" s="433" customFormat="1" ht="15.75">
      <c r="A72" s="581"/>
      <c r="B72" s="581">
        <v>4</v>
      </c>
      <c r="C72" s="581" t="s">
        <v>670</v>
      </c>
      <c r="D72" s="581" t="s">
        <v>43</v>
      </c>
      <c r="E72" s="435" t="s">
        <v>42</v>
      </c>
      <c r="F72" s="429"/>
      <c r="G72" s="464"/>
      <c r="H72" s="464">
        <f>IFERROR(#REF!*G72,0)</f>
        <v>0</v>
      </c>
      <c r="I72" s="429"/>
      <c r="J72" s="429"/>
      <c r="K72" s="464"/>
      <c r="L72" s="438"/>
      <c r="M72" s="900">
        <f t="shared" si="13"/>
        <v>0</v>
      </c>
      <c r="N72" s="901">
        <f t="shared" ref="N72:N99" si="17">K72*L72</f>
        <v>0</v>
      </c>
      <c r="O72" s="438">
        <f>IFERROR(LOOKUP(1,0/((印刷機資料庫!$F$47:$F$79=F72)*(印刷機資料庫!$G$47:$G$79=J72)),印刷機資料庫!$J$47:$J$79),0)</f>
        <v>0</v>
      </c>
      <c r="P72" s="462"/>
      <c r="Q72" s="442">
        <f t="shared" si="12"/>
        <v>0</v>
      </c>
      <c r="R72" s="482">
        <f>IFERROR(LOOKUP(1,0/((印刷機資料庫!$F$47:$F$79=F72)*(印刷機資料庫!$G$47:$G$79=J72)),印刷機資料庫!$I$47:$I$79),0)</f>
        <v>0</v>
      </c>
      <c r="S72" s="900">
        <f>IFERROR(LOOKUP(1,0/((印刷機資料庫!$F$47:$F$79=F72)*(印刷機資料庫!$G$47:$G$79=J72)),印刷機資料庫!$K$47:$K$79),0)</f>
        <v>0</v>
      </c>
      <c r="T72" s="898">
        <f t="shared" si="14"/>
        <v>0</v>
      </c>
      <c r="U72" s="923">
        <f t="shared" ref="U72:U99" si="18">IFERROR(R72*X72*60/O72,0)</f>
        <v>0</v>
      </c>
      <c r="V72" s="898">
        <f t="shared" si="15"/>
        <v>0</v>
      </c>
      <c r="W72" s="953"/>
      <c r="X72" s="899">
        <f t="shared" si="16"/>
        <v>0</v>
      </c>
      <c r="Y72" s="438"/>
      <c r="Z72" s="482"/>
      <c r="AA72" s="465"/>
      <c r="AB72" s="438"/>
      <c r="AC72" s="438"/>
    </row>
    <row r="73" spans="1:53" s="433" customFormat="1" ht="15.75">
      <c r="A73" s="581"/>
      <c r="B73" s="581">
        <v>5</v>
      </c>
      <c r="C73" s="581" t="s">
        <v>671</v>
      </c>
      <c r="D73" s="581" t="s">
        <v>43</v>
      </c>
      <c r="E73" s="435" t="s">
        <v>42</v>
      </c>
      <c r="F73" s="429"/>
      <c r="G73" s="464"/>
      <c r="H73" s="464">
        <f>IFERROR(#REF!*G73,0)</f>
        <v>0</v>
      </c>
      <c r="I73" s="429"/>
      <c r="J73" s="429"/>
      <c r="K73" s="464"/>
      <c r="L73" s="438"/>
      <c r="M73" s="900">
        <f t="shared" si="13"/>
        <v>0</v>
      </c>
      <c r="N73" s="901">
        <f t="shared" si="17"/>
        <v>0</v>
      </c>
      <c r="O73" s="438">
        <f>IFERROR(LOOKUP(1,0/((印刷機資料庫!$F$47:$F$79=F73)*(印刷機資料庫!$G$47:$G$79=J73)),印刷機資料庫!$J$47:$J$79),0)</f>
        <v>0</v>
      </c>
      <c r="P73" s="462"/>
      <c r="Q73" s="442">
        <f t="shared" si="12"/>
        <v>0</v>
      </c>
      <c r="R73" s="482">
        <f>IFERROR(LOOKUP(1,0/((印刷機資料庫!$F$47:$F$79=F73)*(印刷機資料庫!$G$47:$G$79=J73)),印刷機資料庫!$I$47:$I$79),0)</f>
        <v>0</v>
      </c>
      <c r="S73" s="900">
        <f>IFERROR(LOOKUP(1,0/((印刷機資料庫!$F$47:$F$79=F73)*(印刷機資料庫!$G$47:$G$79=J73)),印刷機資料庫!$K$47:$K$79),0)</f>
        <v>0</v>
      </c>
      <c r="T73" s="898">
        <f t="shared" si="14"/>
        <v>0</v>
      </c>
      <c r="U73" s="923">
        <f t="shared" si="18"/>
        <v>0</v>
      </c>
      <c r="V73" s="898">
        <f t="shared" si="15"/>
        <v>0</v>
      </c>
      <c r="W73" s="953"/>
      <c r="X73" s="899">
        <f t="shared" si="16"/>
        <v>0</v>
      </c>
      <c r="Y73" s="438"/>
      <c r="Z73" s="482"/>
      <c r="AA73" s="465"/>
      <c r="AB73" s="438"/>
      <c r="AC73" s="438"/>
    </row>
    <row r="74" spans="1:53" s="433" customFormat="1" ht="15.75">
      <c r="A74" s="581"/>
      <c r="B74" s="581">
        <v>6</v>
      </c>
      <c r="C74" s="581" t="s">
        <v>672</v>
      </c>
      <c r="D74" s="581" t="s">
        <v>43</v>
      </c>
      <c r="E74" s="435" t="s">
        <v>42</v>
      </c>
      <c r="F74" s="429"/>
      <c r="G74" s="464"/>
      <c r="H74" s="464">
        <f>IFERROR(#REF!*G74,0)</f>
        <v>0</v>
      </c>
      <c r="I74" s="429"/>
      <c r="J74" s="429"/>
      <c r="K74" s="464"/>
      <c r="L74" s="438"/>
      <c r="M74" s="900">
        <f t="shared" si="13"/>
        <v>0</v>
      </c>
      <c r="N74" s="901">
        <f t="shared" si="17"/>
        <v>0</v>
      </c>
      <c r="O74" s="438">
        <f>IFERROR(LOOKUP(1,0/((印刷機資料庫!$F$47:$F$79=F74)*(印刷機資料庫!$G$47:$G$79=J74)),印刷機資料庫!$J$47:$J$79),0)</f>
        <v>0</v>
      </c>
      <c r="P74" s="462"/>
      <c r="Q74" s="442">
        <f t="shared" si="12"/>
        <v>0</v>
      </c>
      <c r="R74" s="482">
        <f>IFERROR(LOOKUP(1,0/((印刷機資料庫!$F$47:$F$79=F74)*(印刷機資料庫!$G$47:$G$79=J74)),印刷機資料庫!$I$47:$I$79),0)</f>
        <v>0</v>
      </c>
      <c r="S74" s="900">
        <f>IFERROR(LOOKUP(1,0/((印刷機資料庫!$F$47:$F$79=F74)*(印刷機資料庫!$G$47:$G$79=J74)),印刷機資料庫!$K$47:$K$79),0)</f>
        <v>0</v>
      </c>
      <c r="T74" s="898">
        <f t="shared" si="14"/>
        <v>0</v>
      </c>
      <c r="U74" s="923">
        <f t="shared" si="18"/>
        <v>0</v>
      </c>
      <c r="V74" s="898">
        <f t="shared" si="15"/>
        <v>0</v>
      </c>
      <c r="W74" s="953"/>
      <c r="X74" s="899">
        <f t="shared" si="16"/>
        <v>0</v>
      </c>
      <c r="Y74" s="438"/>
      <c r="Z74" s="482"/>
      <c r="AA74" s="465"/>
      <c r="AB74" s="438"/>
      <c r="AC74" s="438"/>
    </row>
    <row r="75" spans="1:53" s="433" customFormat="1" ht="15.75">
      <c r="A75" s="581"/>
      <c r="B75" s="581">
        <v>7</v>
      </c>
      <c r="C75" s="581" t="s">
        <v>673</v>
      </c>
      <c r="D75" s="581" t="s">
        <v>43</v>
      </c>
      <c r="E75" s="435" t="s">
        <v>44</v>
      </c>
      <c r="F75" s="429"/>
      <c r="G75" s="464"/>
      <c r="H75" s="464">
        <f>IFERROR(#REF!*G75,0)</f>
        <v>0</v>
      </c>
      <c r="I75" s="429"/>
      <c r="J75" s="429"/>
      <c r="K75" s="464"/>
      <c r="L75" s="438"/>
      <c r="M75" s="900">
        <f t="shared" si="13"/>
        <v>0</v>
      </c>
      <c r="N75" s="901">
        <f t="shared" si="17"/>
        <v>0</v>
      </c>
      <c r="O75" s="438">
        <f>IFERROR(LOOKUP(1,0/((印刷機資料庫!$F$47:$F$79=F75)*(印刷機資料庫!$G$47:$G$79=J75)),印刷機資料庫!$J$47:$J$79),0)</f>
        <v>0</v>
      </c>
      <c r="P75" s="462"/>
      <c r="Q75" s="442">
        <f t="shared" si="12"/>
        <v>0</v>
      </c>
      <c r="R75" s="482">
        <f>IFERROR(LOOKUP(1,0/((印刷機資料庫!$F$47:$F$79=F75)*(印刷機資料庫!$G$47:$G$79=J75)),印刷機資料庫!$I$47:$I$79),0)</f>
        <v>0</v>
      </c>
      <c r="S75" s="900">
        <f>IFERROR(LOOKUP(1,0/((印刷機資料庫!$F$47:$F$79=F75)*(印刷機資料庫!$G$47:$G$79=J75)),印刷機資料庫!$K$47:$K$79),0)</f>
        <v>0</v>
      </c>
      <c r="T75" s="898">
        <f t="shared" si="14"/>
        <v>0</v>
      </c>
      <c r="U75" s="923">
        <f t="shared" si="18"/>
        <v>0</v>
      </c>
      <c r="V75" s="898">
        <f t="shared" si="15"/>
        <v>0</v>
      </c>
      <c r="W75" s="953"/>
      <c r="X75" s="899">
        <f t="shared" si="16"/>
        <v>0</v>
      </c>
      <c r="Y75" s="438"/>
      <c r="Z75" s="482"/>
      <c r="AA75" s="465"/>
      <c r="AB75" s="438"/>
      <c r="AC75" s="438"/>
    </row>
    <row r="76" spans="1:53" s="433" customFormat="1" ht="15.75">
      <c r="A76" s="581"/>
      <c r="B76" s="581">
        <v>8</v>
      </c>
      <c r="C76" s="581" t="s">
        <v>632</v>
      </c>
      <c r="D76" s="581" t="s">
        <v>43</v>
      </c>
      <c r="E76" s="435" t="s">
        <v>58</v>
      </c>
      <c r="F76" s="429"/>
      <c r="G76" s="464"/>
      <c r="H76" s="464">
        <f>IFERROR(#REF!*G76,0)</f>
        <v>0</v>
      </c>
      <c r="I76" s="429"/>
      <c r="J76" s="429"/>
      <c r="K76" s="464"/>
      <c r="L76" s="438"/>
      <c r="M76" s="900">
        <f t="shared" si="13"/>
        <v>0</v>
      </c>
      <c r="N76" s="901">
        <f t="shared" si="17"/>
        <v>0</v>
      </c>
      <c r="O76" s="438">
        <f>IFERROR(LOOKUP(1,0/((印刷機資料庫!$F$47:$F$79=F76)*(印刷機資料庫!$G$47:$G$79=J76)),印刷機資料庫!$J$47:$J$79),0)</f>
        <v>0</v>
      </c>
      <c r="P76" s="462"/>
      <c r="Q76" s="442">
        <f t="shared" si="12"/>
        <v>0</v>
      </c>
      <c r="R76" s="482">
        <f>IFERROR(LOOKUP(1,0/((印刷機資料庫!$F$47:$F$79=F76)*(印刷機資料庫!$G$47:$G$79=J76)),印刷機資料庫!$I$47:$I$79),0)</f>
        <v>0</v>
      </c>
      <c r="S76" s="900">
        <f>IFERROR(LOOKUP(1,0/((印刷機資料庫!$F$47:$F$79=F76)*(印刷機資料庫!$G$47:$G$79=J76)),印刷機資料庫!$K$47:$K$79),0)</f>
        <v>0</v>
      </c>
      <c r="T76" s="898">
        <f>IFERROR(L76/S76,0)</f>
        <v>0</v>
      </c>
      <c r="U76" s="923">
        <f t="shared" si="18"/>
        <v>0</v>
      </c>
      <c r="V76" s="898">
        <f>IFERROR(L76/U76,0)</f>
        <v>0</v>
      </c>
      <c r="W76" s="953"/>
      <c r="X76" s="899">
        <f t="shared" si="16"/>
        <v>0</v>
      </c>
      <c r="Y76" s="438"/>
      <c r="Z76" s="482"/>
      <c r="AA76" s="465"/>
      <c r="AB76" s="438"/>
      <c r="AC76" s="438"/>
    </row>
    <row r="77" spans="1:53" s="433" customFormat="1" ht="15.75">
      <c r="A77" s="581"/>
      <c r="B77" s="581">
        <v>9</v>
      </c>
      <c r="C77" s="581" t="s">
        <v>667</v>
      </c>
      <c r="D77" s="581" t="s">
        <v>43</v>
      </c>
      <c r="E77" s="435" t="s">
        <v>58</v>
      </c>
      <c r="F77" s="429"/>
      <c r="G77" s="464"/>
      <c r="H77" s="464">
        <f>IFERROR(#REF!*G77,0)</f>
        <v>0</v>
      </c>
      <c r="I77" s="429"/>
      <c r="J77" s="429"/>
      <c r="K77" s="464"/>
      <c r="L77" s="438"/>
      <c r="M77" s="900">
        <f t="shared" si="13"/>
        <v>0</v>
      </c>
      <c r="N77" s="901">
        <f t="shared" si="17"/>
        <v>0</v>
      </c>
      <c r="O77" s="438">
        <f>IFERROR(LOOKUP(1,0/((印刷機資料庫!$F$47:$F$79=F77)*(印刷機資料庫!$G$47:$G$79=J77)),印刷機資料庫!$J$47:$J$79),0)</f>
        <v>0</v>
      </c>
      <c r="P77" s="462"/>
      <c r="Q77" s="442">
        <f t="shared" si="12"/>
        <v>0</v>
      </c>
      <c r="R77" s="482">
        <f>IFERROR(LOOKUP(1,0/((印刷機資料庫!$F$47:$F$79=F77)*(印刷機資料庫!$G$47:$G$79=J77)),印刷機資料庫!$I$47:$I$79),0)</f>
        <v>0</v>
      </c>
      <c r="S77" s="900">
        <f>IFERROR(LOOKUP(1,0/((印刷機資料庫!$F$47:$F$79=F77)*(印刷機資料庫!$G$47:$G$79=J77)),印刷機資料庫!$K$47:$K$79),0)</f>
        <v>0</v>
      </c>
      <c r="T77" s="898">
        <f>IFERROR(L77/S77,0)</f>
        <v>0</v>
      </c>
      <c r="U77" s="923">
        <f t="shared" si="18"/>
        <v>0</v>
      </c>
      <c r="V77" s="898">
        <f t="shared" ref="V77:V99" si="19">IFERROR(L77/U77,0)</f>
        <v>0</v>
      </c>
      <c r="W77" s="953"/>
      <c r="X77" s="899">
        <f t="shared" si="16"/>
        <v>0</v>
      </c>
      <c r="Y77" s="438"/>
      <c r="Z77" s="482"/>
      <c r="AA77" s="465"/>
      <c r="AB77" s="438"/>
      <c r="AC77" s="438"/>
    </row>
    <row r="78" spans="1:53" s="433" customFormat="1" ht="15.75">
      <c r="A78" s="581"/>
      <c r="B78" s="581">
        <v>10</v>
      </c>
      <c r="C78" s="581" t="s">
        <v>669</v>
      </c>
      <c r="D78" s="581" t="s">
        <v>43</v>
      </c>
      <c r="E78" s="435" t="s">
        <v>58</v>
      </c>
      <c r="F78" s="429"/>
      <c r="G78" s="464"/>
      <c r="H78" s="464">
        <f>IFERROR(#REF!*G78,0)</f>
        <v>0</v>
      </c>
      <c r="I78" s="429"/>
      <c r="J78" s="429"/>
      <c r="K78" s="464"/>
      <c r="L78" s="438"/>
      <c r="M78" s="900">
        <f t="shared" si="13"/>
        <v>0</v>
      </c>
      <c r="N78" s="901">
        <f t="shared" si="17"/>
        <v>0</v>
      </c>
      <c r="O78" s="438">
        <f>IFERROR(LOOKUP(1,0/((印刷機資料庫!$F$47:$F$79=F78)*(印刷機資料庫!$G$47:$G$79=J78)),印刷機資料庫!$J$47:$J$79),0)</f>
        <v>0</v>
      </c>
      <c r="P78" s="462"/>
      <c r="Q78" s="442">
        <f t="shared" si="12"/>
        <v>0</v>
      </c>
      <c r="R78" s="482">
        <f>IFERROR(LOOKUP(1,0/((印刷機資料庫!$F$47:$F$79=F78)*(印刷機資料庫!$G$47:$G$79=J78)),印刷機資料庫!$I$47:$I$79),0)</f>
        <v>0</v>
      </c>
      <c r="S78" s="900">
        <f>IFERROR(LOOKUP(1,0/((印刷機資料庫!$F$47:$F$79=F78)*(印刷機資料庫!$G$47:$G$79=J78)),印刷機資料庫!$K$47:$K$79),0)</f>
        <v>0</v>
      </c>
      <c r="T78" s="898">
        <f t="shared" ref="T78:T97" si="20">IFERROR(L78/S78,0)</f>
        <v>0</v>
      </c>
      <c r="U78" s="923">
        <f t="shared" si="18"/>
        <v>0</v>
      </c>
      <c r="V78" s="898">
        <f t="shared" si="19"/>
        <v>0</v>
      </c>
      <c r="W78" s="953"/>
      <c r="X78" s="899">
        <f t="shared" si="16"/>
        <v>0</v>
      </c>
      <c r="Y78" s="438"/>
      <c r="Z78" s="482"/>
      <c r="AA78" s="465"/>
      <c r="AB78" s="438"/>
      <c r="AC78" s="438"/>
    </row>
    <row r="79" spans="1:53" s="433" customFormat="1" ht="15.75">
      <c r="A79" s="581"/>
      <c r="B79" s="581">
        <v>11</v>
      </c>
      <c r="C79" s="581" t="s">
        <v>670</v>
      </c>
      <c r="D79" s="581" t="s">
        <v>43</v>
      </c>
      <c r="E79" s="435" t="s">
        <v>58</v>
      </c>
      <c r="F79" s="429"/>
      <c r="G79" s="464"/>
      <c r="H79" s="464">
        <f>IFERROR(#REF!*G79,0)</f>
        <v>0</v>
      </c>
      <c r="I79" s="429"/>
      <c r="J79" s="429"/>
      <c r="K79" s="464"/>
      <c r="L79" s="438"/>
      <c r="M79" s="900">
        <f t="shared" si="13"/>
        <v>0</v>
      </c>
      <c r="N79" s="901">
        <f t="shared" si="17"/>
        <v>0</v>
      </c>
      <c r="O79" s="438">
        <f>IFERROR(LOOKUP(1,0/((印刷機資料庫!$F$47:$F$79=F79)*(印刷機資料庫!$G$47:$G$79=J79)),印刷機資料庫!$J$47:$J$79),0)</f>
        <v>0</v>
      </c>
      <c r="P79" s="462"/>
      <c r="Q79" s="442">
        <f t="shared" si="12"/>
        <v>0</v>
      </c>
      <c r="R79" s="482">
        <f>IFERROR(LOOKUP(1,0/((印刷機資料庫!$F$47:$F$79=F79)*(印刷機資料庫!$G$47:$G$79=J79)),印刷機資料庫!$I$47:$I$79),0)</f>
        <v>0</v>
      </c>
      <c r="S79" s="900">
        <f>IFERROR(LOOKUP(1,0/((印刷機資料庫!$F$47:$F$79=F79)*(印刷機資料庫!$G$47:$G$79=J79)),印刷機資料庫!$K$47:$K$79),0)</f>
        <v>0</v>
      </c>
      <c r="T79" s="898">
        <f t="shared" si="20"/>
        <v>0</v>
      </c>
      <c r="U79" s="923">
        <f t="shared" si="18"/>
        <v>0</v>
      </c>
      <c r="V79" s="898">
        <f t="shared" si="19"/>
        <v>0</v>
      </c>
      <c r="W79" s="953"/>
      <c r="X79" s="899">
        <f t="shared" si="16"/>
        <v>0</v>
      </c>
      <c r="Y79" s="438"/>
      <c r="Z79" s="482"/>
      <c r="AA79" s="465"/>
      <c r="AB79" s="438"/>
      <c r="AC79" s="438"/>
    </row>
    <row r="80" spans="1:53" s="433" customFormat="1" ht="15.75">
      <c r="A80" s="581"/>
      <c r="B80" s="581">
        <v>12</v>
      </c>
      <c r="C80" s="581" t="s">
        <v>671</v>
      </c>
      <c r="D80" s="581" t="s">
        <v>43</v>
      </c>
      <c r="E80" s="435" t="s">
        <v>58</v>
      </c>
      <c r="F80" s="429"/>
      <c r="G80" s="464"/>
      <c r="H80" s="464">
        <f>IFERROR(#REF!*G80,0)</f>
        <v>0</v>
      </c>
      <c r="I80" s="429"/>
      <c r="J80" s="429"/>
      <c r="K80" s="464"/>
      <c r="L80" s="438"/>
      <c r="M80" s="900">
        <f t="shared" si="13"/>
        <v>0</v>
      </c>
      <c r="N80" s="901">
        <f t="shared" si="17"/>
        <v>0</v>
      </c>
      <c r="O80" s="438">
        <f>IFERROR(LOOKUP(1,0/((印刷機資料庫!$F$47:$F$79=F80)*(印刷機資料庫!$G$47:$G$79=J80)),印刷機資料庫!$J$47:$J$79),0)</f>
        <v>0</v>
      </c>
      <c r="P80" s="462"/>
      <c r="Q80" s="442">
        <f t="shared" si="12"/>
        <v>0</v>
      </c>
      <c r="R80" s="482">
        <f>IFERROR(LOOKUP(1,0/((印刷機資料庫!$F$47:$F$79=F80)*(印刷機資料庫!$G$47:$G$79=J80)),印刷機資料庫!$I$47:$I$79),0)</f>
        <v>0</v>
      </c>
      <c r="S80" s="900">
        <f>IFERROR(LOOKUP(1,0/((印刷機資料庫!$F$47:$F$79=F80)*(印刷機資料庫!$G$47:$G$79=J80)),印刷機資料庫!$K$47:$K$79),0)</f>
        <v>0</v>
      </c>
      <c r="T80" s="898">
        <f t="shared" si="20"/>
        <v>0</v>
      </c>
      <c r="U80" s="923">
        <f t="shared" si="18"/>
        <v>0</v>
      </c>
      <c r="V80" s="898">
        <f t="shared" si="19"/>
        <v>0</v>
      </c>
      <c r="W80" s="953"/>
      <c r="X80" s="899">
        <f t="shared" si="16"/>
        <v>0</v>
      </c>
      <c r="Y80" s="438"/>
      <c r="Z80" s="482"/>
      <c r="AA80" s="465"/>
      <c r="AB80" s="438"/>
      <c r="AC80" s="438"/>
    </row>
    <row r="81" spans="1:29" s="433" customFormat="1" ht="15.75">
      <c r="A81" s="581"/>
      <c r="B81" s="581">
        <v>13</v>
      </c>
      <c r="C81" s="581" t="s">
        <v>672</v>
      </c>
      <c r="D81" s="581" t="s">
        <v>43</v>
      </c>
      <c r="E81" s="435" t="s">
        <v>58</v>
      </c>
      <c r="F81" s="429"/>
      <c r="G81" s="464"/>
      <c r="H81" s="464">
        <f>IFERROR(#REF!*G81,0)</f>
        <v>0</v>
      </c>
      <c r="I81" s="429"/>
      <c r="J81" s="429"/>
      <c r="K81" s="464"/>
      <c r="L81" s="438"/>
      <c r="M81" s="900">
        <f t="shared" si="13"/>
        <v>0</v>
      </c>
      <c r="N81" s="901">
        <f t="shared" si="17"/>
        <v>0</v>
      </c>
      <c r="O81" s="438">
        <f>IFERROR(LOOKUP(1,0/((印刷機資料庫!$F$47:$F$79=F81)*(印刷機資料庫!$G$47:$G$79=J81)),印刷機資料庫!$J$47:$J$79),0)</f>
        <v>0</v>
      </c>
      <c r="P81" s="462"/>
      <c r="Q81" s="442">
        <f t="shared" si="12"/>
        <v>0</v>
      </c>
      <c r="R81" s="482">
        <f>IFERROR(LOOKUP(1,0/((印刷機資料庫!$F$47:$F$79=F81)*(印刷機資料庫!$G$47:$G$79=J81)),印刷機資料庫!$I$47:$I$79),0)</f>
        <v>0</v>
      </c>
      <c r="S81" s="900">
        <f>IFERROR(LOOKUP(1,0/((印刷機資料庫!$F$47:$F$79=F81)*(印刷機資料庫!$G$47:$G$79=J81)),印刷機資料庫!$K$47:$K$79),0)</f>
        <v>0</v>
      </c>
      <c r="T81" s="898">
        <f t="shared" si="20"/>
        <v>0</v>
      </c>
      <c r="U81" s="923">
        <f t="shared" si="18"/>
        <v>0</v>
      </c>
      <c r="V81" s="898">
        <f t="shared" si="19"/>
        <v>0</v>
      </c>
      <c r="W81" s="953"/>
      <c r="X81" s="899">
        <f t="shared" si="16"/>
        <v>0</v>
      </c>
      <c r="Y81" s="438"/>
      <c r="Z81" s="482"/>
      <c r="AA81" s="465"/>
      <c r="AB81" s="438"/>
      <c r="AC81" s="438"/>
    </row>
    <row r="82" spans="1:29" s="433" customFormat="1" ht="15.75">
      <c r="A82" s="581"/>
      <c r="B82" s="581">
        <v>14</v>
      </c>
      <c r="C82" s="581" t="s">
        <v>673</v>
      </c>
      <c r="D82" s="581" t="s">
        <v>43</v>
      </c>
      <c r="E82" s="435" t="s">
        <v>58</v>
      </c>
      <c r="F82" s="429"/>
      <c r="G82" s="464"/>
      <c r="H82" s="464">
        <f>IFERROR(#REF!*G82,0)</f>
        <v>0</v>
      </c>
      <c r="I82" s="429"/>
      <c r="J82" s="429"/>
      <c r="K82" s="464"/>
      <c r="L82" s="438"/>
      <c r="M82" s="900">
        <f t="shared" si="13"/>
        <v>0</v>
      </c>
      <c r="N82" s="901">
        <f t="shared" si="17"/>
        <v>0</v>
      </c>
      <c r="O82" s="438">
        <f>IFERROR(LOOKUP(1,0/((印刷機資料庫!$F$47:$F$79=F82)*(印刷機資料庫!$G$47:$G$79=J82)),印刷機資料庫!$J$47:$J$79),0)</f>
        <v>0</v>
      </c>
      <c r="P82" s="462"/>
      <c r="Q82" s="442">
        <f t="shared" si="12"/>
        <v>0</v>
      </c>
      <c r="R82" s="482">
        <f>IFERROR(LOOKUP(1,0/((印刷機資料庫!$F$47:$F$79=F82)*(印刷機資料庫!$G$47:$G$79=J82)),印刷機資料庫!$I$47:$I$79),0)</f>
        <v>0</v>
      </c>
      <c r="S82" s="900">
        <f>IFERROR(LOOKUP(1,0/((印刷機資料庫!$F$47:$F$79=F82)*(印刷機資料庫!$G$47:$G$79=J82)),印刷機資料庫!$K$47:$K$79),0)</f>
        <v>0</v>
      </c>
      <c r="T82" s="898">
        <f t="shared" si="20"/>
        <v>0</v>
      </c>
      <c r="U82" s="923">
        <f t="shared" si="18"/>
        <v>0</v>
      </c>
      <c r="V82" s="898">
        <f t="shared" si="19"/>
        <v>0</v>
      </c>
      <c r="W82" s="953"/>
      <c r="X82" s="899">
        <f t="shared" si="16"/>
        <v>0</v>
      </c>
      <c r="Y82" s="438"/>
      <c r="Z82" s="482"/>
      <c r="AA82" s="465"/>
      <c r="AB82" s="438"/>
      <c r="AC82" s="438"/>
    </row>
    <row r="83" spans="1:29" s="433" customFormat="1" ht="15.75">
      <c r="A83" s="581"/>
      <c r="B83" s="581">
        <v>15</v>
      </c>
      <c r="C83" s="581" t="s">
        <v>632</v>
      </c>
      <c r="D83" s="581" t="s">
        <v>43</v>
      </c>
      <c r="E83" s="435" t="s">
        <v>58</v>
      </c>
      <c r="F83" s="429"/>
      <c r="G83" s="464"/>
      <c r="H83" s="464">
        <f>IFERROR(#REF!*G83,0)</f>
        <v>0</v>
      </c>
      <c r="I83" s="429"/>
      <c r="J83" s="429"/>
      <c r="K83" s="464"/>
      <c r="L83" s="438"/>
      <c r="M83" s="900">
        <f t="shared" si="13"/>
        <v>0</v>
      </c>
      <c r="N83" s="901">
        <f t="shared" si="17"/>
        <v>0</v>
      </c>
      <c r="O83" s="438">
        <f>IFERROR(LOOKUP(1,0/((印刷機資料庫!$F$47:$F$79=F83)*(印刷機資料庫!$G$47:$G$79=J83)),印刷機資料庫!$J$47:$J$79),0)</f>
        <v>0</v>
      </c>
      <c r="P83" s="462"/>
      <c r="Q83" s="442">
        <f t="shared" si="12"/>
        <v>0</v>
      </c>
      <c r="R83" s="482">
        <f>IFERROR(LOOKUP(1,0/((印刷機資料庫!$F$47:$F$79=F83)*(印刷機資料庫!$G$47:$G$79=J83)),印刷機資料庫!$I$47:$I$79),0)</f>
        <v>0</v>
      </c>
      <c r="S83" s="900">
        <f>IFERROR(LOOKUP(1,0/((印刷機資料庫!$F$47:$F$79=F83)*(印刷機資料庫!$G$47:$G$79=J83)),印刷機資料庫!$K$47:$K$79),0)</f>
        <v>0</v>
      </c>
      <c r="T83" s="898">
        <f t="shared" si="20"/>
        <v>0</v>
      </c>
      <c r="U83" s="923">
        <f t="shared" si="18"/>
        <v>0</v>
      </c>
      <c r="V83" s="898">
        <f t="shared" si="19"/>
        <v>0</v>
      </c>
      <c r="W83" s="953"/>
      <c r="X83" s="899">
        <f t="shared" si="16"/>
        <v>0</v>
      </c>
      <c r="Y83" s="438"/>
      <c r="Z83" s="482"/>
      <c r="AA83" s="465"/>
      <c r="AB83" s="438"/>
      <c r="AC83" s="438"/>
    </row>
    <row r="84" spans="1:29" s="433" customFormat="1" ht="15.75">
      <c r="A84" s="581"/>
      <c r="B84" s="581">
        <v>16</v>
      </c>
      <c r="C84" s="581" t="s">
        <v>667</v>
      </c>
      <c r="D84" s="581" t="s">
        <v>43</v>
      </c>
      <c r="E84" s="435" t="s">
        <v>58</v>
      </c>
      <c r="F84" s="429"/>
      <c r="G84" s="464"/>
      <c r="H84" s="464">
        <f>IFERROR(#REF!*G84,0)</f>
        <v>0</v>
      </c>
      <c r="I84" s="429"/>
      <c r="J84" s="429"/>
      <c r="K84" s="464"/>
      <c r="L84" s="438"/>
      <c r="M84" s="900">
        <f t="shared" si="13"/>
        <v>0</v>
      </c>
      <c r="N84" s="901">
        <f t="shared" si="17"/>
        <v>0</v>
      </c>
      <c r="O84" s="438">
        <f>IFERROR(LOOKUP(1,0/((印刷機資料庫!$F$47:$F$79=F84)*(印刷機資料庫!$G$47:$G$79=J84)),印刷機資料庫!$J$47:$J$79),0)</f>
        <v>0</v>
      </c>
      <c r="P84" s="462"/>
      <c r="Q84" s="442">
        <f t="shared" si="12"/>
        <v>0</v>
      </c>
      <c r="R84" s="482">
        <f>IFERROR(LOOKUP(1,0/((印刷機資料庫!$F$47:$F$79=F84)*(印刷機資料庫!$G$47:$G$79=J84)),印刷機資料庫!$I$47:$I$79),0)</f>
        <v>0</v>
      </c>
      <c r="S84" s="900">
        <f>IFERROR(LOOKUP(1,0/((印刷機資料庫!$F$47:$F$79=F84)*(印刷機資料庫!$G$47:$G$79=J84)),印刷機資料庫!$K$47:$K$79),0)</f>
        <v>0</v>
      </c>
      <c r="T84" s="898">
        <f t="shared" si="20"/>
        <v>0</v>
      </c>
      <c r="U84" s="923">
        <f t="shared" si="18"/>
        <v>0</v>
      </c>
      <c r="V84" s="898">
        <f t="shared" si="19"/>
        <v>0</v>
      </c>
      <c r="W84" s="953"/>
      <c r="X84" s="899">
        <f t="shared" si="16"/>
        <v>0</v>
      </c>
      <c r="Y84" s="438"/>
      <c r="Z84" s="482"/>
      <c r="AA84" s="465"/>
      <c r="AB84" s="438"/>
      <c r="AC84" s="438"/>
    </row>
    <row r="85" spans="1:29" s="433" customFormat="1" ht="15.75">
      <c r="A85" s="581"/>
      <c r="B85" s="581">
        <v>17</v>
      </c>
      <c r="C85" s="581" t="s">
        <v>669</v>
      </c>
      <c r="D85" s="581" t="s">
        <v>43</v>
      </c>
      <c r="E85" s="435" t="s">
        <v>44</v>
      </c>
      <c r="F85" s="429"/>
      <c r="G85" s="464"/>
      <c r="H85" s="464">
        <f>IFERROR(#REF!*G85,0)</f>
        <v>0</v>
      </c>
      <c r="I85" s="429"/>
      <c r="J85" s="429"/>
      <c r="K85" s="464"/>
      <c r="L85" s="438"/>
      <c r="M85" s="900">
        <f t="shared" si="13"/>
        <v>0</v>
      </c>
      <c r="N85" s="901">
        <f t="shared" si="17"/>
        <v>0</v>
      </c>
      <c r="O85" s="438">
        <f>IFERROR(LOOKUP(1,0/((印刷機資料庫!$F$47:$F$79=F85)*(印刷機資料庫!$G$47:$G$79=J85)),印刷機資料庫!$J$47:$J$79),0)</f>
        <v>0</v>
      </c>
      <c r="P85" s="462"/>
      <c r="Q85" s="442">
        <f t="shared" si="12"/>
        <v>0</v>
      </c>
      <c r="R85" s="482">
        <f>IFERROR(LOOKUP(1,0/((印刷機資料庫!$F$47:$F$79=F85)*(印刷機資料庫!$G$47:$G$79=J85)),印刷機資料庫!$I$47:$I$79),0)</f>
        <v>0</v>
      </c>
      <c r="S85" s="900">
        <f>IFERROR(LOOKUP(1,0/((印刷機資料庫!$F$47:$F$79=F85)*(印刷機資料庫!$G$47:$G$79=J85)),印刷機資料庫!$K$47:$K$79),0)</f>
        <v>0</v>
      </c>
      <c r="T85" s="898">
        <f t="shared" si="20"/>
        <v>0</v>
      </c>
      <c r="U85" s="923">
        <f t="shared" si="18"/>
        <v>0</v>
      </c>
      <c r="V85" s="898">
        <f t="shared" si="19"/>
        <v>0</v>
      </c>
      <c r="W85" s="953"/>
      <c r="X85" s="899">
        <f t="shared" si="16"/>
        <v>0</v>
      </c>
      <c r="Y85" s="438"/>
      <c r="Z85" s="482"/>
      <c r="AA85" s="465"/>
      <c r="AB85" s="438"/>
      <c r="AC85" s="438"/>
    </row>
    <row r="86" spans="1:29" s="433" customFormat="1" ht="15.75">
      <c r="A86" s="581"/>
      <c r="B86" s="581">
        <v>18</v>
      </c>
      <c r="C86" s="581" t="s">
        <v>670</v>
      </c>
      <c r="D86" s="581" t="s">
        <v>43</v>
      </c>
      <c r="E86" s="435" t="s">
        <v>44</v>
      </c>
      <c r="F86" s="429"/>
      <c r="G86" s="464"/>
      <c r="H86" s="464">
        <f>IFERROR(#REF!*G86,0)</f>
        <v>0</v>
      </c>
      <c r="I86" s="429"/>
      <c r="J86" s="429"/>
      <c r="K86" s="464"/>
      <c r="L86" s="438"/>
      <c r="M86" s="900">
        <f t="shared" si="13"/>
        <v>0</v>
      </c>
      <c r="N86" s="901">
        <f t="shared" si="17"/>
        <v>0</v>
      </c>
      <c r="O86" s="438">
        <f>IFERROR(LOOKUP(1,0/((印刷機資料庫!$F$47:$F$79=F86)*(印刷機資料庫!$G$47:$G$79=J86)),印刷機資料庫!$J$47:$J$79),0)</f>
        <v>0</v>
      </c>
      <c r="P86" s="462"/>
      <c r="Q86" s="442">
        <f t="shared" si="12"/>
        <v>0</v>
      </c>
      <c r="R86" s="482">
        <f>IFERROR(LOOKUP(1,0/((印刷機資料庫!$F$47:$F$79=F86)*(印刷機資料庫!$G$47:$G$79=J86)),印刷機資料庫!$I$47:$I$79),0)</f>
        <v>0</v>
      </c>
      <c r="S86" s="900">
        <f>IFERROR(LOOKUP(1,0/((印刷機資料庫!$F$47:$F$79=F86)*(印刷機資料庫!$G$47:$G$79=J86)),印刷機資料庫!$K$47:$K$79),0)</f>
        <v>0</v>
      </c>
      <c r="T86" s="898">
        <f t="shared" si="20"/>
        <v>0</v>
      </c>
      <c r="U86" s="923">
        <f t="shared" si="18"/>
        <v>0</v>
      </c>
      <c r="V86" s="898">
        <f t="shared" si="19"/>
        <v>0</v>
      </c>
      <c r="W86" s="953"/>
      <c r="X86" s="899">
        <f t="shared" si="16"/>
        <v>0</v>
      </c>
      <c r="Y86" s="438"/>
      <c r="Z86" s="482"/>
      <c r="AA86" s="465"/>
      <c r="AB86" s="438"/>
      <c r="AC86" s="438"/>
    </row>
    <row r="87" spans="1:29" s="433" customFormat="1" ht="15.75">
      <c r="A87" s="581"/>
      <c r="B87" s="581">
        <v>19</v>
      </c>
      <c r="C87" s="581" t="s">
        <v>671</v>
      </c>
      <c r="D87" s="581" t="s">
        <v>43</v>
      </c>
      <c r="E87" s="435" t="s">
        <v>44</v>
      </c>
      <c r="F87" s="429"/>
      <c r="G87" s="464"/>
      <c r="H87" s="464">
        <f>IFERROR(#REF!*G87,0)</f>
        <v>0</v>
      </c>
      <c r="I87" s="429"/>
      <c r="J87" s="429"/>
      <c r="K87" s="464"/>
      <c r="L87" s="438"/>
      <c r="M87" s="900">
        <f t="shared" si="13"/>
        <v>0</v>
      </c>
      <c r="N87" s="901">
        <f t="shared" si="17"/>
        <v>0</v>
      </c>
      <c r="O87" s="438">
        <f>IFERROR(LOOKUP(1,0/((印刷機資料庫!$F$47:$F$79=F87)*(印刷機資料庫!$G$47:$G$79=J87)),印刷機資料庫!$J$47:$J$79),0)</f>
        <v>0</v>
      </c>
      <c r="P87" s="462"/>
      <c r="Q87" s="442">
        <f t="shared" si="12"/>
        <v>0</v>
      </c>
      <c r="R87" s="482">
        <f>IFERROR(LOOKUP(1,0/((印刷機資料庫!$F$47:$F$79=F87)*(印刷機資料庫!$G$47:$G$79=J87)),印刷機資料庫!$I$47:$I$79),0)</f>
        <v>0</v>
      </c>
      <c r="S87" s="900">
        <f>IFERROR(LOOKUP(1,0/((印刷機資料庫!$F$47:$F$79=F87)*(印刷機資料庫!$G$47:$G$79=J87)),印刷機資料庫!$K$47:$K$79),0)</f>
        <v>0</v>
      </c>
      <c r="T87" s="898">
        <f t="shared" si="20"/>
        <v>0</v>
      </c>
      <c r="U87" s="923">
        <f t="shared" si="18"/>
        <v>0</v>
      </c>
      <c r="V87" s="898">
        <f t="shared" si="19"/>
        <v>0</v>
      </c>
      <c r="W87" s="953"/>
      <c r="X87" s="899">
        <f t="shared" si="16"/>
        <v>0</v>
      </c>
      <c r="Y87" s="438"/>
      <c r="Z87" s="482"/>
      <c r="AA87" s="465"/>
      <c r="AB87" s="438"/>
      <c r="AC87" s="438"/>
    </row>
    <row r="88" spans="1:29" s="433" customFormat="1" ht="15.75">
      <c r="A88" s="434"/>
      <c r="B88" s="434">
        <v>20</v>
      </c>
      <c r="C88" s="581" t="s">
        <v>672</v>
      </c>
      <c r="D88" s="581" t="s">
        <v>43</v>
      </c>
      <c r="E88" s="435" t="s">
        <v>44</v>
      </c>
      <c r="F88" s="429"/>
      <c r="G88" s="464"/>
      <c r="H88" s="464">
        <f>IFERROR(#REF!*G88,0)</f>
        <v>0</v>
      </c>
      <c r="I88" s="429"/>
      <c r="J88" s="429"/>
      <c r="K88" s="464"/>
      <c r="L88" s="438"/>
      <c r="M88" s="900">
        <f t="shared" si="13"/>
        <v>0</v>
      </c>
      <c r="N88" s="901">
        <f t="shared" si="17"/>
        <v>0</v>
      </c>
      <c r="O88" s="438">
        <f>IFERROR(LOOKUP(1,0/((印刷機資料庫!$F$47:$F$79=F88)*(印刷機資料庫!$G$47:$G$79=J88)),印刷機資料庫!$J$47:$J$79),0)</f>
        <v>0</v>
      </c>
      <c r="P88" s="462"/>
      <c r="Q88" s="442">
        <f t="shared" si="12"/>
        <v>0</v>
      </c>
      <c r="R88" s="482">
        <f>IFERROR(LOOKUP(1,0/((印刷機資料庫!$F$47:$F$79=F88)*(印刷機資料庫!$G$47:$G$79=J88)),印刷機資料庫!$I$47:$I$79),0)</f>
        <v>0</v>
      </c>
      <c r="S88" s="900">
        <f>IFERROR(LOOKUP(1,0/((印刷機資料庫!$F$47:$F$79=F88)*(印刷機資料庫!$G$47:$G$79=J88)),印刷機資料庫!$K$47:$K$79),0)</f>
        <v>0</v>
      </c>
      <c r="T88" s="898">
        <f t="shared" si="20"/>
        <v>0</v>
      </c>
      <c r="U88" s="923">
        <f t="shared" si="18"/>
        <v>0</v>
      </c>
      <c r="V88" s="898">
        <f t="shared" si="19"/>
        <v>0</v>
      </c>
      <c r="W88" s="953"/>
      <c r="X88" s="899">
        <f t="shared" si="16"/>
        <v>0</v>
      </c>
      <c r="Y88" s="438"/>
      <c r="Z88" s="482"/>
      <c r="AA88" s="465"/>
      <c r="AB88" s="438"/>
      <c r="AC88" s="438"/>
    </row>
    <row r="89" spans="1:29" s="433" customFormat="1" ht="15.75">
      <c r="A89" s="434"/>
      <c r="B89" s="434">
        <v>21</v>
      </c>
      <c r="C89" s="581" t="s">
        <v>673</v>
      </c>
      <c r="D89" s="581" t="s">
        <v>43</v>
      </c>
      <c r="E89" s="435" t="s">
        <v>44</v>
      </c>
      <c r="F89" s="429"/>
      <c r="G89" s="464"/>
      <c r="H89" s="464">
        <f>IFERROR(#REF!*G89,0)</f>
        <v>0</v>
      </c>
      <c r="I89" s="429"/>
      <c r="J89" s="429"/>
      <c r="K89" s="464"/>
      <c r="L89" s="438"/>
      <c r="M89" s="900">
        <f t="shared" si="13"/>
        <v>0</v>
      </c>
      <c r="N89" s="901">
        <f t="shared" si="17"/>
        <v>0</v>
      </c>
      <c r="O89" s="438">
        <f>IFERROR(LOOKUP(1,0/((印刷機資料庫!$F$47:$F$79=F89)*(印刷機資料庫!$G$47:$G$79=J89)),印刷機資料庫!$J$47:$J$79),0)</f>
        <v>0</v>
      </c>
      <c r="P89" s="462"/>
      <c r="Q89" s="442">
        <f>IFERROR(P89/(M89+P89),0)</f>
        <v>0</v>
      </c>
      <c r="R89" s="482">
        <f>IFERROR(LOOKUP(1,0/((印刷機資料庫!$F$47:$F$79=F89)*(印刷機資料庫!$G$47:$G$79=J89)),印刷機資料庫!$I$47:$I$79),0)</f>
        <v>0</v>
      </c>
      <c r="S89" s="900">
        <f>IFERROR(LOOKUP(1,0/((印刷機資料庫!$F$47:$F$79=F89)*(印刷機資料庫!$G$47:$G$79=J89)),印刷機資料庫!$K$47:$K$79),0)</f>
        <v>0</v>
      </c>
      <c r="T89" s="898">
        <f t="shared" si="20"/>
        <v>0</v>
      </c>
      <c r="U89" s="923">
        <f t="shared" si="18"/>
        <v>0</v>
      </c>
      <c r="V89" s="898">
        <f t="shared" si="19"/>
        <v>0</v>
      </c>
      <c r="W89" s="953"/>
      <c r="X89" s="899">
        <f t="shared" si="16"/>
        <v>0</v>
      </c>
      <c r="Y89" s="438"/>
      <c r="Z89" s="482"/>
      <c r="AA89" s="465"/>
      <c r="AB89" s="438"/>
      <c r="AC89" s="438"/>
    </row>
    <row r="90" spans="1:29" s="433" customFormat="1" ht="15.75">
      <c r="A90" s="434"/>
      <c r="B90" s="434">
        <v>22</v>
      </c>
      <c r="C90" s="581" t="s">
        <v>632</v>
      </c>
      <c r="D90" s="581" t="s">
        <v>43</v>
      </c>
      <c r="E90" s="435" t="s">
        <v>44</v>
      </c>
      <c r="F90" s="429"/>
      <c r="G90" s="464"/>
      <c r="H90" s="464">
        <f>IFERROR(#REF!*G90,0)</f>
        <v>0</v>
      </c>
      <c r="I90" s="429"/>
      <c r="J90" s="429"/>
      <c r="K90" s="464"/>
      <c r="L90" s="438"/>
      <c r="M90" s="900">
        <f t="shared" si="13"/>
        <v>0</v>
      </c>
      <c r="N90" s="901">
        <f t="shared" si="17"/>
        <v>0</v>
      </c>
      <c r="O90" s="438">
        <f>IFERROR(LOOKUP(1,0/((印刷機資料庫!$F$47:$F$79=F90)*(印刷機資料庫!$G$47:$G$79=J90)),印刷機資料庫!$J$47:$J$79),0)</f>
        <v>0</v>
      </c>
      <c r="P90" s="462"/>
      <c r="Q90" s="442">
        <f t="shared" ref="Q90:Q99" si="21">IFERROR(P90/(M90+P90),0)</f>
        <v>0</v>
      </c>
      <c r="R90" s="482">
        <f>IFERROR(LOOKUP(1,0/((印刷機資料庫!$F$47:$F$79=F90)*(印刷機資料庫!$G$47:$G$79=J90)),印刷機資料庫!$I$47:$I$79),0)</f>
        <v>0</v>
      </c>
      <c r="S90" s="900">
        <f>IFERROR(LOOKUP(1,0/((印刷機資料庫!$F$47:$F$79=F90)*(印刷機資料庫!$G$47:$G$79=J90)),印刷機資料庫!$K$47:$K$79),0)</f>
        <v>0</v>
      </c>
      <c r="T90" s="898">
        <f t="shared" si="20"/>
        <v>0</v>
      </c>
      <c r="U90" s="923">
        <f t="shared" si="18"/>
        <v>0</v>
      </c>
      <c r="V90" s="898">
        <f t="shared" si="19"/>
        <v>0</v>
      </c>
      <c r="W90" s="953"/>
      <c r="X90" s="899">
        <f t="shared" si="16"/>
        <v>0</v>
      </c>
      <c r="Y90" s="438"/>
      <c r="Z90" s="482"/>
      <c r="AA90" s="465"/>
      <c r="AB90" s="438"/>
      <c r="AC90" s="438"/>
    </row>
    <row r="91" spans="1:29" s="433" customFormat="1" ht="15.75">
      <c r="A91" s="434"/>
      <c r="B91" s="434">
        <v>23</v>
      </c>
      <c r="C91" s="581" t="s">
        <v>667</v>
      </c>
      <c r="D91" s="581" t="s">
        <v>43</v>
      </c>
      <c r="E91" s="435" t="s">
        <v>42</v>
      </c>
      <c r="F91" s="429"/>
      <c r="G91" s="464"/>
      <c r="H91" s="464">
        <f>IFERROR(#REF!*G91,0)</f>
        <v>0</v>
      </c>
      <c r="I91" s="429"/>
      <c r="J91" s="429"/>
      <c r="K91" s="464"/>
      <c r="L91" s="438"/>
      <c r="M91" s="900">
        <f t="shared" si="13"/>
        <v>0</v>
      </c>
      <c r="N91" s="901">
        <f t="shared" si="17"/>
        <v>0</v>
      </c>
      <c r="O91" s="438">
        <f>IFERROR(LOOKUP(1,0/((印刷機資料庫!$F$47:$F$79=F91)*(印刷機資料庫!$G$47:$G$79=J91)),印刷機資料庫!$J$47:$J$79),0)</f>
        <v>0</v>
      </c>
      <c r="P91" s="462"/>
      <c r="Q91" s="442">
        <f t="shared" si="21"/>
        <v>0</v>
      </c>
      <c r="R91" s="482">
        <f>IFERROR(LOOKUP(1,0/((印刷機資料庫!$F$47:$F$79=F91)*(印刷機資料庫!$G$47:$G$79=J91)),印刷機資料庫!$I$47:$I$79),0)</f>
        <v>0</v>
      </c>
      <c r="S91" s="900">
        <f>IFERROR(LOOKUP(1,0/((印刷機資料庫!$F$47:$F$79=F91)*(印刷機資料庫!$G$47:$G$79=J91)),印刷機資料庫!$K$47:$K$79),0)</f>
        <v>0</v>
      </c>
      <c r="T91" s="898">
        <f t="shared" si="20"/>
        <v>0</v>
      </c>
      <c r="U91" s="923">
        <f t="shared" si="18"/>
        <v>0</v>
      </c>
      <c r="V91" s="898">
        <f t="shared" si="19"/>
        <v>0</v>
      </c>
      <c r="W91" s="953"/>
      <c r="X91" s="899">
        <f t="shared" si="16"/>
        <v>0</v>
      </c>
      <c r="Y91" s="438"/>
      <c r="Z91" s="482"/>
      <c r="AA91" s="465"/>
      <c r="AB91" s="438"/>
      <c r="AC91" s="438"/>
    </row>
    <row r="92" spans="1:29" s="433" customFormat="1" ht="15.75">
      <c r="A92" s="434"/>
      <c r="B92" s="434">
        <v>24</v>
      </c>
      <c r="C92" s="581" t="s">
        <v>669</v>
      </c>
      <c r="D92" s="581" t="s">
        <v>43</v>
      </c>
      <c r="E92" s="435" t="s">
        <v>42</v>
      </c>
      <c r="F92" s="429"/>
      <c r="G92" s="464"/>
      <c r="H92" s="464">
        <f>IFERROR(#REF!*G92,0)</f>
        <v>0</v>
      </c>
      <c r="I92" s="429"/>
      <c r="J92" s="429"/>
      <c r="K92" s="464"/>
      <c r="L92" s="438"/>
      <c r="M92" s="900">
        <f t="shared" si="13"/>
        <v>0</v>
      </c>
      <c r="N92" s="901">
        <f t="shared" si="17"/>
        <v>0</v>
      </c>
      <c r="O92" s="438">
        <f>IFERROR(LOOKUP(1,0/((印刷機資料庫!$F$47:$F$79=F92)*(印刷機資料庫!$G$47:$G$79=J92)),印刷機資料庫!$J$47:$J$79),0)</f>
        <v>0</v>
      </c>
      <c r="P92" s="462"/>
      <c r="Q92" s="442">
        <f t="shared" si="21"/>
        <v>0</v>
      </c>
      <c r="R92" s="482">
        <f>IFERROR(LOOKUP(1,0/((印刷機資料庫!$F$47:$F$79=F92)*(印刷機資料庫!$G$47:$G$79=J92)),印刷機資料庫!$I$47:$I$79),0)</f>
        <v>0</v>
      </c>
      <c r="S92" s="900">
        <f>IFERROR(LOOKUP(1,0/((印刷機資料庫!$F$47:$F$79=F92)*(印刷機資料庫!$G$47:$G$79=J92)),印刷機資料庫!$K$47:$K$79),0)</f>
        <v>0</v>
      </c>
      <c r="T92" s="898">
        <f t="shared" si="20"/>
        <v>0</v>
      </c>
      <c r="U92" s="923">
        <f t="shared" si="18"/>
        <v>0</v>
      </c>
      <c r="V92" s="898">
        <f t="shared" si="19"/>
        <v>0</v>
      </c>
      <c r="W92" s="953"/>
      <c r="X92" s="899">
        <f t="shared" si="16"/>
        <v>0</v>
      </c>
      <c r="Y92" s="438"/>
      <c r="Z92" s="482"/>
      <c r="AA92" s="465"/>
      <c r="AB92" s="438"/>
      <c r="AC92" s="438"/>
    </row>
    <row r="93" spans="1:29" s="433" customFormat="1" ht="15.75">
      <c r="A93" s="434"/>
      <c r="B93" s="434">
        <v>25</v>
      </c>
      <c r="C93" s="581" t="s">
        <v>670</v>
      </c>
      <c r="D93" s="581" t="s">
        <v>43</v>
      </c>
      <c r="E93" s="435" t="s">
        <v>42</v>
      </c>
      <c r="F93" s="429"/>
      <c r="G93" s="464"/>
      <c r="H93" s="464">
        <f>IFERROR(#REF!*G93,0)</f>
        <v>0</v>
      </c>
      <c r="I93" s="429"/>
      <c r="J93" s="429"/>
      <c r="K93" s="464"/>
      <c r="L93" s="438"/>
      <c r="M93" s="900">
        <f t="shared" si="13"/>
        <v>0</v>
      </c>
      <c r="N93" s="901">
        <f t="shared" si="17"/>
        <v>0</v>
      </c>
      <c r="O93" s="438">
        <f>IFERROR(LOOKUP(1,0/((印刷機資料庫!$F$47:$F$79=F93)*(印刷機資料庫!$G$47:$G$79=J93)),印刷機資料庫!$J$47:$J$79),0)</f>
        <v>0</v>
      </c>
      <c r="P93" s="462"/>
      <c r="Q93" s="442">
        <f t="shared" si="21"/>
        <v>0</v>
      </c>
      <c r="R93" s="482">
        <f>IFERROR(LOOKUP(1,0/((印刷機資料庫!$F$47:$F$79=F93)*(印刷機資料庫!$G$47:$G$79=J93)),印刷機資料庫!$I$47:$I$79),0)</f>
        <v>0</v>
      </c>
      <c r="S93" s="900">
        <f>IFERROR(LOOKUP(1,0/((印刷機資料庫!$F$47:$F$79=F93)*(印刷機資料庫!$G$47:$G$79=J93)),印刷機資料庫!$K$47:$K$79),0)</f>
        <v>0</v>
      </c>
      <c r="T93" s="898">
        <f t="shared" si="20"/>
        <v>0</v>
      </c>
      <c r="U93" s="923">
        <f t="shared" si="18"/>
        <v>0</v>
      </c>
      <c r="V93" s="898">
        <f t="shared" si="19"/>
        <v>0</v>
      </c>
      <c r="W93" s="953"/>
      <c r="X93" s="899">
        <f t="shared" si="16"/>
        <v>0</v>
      </c>
      <c r="Y93" s="438"/>
      <c r="Z93" s="482"/>
      <c r="AA93" s="465"/>
      <c r="AB93" s="438"/>
      <c r="AC93" s="438"/>
    </row>
    <row r="94" spans="1:29" s="433" customFormat="1" ht="15.75">
      <c r="A94" s="434"/>
      <c r="B94" s="434">
        <v>26</v>
      </c>
      <c r="C94" s="581" t="s">
        <v>671</v>
      </c>
      <c r="D94" s="581" t="s">
        <v>43</v>
      </c>
      <c r="E94" s="435" t="s">
        <v>42</v>
      </c>
      <c r="F94" s="429"/>
      <c r="G94" s="464"/>
      <c r="H94" s="464">
        <f>IFERROR(#REF!*G94,0)</f>
        <v>0</v>
      </c>
      <c r="I94" s="429"/>
      <c r="J94" s="429"/>
      <c r="K94" s="464"/>
      <c r="L94" s="438"/>
      <c r="M94" s="900">
        <f t="shared" si="13"/>
        <v>0</v>
      </c>
      <c r="N94" s="901">
        <f t="shared" si="17"/>
        <v>0</v>
      </c>
      <c r="O94" s="438">
        <f>IFERROR(LOOKUP(1,0/((印刷機資料庫!$F$47:$F$79=F94)*(印刷機資料庫!$G$47:$G$79=J94)),印刷機資料庫!$J$47:$J$79),0)</f>
        <v>0</v>
      </c>
      <c r="P94" s="462"/>
      <c r="Q94" s="444">
        <f t="shared" si="21"/>
        <v>0</v>
      </c>
      <c r="R94" s="482">
        <f>IFERROR(LOOKUP(1,0/((印刷機資料庫!$F$47:$F$79=F94)*(印刷機資料庫!$G$47:$G$79=J94)),印刷機資料庫!$I$47:$I$79),0)</f>
        <v>0</v>
      </c>
      <c r="S94" s="900">
        <f>IFERROR(LOOKUP(1,0/((印刷機資料庫!$F$47:$F$79=F94)*(印刷機資料庫!$G$47:$G$79=J94)),印刷機資料庫!$K$47:$K$79),0)</f>
        <v>0</v>
      </c>
      <c r="T94" s="898">
        <f t="shared" si="20"/>
        <v>0</v>
      </c>
      <c r="U94" s="923">
        <f t="shared" si="18"/>
        <v>0</v>
      </c>
      <c r="V94" s="898">
        <f t="shared" si="19"/>
        <v>0</v>
      </c>
      <c r="W94" s="953"/>
      <c r="X94" s="899">
        <f t="shared" si="16"/>
        <v>0</v>
      </c>
      <c r="Y94" s="438"/>
      <c r="Z94" s="482"/>
      <c r="AA94" s="465"/>
      <c r="AB94" s="438"/>
      <c r="AC94" s="438"/>
    </row>
    <row r="95" spans="1:29" s="433" customFormat="1" ht="15.75">
      <c r="A95" s="434"/>
      <c r="B95" s="434">
        <v>27</v>
      </c>
      <c r="C95" s="581" t="s">
        <v>672</v>
      </c>
      <c r="D95" s="581" t="s">
        <v>43</v>
      </c>
      <c r="E95" s="435" t="s">
        <v>44</v>
      </c>
      <c r="F95" s="429"/>
      <c r="G95" s="464"/>
      <c r="H95" s="464">
        <f>IFERROR(#REF!*G95,0)</f>
        <v>0</v>
      </c>
      <c r="I95" s="429"/>
      <c r="J95" s="429"/>
      <c r="K95" s="464"/>
      <c r="L95" s="438"/>
      <c r="M95" s="900">
        <f t="shared" si="13"/>
        <v>0</v>
      </c>
      <c r="N95" s="901">
        <f t="shared" si="17"/>
        <v>0</v>
      </c>
      <c r="O95" s="438">
        <f>IFERROR(LOOKUP(1,0/((印刷機資料庫!$F$47:$F$79=F95)*(印刷機資料庫!$G$47:$G$79=J95)),印刷機資料庫!$J$47:$J$79),0)</f>
        <v>0</v>
      </c>
      <c r="P95" s="462"/>
      <c r="Q95" s="442">
        <f t="shared" si="21"/>
        <v>0</v>
      </c>
      <c r="R95" s="482">
        <f>IFERROR(LOOKUP(1,0/((印刷機資料庫!$F$47:$F$79=F95)*(印刷機資料庫!$G$47:$G$79=J95)),印刷機資料庫!$I$47:$I$79),0)</f>
        <v>0</v>
      </c>
      <c r="S95" s="900">
        <f>IFERROR(LOOKUP(1,0/((印刷機資料庫!$F$47:$F$79=F95)*(印刷機資料庫!$G$47:$G$79=J95)),印刷機資料庫!$K$47:$K$79),0)</f>
        <v>0</v>
      </c>
      <c r="T95" s="898">
        <f t="shared" si="20"/>
        <v>0</v>
      </c>
      <c r="U95" s="923">
        <f t="shared" si="18"/>
        <v>0</v>
      </c>
      <c r="V95" s="898">
        <f t="shared" si="19"/>
        <v>0</v>
      </c>
      <c r="W95" s="953"/>
      <c r="X95" s="899">
        <f t="shared" si="16"/>
        <v>0</v>
      </c>
      <c r="Y95" s="438"/>
      <c r="Z95" s="482"/>
      <c r="AA95" s="465"/>
      <c r="AB95" s="438"/>
      <c r="AC95" s="438"/>
    </row>
    <row r="96" spans="1:29" s="433" customFormat="1" ht="15.75">
      <c r="A96" s="434"/>
      <c r="B96" s="434">
        <v>28</v>
      </c>
      <c r="C96" s="581" t="s">
        <v>673</v>
      </c>
      <c r="D96" s="581" t="s">
        <v>43</v>
      </c>
      <c r="E96" s="435" t="s">
        <v>44</v>
      </c>
      <c r="F96" s="429"/>
      <c r="G96" s="464"/>
      <c r="H96" s="464">
        <f>IFERROR(#REF!*G96,0)</f>
        <v>0</v>
      </c>
      <c r="I96" s="429"/>
      <c r="J96" s="429"/>
      <c r="K96" s="464"/>
      <c r="L96" s="438"/>
      <c r="M96" s="900">
        <f t="shared" si="13"/>
        <v>0</v>
      </c>
      <c r="N96" s="901">
        <f t="shared" si="17"/>
        <v>0</v>
      </c>
      <c r="O96" s="438">
        <f>IFERROR(LOOKUP(1,0/((印刷機資料庫!$F$47:$F$79=F96)*(印刷機資料庫!$G$47:$G$79=J96)),印刷機資料庫!$J$47:$J$79),0)</f>
        <v>0</v>
      </c>
      <c r="P96" s="462"/>
      <c r="Q96" s="442">
        <f t="shared" si="21"/>
        <v>0</v>
      </c>
      <c r="R96" s="482">
        <f>IFERROR(LOOKUP(1,0/((印刷機資料庫!$F$47:$F$79=F96)*(印刷機資料庫!$G$47:$G$79=J96)),印刷機資料庫!$I$47:$I$79),0)</f>
        <v>0</v>
      </c>
      <c r="S96" s="900">
        <f>IFERROR(LOOKUP(1,0/((印刷機資料庫!$F$47:$F$79=F96)*(印刷機資料庫!$G$47:$G$79=J96)),印刷機資料庫!$K$47:$K$79),0)</f>
        <v>0</v>
      </c>
      <c r="T96" s="898">
        <f t="shared" si="20"/>
        <v>0</v>
      </c>
      <c r="U96" s="923">
        <f t="shared" si="18"/>
        <v>0</v>
      </c>
      <c r="V96" s="898">
        <f t="shared" si="19"/>
        <v>0</v>
      </c>
      <c r="W96" s="953"/>
      <c r="X96" s="899">
        <f t="shared" si="16"/>
        <v>0</v>
      </c>
      <c r="Y96" s="438"/>
      <c r="Z96" s="482"/>
      <c r="AA96" s="465"/>
      <c r="AB96" s="438"/>
      <c r="AC96" s="438"/>
    </row>
    <row r="97" spans="1:29" s="433" customFormat="1" ht="15.75">
      <c r="A97" s="434"/>
      <c r="B97" s="434">
        <v>29</v>
      </c>
      <c r="C97" s="581" t="s">
        <v>632</v>
      </c>
      <c r="D97" s="581" t="s">
        <v>43</v>
      </c>
      <c r="E97" s="435" t="s">
        <v>58</v>
      </c>
      <c r="F97" s="429"/>
      <c r="G97" s="464"/>
      <c r="H97" s="464">
        <f>IFERROR(#REF!*G97,0)</f>
        <v>0</v>
      </c>
      <c r="I97" s="429"/>
      <c r="J97" s="429"/>
      <c r="K97" s="464"/>
      <c r="L97" s="438"/>
      <c r="M97" s="900">
        <f t="shared" si="13"/>
        <v>0</v>
      </c>
      <c r="N97" s="901">
        <f t="shared" si="17"/>
        <v>0</v>
      </c>
      <c r="O97" s="438">
        <f>IFERROR(LOOKUP(1,0/((印刷機資料庫!$F$47:$F$79=F97)*(印刷機資料庫!$G$47:$G$79=J97)),印刷機資料庫!$J$47:$J$79),0)</f>
        <v>0</v>
      </c>
      <c r="P97" s="462"/>
      <c r="Q97" s="442">
        <f t="shared" si="21"/>
        <v>0</v>
      </c>
      <c r="R97" s="482">
        <f>IFERROR(LOOKUP(1,0/((印刷機資料庫!$F$47:$F$79=F97)*(印刷機資料庫!$G$47:$G$79=J97)),印刷機資料庫!$I$47:$I$79),0)</f>
        <v>0</v>
      </c>
      <c r="S97" s="900">
        <f>IFERROR(LOOKUP(1,0/((印刷機資料庫!$F$47:$F$79=F97)*(印刷機資料庫!$G$47:$G$79=J97)),印刷機資料庫!$K$47:$K$79),0)</f>
        <v>0</v>
      </c>
      <c r="T97" s="898">
        <f t="shared" si="20"/>
        <v>0</v>
      </c>
      <c r="U97" s="923">
        <f t="shared" si="18"/>
        <v>0</v>
      </c>
      <c r="V97" s="898">
        <f t="shared" si="19"/>
        <v>0</v>
      </c>
      <c r="W97" s="953"/>
      <c r="X97" s="899">
        <f t="shared" si="16"/>
        <v>0</v>
      </c>
      <c r="Y97" s="438"/>
      <c r="Z97" s="482"/>
      <c r="AA97" s="465"/>
      <c r="AB97" s="438"/>
      <c r="AC97" s="438"/>
    </row>
    <row r="98" spans="1:29" s="433" customFormat="1" ht="15.75">
      <c r="A98" s="434"/>
      <c r="B98" s="434">
        <v>30</v>
      </c>
      <c r="C98" s="581" t="s">
        <v>667</v>
      </c>
      <c r="D98" s="581" t="s">
        <v>43</v>
      </c>
      <c r="E98" s="435" t="s">
        <v>58</v>
      </c>
      <c r="F98" s="429"/>
      <c r="G98" s="464"/>
      <c r="H98" s="464">
        <f>IFERROR(#REF!*G98,0)</f>
        <v>0</v>
      </c>
      <c r="I98" s="429"/>
      <c r="J98" s="429"/>
      <c r="K98" s="464"/>
      <c r="L98" s="438"/>
      <c r="M98" s="900">
        <f t="shared" si="13"/>
        <v>0</v>
      </c>
      <c r="N98" s="901">
        <f t="shared" si="17"/>
        <v>0</v>
      </c>
      <c r="O98" s="438">
        <f>IFERROR(LOOKUP(1,0/((印刷機資料庫!$F$47:$F$79=F98)*(印刷機資料庫!$G$47:$G$79=J98)),印刷機資料庫!$J$47:$J$79),0)</f>
        <v>0</v>
      </c>
      <c r="P98" s="462"/>
      <c r="Q98" s="442">
        <f t="shared" si="21"/>
        <v>0</v>
      </c>
      <c r="R98" s="482">
        <f>IFERROR(LOOKUP(1,0/((印刷機資料庫!$F$47:$F$79=F98)*(印刷機資料庫!$G$47:$G$79=J98)),印刷機資料庫!$I$47:$I$79),0)</f>
        <v>0</v>
      </c>
      <c r="S98" s="900">
        <f>IFERROR(LOOKUP(1,0/((印刷機資料庫!$F$47:$F$79=F98)*(印刷機資料庫!$G$47:$G$79=J98)),印刷機資料庫!$K$47:$K$79),0)</f>
        <v>0</v>
      </c>
      <c r="T98" s="898">
        <f>IFERROR(L98/S98,0)</f>
        <v>0</v>
      </c>
      <c r="U98" s="923">
        <f t="shared" si="18"/>
        <v>0</v>
      </c>
      <c r="V98" s="898">
        <f t="shared" si="19"/>
        <v>0</v>
      </c>
      <c r="W98" s="953"/>
      <c r="X98" s="899">
        <f t="shared" si="16"/>
        <v>0</v>
      </c>
      <c r="Y98" s="438"/>
      <c r="Z98" s="482"/>
      <c r="AA98" s="465"/>
      <c r="AB98" s="438"/>
      <c r="AC98" s="539"/>
    </row>
    <row r="99" spans="1:29" s="433" customFormat="1" ht="15.75">
      <c r="A99" s="434"/>
      <c r="B99" s="434"/>
      <c r="C99" s="581"/>
      <c r="D99" s="581"/>
      <c r="E99" s="435"/>
      <c r="F99" s="429"/>
      <c r="G99" s="464"/>
      <c r="H99" s="464">
        <f>IFERROR(#REF!*G99,0)</f>
        <v>0</v>
      </c>
      <c r="I99" s="429"/>
      <c r="J99" s="429"/>
      <c r="K99" s="464"/>
      <c r="L99" s="438"/>
      <c r="M99" s="900">
        <f t="shared" si="13"/>
        <v>0</v>
      </c>
      <c r="N99" s="901">
        <f t="shared" si="17"/>
        <v>0</v>
      </c>
      <c r="O99" s="438">
        <f>IFERROR(LOOKUP(1,0/((印刷機資料庫!$F$47:$F$79=F99)*(印刷機資料庫!$G$47:$G$79=J99)),印刷機資料庫!$J$47:$J$79),0)</f>
        <v>0</v>
      </c>
      <c r="P99" s="462"/>
      <c r="Q99" s="442">
        <f t="shared" si="21"/>
        <v>0</v>
      </c>
      <c r="R99" s="482">
        <f>IFERROR(LOOKUP(1,0/((印刷機資料庫!$F$47:$F$79=F99)*(印刷機資料庫!$G$47:$G$79=J99)),印刷機資料庫!$I$47:$I$79),0)</f>
        <v>0</v>
      </c>
      <c r="S99" s="900">
        <f>IFERROR(LOOKUP(1,0/((印刷機資料庫!$F$47:$F$79=F99)*(印刷機資料庫!$G$47:$G$79=J99)),印刷機資料庫!$K$47:$K$79),0)</f>
        <v>0</v>
      </c>
      <c r="T99" s="898">
        <f>IFERROR(L99/S99,0)</f>
        <v>0</v>
      </c>
      <c r="U99" s="923">
        <f t="shared" si="18"/>
        <v>0</v>
      </c>
      <c r="V99" s="898">
        <f t="shared" si="19"/>
        <v>0</v>
      </c>
      <c r="W99" s="953"/>
      <c r="X99" s="899">
        <f t="shared" si="16"/>
        <v>0</v>
      </c>
      <c r="Y99" s="438"/>
      <c r="Z99" s="482"/>
      <c r="AA99" s="465"/>
      <c r="AB99" s="438"/>
      <c r="AC99" s="539"/>
    </row>
    <row r="100" spans="1:29" s="433" customFormat="1" ht="15.75">
      <c r="A100" s="446"/>
      <c r="B100" s="446"/>
      <c r="C100" s="456"/>
      <c r="D100" s="456"/>
      <c r="E100" s="448"/>
      <c r="F100" s="452"/>
      <c r="G100" s="452"/>
      <c r="H100" s="430"/>
      <c r="I100" s="469"/>
      <c r="J100" s="518"/>
      <c r="K100" s="452"/>
      <c r="L100" s="439"/>
      <c r="M100" s="945"/>
      <c r="N100" s="946"/>
      <c r="O100" s="467"/>
      <c r="P100" s="467"/>
      <c r="Q100" s="869"/>
      <c r="R100" s="470"/>
      <c r="S100" s="945"/>
      <c r="T100" s="869"/>
      <c r="U100" s="869"/>
      <c r="V100" s="869"/>
      <c r="W100" s="957"/>
      <c r="X100" s="869"/>
      <c r="Y100" s="869"/>
      <c r="Z100" s="869"/>
      <c r="AA100" s="869"/>
      <c r="AB100" s="869"/>
      <c r="AC100" s="869"/>
    </row>
    <row r="101" spans="1:29" s="433" customFormat="1" ht="15.75">
      <c r="A101" s="446"/>
      <c r="B101" s="446"/>
      <c r="C101" s="456"/>
      <c r="D101" s="456"/>
      <c r="E101" s="448"/>
      <c r="F101" s="452"/>
      <c r="G101" s="452"/>
      <c r="H101" s="430"/>
      <c r="I101" s="469"/>
      <c r="J101" s="518"/>
      <c r="K101" s="452"/>
      <c r="L101" s="439"/>
      <c r="M101" s="945"/>
      <c r="N101" s="946"/>
      <c r="O101" s="467"/>
      <c r="P101" s="467"/>
      <c r="Q101" s="869"/>
      <c r="R101" s="470"/>
      <c r="S101" s="945"/>
      <c r="T101" s="869"/>
      <c r="U101" s="869"/>
      <c r="V101" s="869"/>
      <c r="W101" s="957"/>
      <c r="X101" s="869"/>
      <c r="Y101" s="869"/>
      <c r="Z101" s="869"/>
      <c r="AA101" s="869"/>
      <c r="AB101" s="869"/>
      <c r="AC101" s="869"/>
    </row>
    <row r="102" spans="1:29" s="433" customFormat="1" thickBot="1">
      <c r="A102" s="446"/>
      <c r="B102" s="446"/>
      <c r="C102" s="446"/>
      <c r="D102" s="446"/>
      <c r="E102" s="448"/>
      <c r="F102" s="430"/>
      <c r="G102" s="430"/>
      <c r="H102" s="430"/>
      <c r="I102" s="469"/>
      <c r="J102" s="518"/>
      <c r="K102" s="439"/>
      <c r="L102" s="439"/>
      <c r="M102" s="452"/>
      <c r="N102" s="457"/>
      <c r="O102" s="467"/>
      <c r="P102" s="467"/>
      <c r="Q102" s="457"/>
      <c r="R102" s="470"/>
      <c r="S102" s="458"/>
      <c r="T102" s="487">
        <f>SUM(T69:T99)</f>
        <v>0</v>
      </c>
      <c r="U102" s="925"/>
      <c r="V102" s="487"/>
      <c r="W102" s="956"/>
      <c r="X102" s="487"/>
      <c r="Y102" s="489"/>
      <c r="Z102" s="489"/>
      <c r="AA102" s="469" t="s">
        <v>46</v>
      </c>
      <c r="AB102" s="439"/>
      <c r="AC102" s="439"/>
    </row>
    <row r="103" spans="1:29" s="469" customFormat="1" ht="15.75">
      <c r="A103" s="479"/>
      <c r="B103" s="479"/>
      <c r="C103" s="479"/>
      <c r="D103" s="479"/>
      <c r="E103" s="452"/>
      <c r="F103" s="517"/>
      <c r="G103" s="525" t="s">
        <v>631</v>
      </c>
      <c r="H103" s="518"/>
      <c r="J103" s="518"/>
      <c r="K103" s="1842" t="s">
        <v>1349</v>
      </c>
      <c r="L103" s="525" t="s">
        <v>536</v>
      </c>
      <c r="M103" s="525" t="s">
        <v>630</v>
      </c>
      <c r="N103" s="526" t="s">
        <v>458</v>
      </c>
      <c r="O103" s="521"/>
      <c r="P103" s="524" t="s">
        <v>537</v>
      </c>
      <c r="Q103" s="524" t="s">
        <v>455</v>
      </c>
      <c r="R103" s="520"/>
      <c r="S103" s="524" t="s">
        <v>1284</v>
      </c>
      <c r="T103" s="524" t="s">
        <v>459</v>
      </c>
      <c r="U103" s="520"/>
      <c r="V103" s="524" t="s">
        <v>1345</v>
      </c>
      <c r="W103" s="524" t="s">
        <v>1350</v>
      </c>
      <c r="X103" s="524" t="s">
        <v>1351</v>
      </c>
      <c r="Y103" s="524" t="s">
        <v>1353</v>
      </c>
      <c r="Z103" s="524" t="s">
        <v>1352</v>
      </c>
      <c r="AA103" s="469" t="s">
        <v>253</v>
      </c>
      <c r="AB103" s="452"/>
      <c r="AC103" s="452"/>
    </row>
    <row r="104" spans="1:29" thickBot="1">
      <c r="G104" s="522">
        <f>SUM(H69:H98)</f>
        <v>0</v>
      </c>
      <c r="H104" s="431"/>
      <c r="I104" s="431"/>
      <c r="J104" s="431"/>
      <c r="K104" s="1843"/>
      <c r="L104" s="522">
        <f>SUM(L69:L99)</f>
        <v>0</v>
      </c>
      <c r="M104" s="522">
        <f>SUM(M69:M99)</f>
        <v>0</v>
      </c>
      <c r="N104" s="523">
        <f>SUM(N69:N99)</f>
        <v>0</v>
      </c>
      <c r="P104" s="523">
        <f>SUM(P69:P99)</f>
        <v>0</v>
      </c>
      <c r="Q104" s="897" t="e">
        <f>P104/(M104+P104)</f>
        <v>#DIV/0!</v>
      </c>
      <c r="S104" s="686" t="e">
        <f>L104/T104</f>
        <v>#DIV/0!</v>
      </c>
      <c r="T104" s="898" t="e">
        <f>T102/W104</f>
        <v>#DIV/0!</v>
      </c>
      <c r="U104" s="455"/>
      <c r="V104" s="516">
        <v>21</v>
      </c>
      <c r="W104" s="958">
        <f>SUM(W69:W99)</f>
        <v>0</v>
      </c>
      <c r="X104" s="516">
        <f>SUM(X69:X99)</f>
        <v>0</v>
      </c>
      <c r="Y104" s="516">
        <f>W104-X104</f>
        <v>0</v>
      </c>
      <c r="Z104" s="896" t="e">
        <f>X104/W104</f>
        <v>#DIV/0!</v>
      </c>
    </row>
    <row r="105" spans="1:29" ht="21">
      <c r="N105" s="472"/>
      <c r="T105" s="941"/>
    </row>
  </sheetData>
  <sheetProtection formatCells="0" formatColumns="0" formatRows="0" insertColumns="0" insertRows="0" insertHyperlinks="0" deleteColumns="0" deleteRows="0" sort="0" autoFilter="0" pivotTables="0"/>
  <mergeCells count="59">
    <mergeCell ref="P67:P68"/>
    <mergeCell ref="K103:K104"/>
    <mergeCell ref="W67:W68"/>
    <mergeCell ref="X67:X68"/>
    <mergeCell ref="Y67:Z67"/>
    <mergeCell ref="K67:K68"/>
    <mergeCell ref="L67:L68"/>
    <mergeCell ref="M67:M68"/>
    <mergeCell ref="N67:N68"/>
    <mergeCell ref="O67:O68"/>
    <mergeCell ref="G67:G68"/>
    <mergeCell ref="H67:H68"/>
    <mergeCell ref="I67:I68"/>
    <mergeCell ref="F67:F68"/>
    <mergeCell ref="J67:J68"/>
    <mergeCell ref="AC2:AC3"/>
    <mergeCell ref="K63:K64"/>
    <mergeCell ref="X2:X3"/>
    <mergeCell ref="Y2:Z2"/>
    <mergeCell ref="M2:M3"/>
    <mergeCell ref="T2:T3"/>
    <mergeCell ref="U2:U3"/>
    <mergeCell ref="V2:V3"/>
    <mergeCell ref="W2:W3"/>
    <mergeCell ref="N2:N3"/>
    <mergeCell ref="O2:O3"/>
    <mergeCell ref="P2:P3"/>
    <mergeCell ref="Q2:Q3"/>
    <mergeCell ref="R2:R3"/>
    <mergeCell ref="AC67:AC68"/>
    <mergeCell ref="Q67:Q68"/>
    <mergeCell ref="R67:R68"/>
    <mergeCell ref="S67:S68"/>
    <mergeCell ref="T67:T68"/>
    <mergeCell ref="U67:U68"/>
    <mergeCell ref="V67:V68"/>
    <mergeCell ref="AB67:AB68"/>
    <mergeCell ref="AA67:AA68"/>
    <mergeCell ref="A67:A68"/>
    <mergeCell ref="B67:B68"/>
    <mergeCell ref="C67:C68"/>
    <mergeCell ref="D67:D68"/>
    <mergeCell ref="E67:E68"/>
    <mergeCell ref="A1:AC1"/>
    <mergeCell ref="A2:A3"/>
    <mergeCell ref="B2:B3"/>
    <mergeCell ref="C2:C3"/>
    <mergeCell ref="D2:D3"/>
    <mergeCell ref="E2:E3"/>
    <mergeCell ref="G2:G3"/>
    <mergeCell ref="H2:H3"/>
    <mergeCell ref="S2:S3"/>
    <mergeCell ref="I2:I3"/>
    <mergeCell ref="F2:F3"/>
    <mergeCell ref="J2:J3"/>
    <mergeCell ref="K2:K3"/>
    <mergeCell ref="L2:L3"/>
    <mergeCell ref="AA2:AA3"/>
    <mergeCell ref="AB2:AB3"/>
  </mergeCells>
  <phoneticPr fontId="26" type="noConversion"/>
  <conditionalFormatting sqref="H17:H59 Q17:Q61 G60:G61 H69:H99 Q69:Q101 G100:G101 T100:AC101">
    <cfRule type="expression" dxfId="110" priority="50" stopIfTrue="1">
      <formula>G17=0</formula>
    </cfRule>
  </conditionalFormatting>
  <conditionalFormatting sqref="Q4:Q15">
    <cfRule type="expression" dxfId="109" priority="47" stopIfTrue="1">
      <formula>Q4=0</formula>
    </cfRule>
  </conditionalFormatting>
  <conditionalFormatting sqref="T17:T61">
    <cfRule type="expression" dxfId="108" priority="32" stopIfTrue="1">
      <formula>T17=0</formula>
    </cfRule>
  </conditionalFormatting>
  <conditionalFormatting sqref="T69:T99">
    <cfRule type="cellIs" dxfId="107" priority="8" stopIfTrue="1" operator="between">
      <formula>0.851</formula>
      <formula>1</formula>
    </cfRule>
    <cfRule type="cellIs" dxfId="106" priority="9" stopIfTrue="1" operator="between">
      <formula>0.7</formula>
      <formula>0.85</formula>
    </cfRule>
    <cfRule type="expression" dxfId="105" priority="6" stopIfTrue="1">
      <formula>T69=0</formula>
    </cfRule>
    <cfRule type="cellIs" dxfId="104" priority="7" stopIfTrue="1" operator="lessThan">
      <formula>0.7</formula>
    </cfRule>
  </conditionalFormatting>
  <conditionalFormatting sqref="T104">
    <cfRule type="cellIs" dxfId="103" priority="19" stopIfTrue="1" operator="between">
      <formula>0.7</formula>
      <formula>0.85</formula>
    </cfRule>
    <cfRule type="expression" dxfId="102" priority="20" stopIfTrue="1">
      <formula>T104=0</formula>
    </cfRule>
    <cfRule type="expression" dxfId="101" priority="16" stopIfTrue="1">
      <formula>T104=0</formula>
    </cfRule>
    <cfRule type="cellIs" dxfId="100" priority="17" stopIfTrue="1" operator="lessThan">
      <formula>0.7</formula>
    </cfRule>
    <cfRule type="cellIs" dxfId="99" priority="18" stopIfTrue="1" operator="between">
      <formula>0.851</formula>
      <formula>1</formula>
    </cfRule>
  </conditionalFormatting>
  <conditionalFormatting sqref="T17:U61">
    <cfRule type="cellIs" dxfId="98" priority="33" stopIfTrue="1" operator="lessThan">
      <formula>0.7</formula>
    </cfRule>
    <cfRule type="cellIs" dxfId="97" priority="34" stopIfTrue="1" operator="between">
      <formula>0.851</formula>
      <formula>1</formula>
    </cfRule>
    <cfRule type="cellIs" dxfId="96" priority="35" stopIfTrue="1" operator="between">
      <formula>0.7</formula>
      <formula>0.85</formula>
    </cfRule>
    <cfRule type="expression" dxfId="95" priority="41" stopIfTrue="1">
      <formula>T17=0</formula>
    </cfRule>
  </conditionalFormatting>
  <conditionalFormatting sqref="T69:U99">
    <cfRule type="expression" dxfId="94" priority="10" stopIfTrue="1">
      <formula>T69=0</formula>
    </cfRule>
  </conditionalFormatting>
  <conditionalFormatting sqref="T4:V15">
    <cfRule type="expression" dxfId="93" priority="42" stopIfTrue="1">
      <formula>T4=0</formula>
    </cfRule>
    <cfRule type="cellIs" dxfId="92" priority="43" stopIfTrue="1" operator="lessThan">
      <formula>0.7</formula>
    </cfRule>
    <cfRule type="cellIs" dxfId="91" priority="44" stopIfTrue="1" operator="between">
      <formula>0.851</formula>
      <formula>1</formula>
    </cfRule>
    <cfRule type="cellIs" dxfId="90" priority="45" stopIfTrue="1" operator="between">
      <formula>0.7</formula>
      <formula>0.85</formula>
    </cfRule>
    <cfRule type="expression" dxfId="89" priority="46" stopIfTrue="1">
      <formula>T4=0</formula>
    </cfRule>
  </conditionalFormatting>
  <conditionalFormatting sqref="U69:U99">
    <cfRule type="cellIs" dxfId="88" priority="12" stopIfTrue="1" operator="lessThan">
      <formula>0.7</formula>
    </cfRule>
    <cfRule type="cellIs" dxfId="87" priority="13" stopIfTrue="1" operator="between">
      <formula>0.851</formula>
      <formula>1</formula>
    </cfRule>
    <cfRule type="expression" dxfId="86" priority="15" stopIfTrue="1">
      <formula>U69=0</formula>
    </cfRule>
    <cfRule type="cellIs" dxfId="85" priority="14" stopIfTrue="1" operator="between">
      <formula>0.7</formula>
      <formula>0.85</formula>
    </cfRule>
  </conditionalFormatting>
  <conditionalFormatting sqref="V17:V61 T64">
    <cfRule type="expression" dxfId="84" priority="21" stopIfTrue="1">
      <formula>T17=0</formula>
    </cfRule>
    <cfRule type="cellIs" dxfId="83" priority="22" stopIfTrue="1" operator="lessThan">
      <formula>0.7</formula>
    </cfRule>
    <cfRule type="cellIs" dxfId="82" priority="23" stopIfTrue="1" operator="between">
      <formula>0.851</formula>
      <formula>1</formula>
    </cfRule>
    <cfRule type="cellIs" dxfId="81" priority="24" stopIfTrue="1" operator="between">
      <formula>0.7</formula>
      <formula>0.85</formula>
    </cfRule>
    <cfRule type="expression" dxfId="80" priority="25" stopIfTrue="1">
      <formula>T17=0</formula>
    </cfRule>
  </conditionalFormatting>
  <conditionalFormatting sqref="V17:V61 V69:V99">
    <cfRule type="cellIs" dxfId="79" priority="26" stopIfTrue="1" operator="greaterThan">
      <formula>1</formula>
    </cfRule>
  </conditionalFormatting>
  <conditionalFormatting sqref="V69:V99">
    <cfRule type="cellIs" dxfId="78" priority="2" stopIfTrue="1" operator="lessThan">
      <formula>0.7</formula>
    </cfRule>
    <cfRule type="cellIs" dxfId="77" priority="3" stopIfTrue="1" operator="between">
      <formula>0.851</formula>
      <formula>1</formula>
    </cfRule>
    <cfRule type="cellIs" dxfId="76" priority="4" stopIfTrue="1" operator="between">
      <formula>0.7</formula>
      <formula>0.85</formula>
    </cfRule>
    <cfRule type="expression" dxfId="75" priority="5" stopIfTrue="1">
      <formula>V69=0</formula>
    </cfRule>
    <cfRule type="expression" dxfId="74" priority="1" stopIfTrue="1">
      <formula>V69=0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29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A212EFB-FD01-4ADF-9C78-AECC210F5AF3}">
          <x14:formula1>
            <xm:f>規格清單!$B$62:$B$72</xm:f>
          </x14:formula1>
          <xm:sqref>F4:F59 F69:F99</xm:sqref>
        </x14:dataValidation>
        <x14:dataValidation type="list" allowBlank="1" showInputMessage="1" showErrorMessage="1" xr:uid="{05E73984-41ED-4797-92E7-9E3F7AF0A38B}">
          <x14:formula1>
            <xm:f>印刷機資料庫!$A$9:$A$11</xm:f>
          </x14:formula1>
          <xm:sqref>J69:J99 J4:J59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A114"/>
  <sheetViews>
    <sheetView zoomScale="70" zoomScaleNormal="70" workbookViewId="0">
      <pane xSplit="4" ySplit="3" topLeftCell="E4" activePane="bottomRight" state="frozen"/>
      <selection pane="topRight"/>
      <selection pane="bottomLeft"/>
      <selection pane="bottomRight" sqref="A1:AC1"/>
    </sheetView>
  </sheetViews>
  <sheetFormatPr defaultRowHeight="16.5"/>
  <cols>
    <col min="1" max="2" width="4.25" style="446" bestFit="1" customWidth="1"/>
    <col min="3" max="3" width="4" style="446" bestFit="1" customWidth="1"/>
    <col min="4" max="4" width="3.75" style="446" bestFit="1" customWidth="1"/>
    <col min="5" max="5" width="6" style="433" bestFit="1" customWidth="1"/>
    <col min="6" max="6" width="28.125" style="449" bestFit="1" customWidth="1"/>
    <col min="7" max="7" width="20.5" style="449" bestFit="1" customWidth="1"/>
    <col min="8" max="8" width="15.875" style="450" bestFit="1" customWidth="1"/>
    <col min="9" max="9" width="45.625" style="450" bestFit="1" customWidth="1"/>
    <col min="10" max="10" width="10" style="450" bestFit="1" customWidth="1"/>
    <col min="11" max="11" width="14" style="446" bestFit="1" customWidth="1"/>
    <col min="12" max="12" width="14.625" style="446" bestFit="1" customWidth="1"/>
    <col min="13" max="13" width="20.5" style="446" bestFit="1" customWidth="1"/>
    <col min="14" max="14" width="10.625" style="456" bestFit="1" customWidth="1"/>
    <col min="15" max="15" width="6.375" style="446" bestFit="1" customWidth="1"/>
    <col min="16" max="16" width="14.625" style="446" bestFit="1" customWidth="1"/>
    <col min="17" max="17" width="10" style="440" bestFit="1" customWidth="1"/>
    <col min="18" max="18" width="18.5" style="455" bestFit="1" customWidth="1"/>
    <col min="19" max="19" width="14.625" style="456" bestFit="1" customWidth="1"/>
    <col min="20" max="20" width="12.25" bestFit="1" customWidth="1"/>
    <col min="21" max="22" width="10" bestFit="1" customWidth="1"/>
    <col min="23" max="23" width="12.25" style="76" bestFit="1" customWidth="1"/>
    <col min="24" max="24" width="12.25" bestFit="1" customWidth="1"/>
    <col min="25" max="25" width="12.25" style="432" bestFit="1" customWidth="1"/>
    <col min="26" max="26" width="9.125" style="432" bestFit="1" customWidth="1"/>
    <col min="27" max="27" width="10.625" style="451" bestFit="1" customWidth="1"/>
    <col min="28" max="28" width="10.625" style="433" bestFit="1" customWidth="1"/>
    <col min="29" max="29" width="6.5" style="433" bestFit="1" customWidth="1"/>
    <col min="30" max="125" width="8.875" style="446" customWidth="1"/>
    <col min="126" max="16384" width="9" style="446"/>
  </cols>
  <sheetData>
    <row r="1" spans="1:53" ht="21.75" thickBot="1">
      <c r="A1" s="1882" t="s">
        <v>578</v>
      </c>
      <c r="B1" s="1882"/>
      <c r="C1" s="1882"/>
      <c r="D1" s="1882"/>
      <c r="E1" s="1882"/>
      <c r="F1" s="1882"/>
      <c r="G1" s="1882"/>
      <c r="H1" s="1882"/>
      <c r="I1" s="1882"/>
      <c r="J1" s="1882"/>
      <c r="K1" s="1882"/>
      <c r="L1" s="1882"/>
      <c r="M1" s="1882"/>
      <c r="N1" s="1882"/>
      <c r="O1" s="1882"/>
      <c r="P1" s="1882"/>
      <c r="Q1" s="1882"/>
      <c r="R1" s="1882"/>
      <c r="S1" s="1882"/>
      <c r="T1" s="1882"/>
      <c r="U1" s="1882"/>
      <c r="V1" s="1882"/>
      <c r="W1" s="1882"/>
      <c r="X1" s="1882"/>
      <c r="Y1" s="1882"/>
      <c r="Z1" s="1882"/>
      <c r="AA1" s="1882"/>
      <c r="AB1" s="1882"/>
      <c r="AC1" s="1882"/>
    </row>
    <row r="2" spans="1:53" ht="15.75">
      <c r="A2" s="1824" t="s">
        <v>330</v>
      </c>
      <c r="B2" s="1826" t="s">
        <v>311</v>
      </c>
      <c r="C2" s="1828" t="s">
        <v>331</v>
      </c>
      <c r="D2" s="1828" t="s">
        <v>332</v>
      </c>
      <c r="E2" s="1830" t="s">
        <v>194</v>
      </c>
      <c r="F2" s="1832" t="s">
        <v>510</v>
      </c>
      <c r="G2" s="1872" t="s">
        <v>628</v>
      </c>
      <c r="H2" s="1874" t="s">
        <v>629</v>
      </c>
      <c r="I2" s="1832" t="s">
        <v>361</v>
      </c>
      <c r="J2" s="1832" t="s">
        <v>1320</v>
      </c>
      <c r="K2" s="1828" t="s">
        <v>362</v>
      </c>
      <c r="L2" s="1828" t="s">
        <v>514</v>
      </c>
      <c r="M2" s="1856" t="s">
        <v>511</v>
      </c>
      <c r="N2" s="1858" t="s">
        <v>457</v>
      </c>
      <c r="O2" s="1828" t="s">
        <v>380</v>
      </c>
      <c r="P2" s="1876" t="s">
        <v>515</v>
      </c>
      <c r="Q2" s="1854" t="s">
        <v>3</v>
      </c>
      <c r="R2" s="1836" t="s">
        <v>512</v>
      </c>
      <c r="S2" s="1844" t="s">
        <v>1286</v>
      </c>
      <c r="T2" s="1846" t="s">
        <v>201</v>
      </c>
      <c r="U2" s="1846" t="s">
        <v>1318</v>
      </c>
      <c r="V2" s="1846" t="s">
        <v>1319</v>
      </c>
      <c r="W2" s="1849" t="s">
        <v>1285</v>
      </c>
      <c r="X2" s="1866" t="s">
        <v>1297</v>
      </c>
      <c r="Y2" s="1860" t="s">
        <v>340</v>
      </c>
      <c r="Z2" s="1861"/>
      <c r="AA2" s="1867" t="s">
        <v>371</v>
      </c>
      <c r="AB2" s="1867" t="s">
        <v>383</v>
      </c>
      <c r="AC2" s="1864" t="s">
        <v>29</v>
      </c>
    </row>
    <row r="3" spans="1:53" s="447" customFormat="1" thickBot="1">
      <c r="A3" s="1879"/>
      <c r="B3" s="1880"/>
      <c r="C3" s="1839"/>
      <c r="D3" s="1839"/>
      <c r="E3" s="1881"/>
      <c r="F3" s="1838"/>
      <c r="G3" s="1873"/>
      <c r="H3" s="1875"/>
      <c r="I3" s="1838"/>
      <c r="J3" s="1838"/>
      <c r="K3" s="1839"/>
      <c r="L3" s="1839"/>
      <c r="M3" s="1857"/>
      <c r="N3" s="1871"/>
      <c r="O3" s="1839"/>
      <c r="P3" s="1877"/>
      <c r="Q3" s="1869"/>
      <c r="R3" s="1870"/>
      <c r="S3" s="1878"/>
      <c r="T3" s="1848"/>
      <c r="U3" s="1848"/>
      <c r="V3" s="1848"/>
      <c r="W3" s="1850"/>
      <c r="X3" s="1850"/>
      <c r="Y3" s="491" t="s">
        <v>350</v>
      </c>
      <c r="Z3" s="491" t="s">
        <v>351</v>
      </c>
      <c r="AA3" s="1868"/>
      <c r="AB3" s="1868"/>
      <c r="AC3" s="1865"/>
      <c r="AD3" s="446"/>
      <c r="AE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</row>
    <row r="4" spans="1:53" s="439" customFormat="1" ht="15.75">
      <c r="A4" s="434"/>
      <c r="B4" s="434"/>
      <c r="C4" s="434"/>
      <c r="D4" s="434"/>
      <c r="E4" s="435" t="s">
        <v>58</v>
      </c>
      <c r="F4" s="464" t="s">
        <v>263</v>
      </c>
      <c r="G4" s="464"/>
      <c r="H4" s="464"/>
      <c r="I4" s="429" t="s">
        <v>557</v>
      </c>
      <c r="J4" s="429" t="s">
        <v>1301</v>
      </c>
      <c r="K4" s="464">
        <v>485</v>
      </c>
      <c r="L4" s="464"/>
      <c r="M4" s="927"/>
      <c r="N4" s="443">
        <f t="shared" ref="N4:N25" si="0">K4*L4</f>
        <v>0</v>
      </c>
      <c r="O4" s="438">
        <f>IFERROR(LOOKUP(1,0/((印刷機資料庫!$F$80:$F$157=F4)*(印刷機資料庫!$G$80:$G$157=J4)),印刷機資料庫!$J$80:$J$157),0)</f>
        <v>1000</v>
      </c>
      <c r="P4" s="438"/>
      <c r="Q4" s="442">
        <f t="shared" ref="Q4:Q23" si="1">IFERROR(P4/(M4+P4),0)</f>
        <v>0</v>
      </c>
      <c r="R4" s="482">
        <f>IFERROR(LOOKUP(1,0/((印刷機資料庫!$F$80:$F$157=F4)*(印刷機資料庫!$G$80:$G$157=J4)),印刷機資料庫!$I$80:$I$157),0)</f>
        <v>300</v>
      </c>
      <c r="S4" s="900">
        <f>IFERROR(LOOKUP(1,0/((印刷機資料庫!$F$80:$F$157=F4)*(印刷機資料庫!$G$80:$G$157=J4)),印刷機資料庫!$K$80:$K$157),0)</f>
        <v>198</v>
      </c>
      <c r="T4" s="898">
        <f t="shared" ref="T4:T23" si="2">IFERROR(L4/S4,0)</f>
        <v>0</v>
      </c>
      <c r="U4" s="923">
        <f t="shared" ref="U4:U23" si="3">IFERROR(R4*X4*60/O4,0)</f>
        <v>0</v>
      </c>
      <c r="V4" s="898">
        <f t="shared" ref="V4:V23" si="4">IFERROR(L4/U4,0)</f>
        <v>0</v>
      </c>
      <c r="W4" s="953"/>
      <c r="X4" s="478"/>
      <c r="Y4" s="438">
        <v>0</v>
      </c>
      <c r="Z4" s="482">
        <v>0</v>
      </c>
      <c r="AA4" s="536"/>
      <c r="AB4" s="438"/>
      <c r="AC4" s="438"/>
    </row>
    <row r="5" spans="1:53" s="439" customFormat="1" ht="15.75">
      <c r="A5" s="434"/>
      <c r="B5" s="434"/>
      <c r="C5" s="434"/>
      <c r="D5" s="434"/>
      <c r="E5" s="435" t="s">
        <v>44</v>
      </c>
      <c r="F5" s="464" t="s">
        <v>554</v>
      </c>
      <c r="G5" s="464"/>
      <c r="H5" s="464"/>
      <c r="I5" s="429" t="s">
        <v>570</v>
      </c>
      <c r="J5" s="429" t="s">
        <v>1301</v>
      </c>
      <c r="K5" s="464">
        <v>618</v>
      </c>
      <c r="L5" s="464"/>
      <c r="M5" s="927"/>
      <c r="N5" s="443">
        <f t="shared" si="0"/>
        <v>0</v>
      </c>
      <c r="O5" s="438">
        <f>IFERROR(LOOKUP(1,0/((印刷機資料庫!$F$80:$F$157=F5)*(印刷機資料庫!$G$80:$G$157=J5)),印刷機資料庫!$J$80:$J$157),0)</f>
        <v>1000</v>
      </c>
      <c r="P5" s="438"/>
      <c r="Q5" s="442">
        <f t="shared" si="1"/>
        <v>0</v>
      </c>
      <c r="R5" s="482">
        <f>IFERROR(LOOKUP(1,0/((印刷機資料庫!$F$80:$F$157=F5)*(印刷機資料庫!$G$80:$G$157=J5)),印刷機資料庫!$I$80:$I$157),0)</f>
        <v>150</v>
      </c>
      <c r="S5" s="900">
        <f>IFERROR(LOOKUP(1,0/((印刷機資料庫!$F$80:$F$157=F5)*(印刷機資料庫!$G$80:$G$157=J5)),印刷機資料庫!$K$80:$K$157),0)</f>
        <v>99</v>
      </c>
      <c r="T5" s="898">
        <f t="shared" si="2"/>
        <v>0</v>
      </c>
      <c r="U5" s="923">
        <f t="shared" si="3"/>
        <v>0</v>
      </c>
      <c r="V5" s="898">
        <f t="shared" si="4"/>
        <v>0</v>
      </c>
      <c r="W5" s="953"/>
      <c r="X5" s="478"/>
      <c r="Y5" s="438">
        <v>0</v>
      </c>
      <c r="Z5" s="482">
        <v>0</v>
      </c>
      <c r="AA5" s="536"/>
      <c r="AB5" s="438"/>
      <c r="AC5" s="438"/>
    </row>
    <row r="6" spans="1:53" s="439" customFormat="1" ht="15.75">
      <c r="A6" s="434"/>
      <c r="B6" s="434"/>
      <c r="C6" s="434"/>
      <c r="D6" s="434"/>
      <c r="E6" s="435" t="s">
        <v>44</v>
      </c>
      <c r="F6" s="464" t="s">
        <v>553</v>
      </c>
      <c r="G6" s="464"/>
      <c r="H6" s="464"/>
      <c r="I6" s="429" t="s">
        <v>569</v>
      </c>
      <c r="J6" s="429" t="s">
        <v>1301</v>
      </c>
      <c r="K6" s="464">
        <v>860</v>
      </c>
      <c r="L6" s="464"/>
      <c r="M6" s="927"/>
      <c r="N6" s="443">
        <f t="shared" si="0"/>
        <v>0</v>
      </c>
      <c r="O6" s="438">
        <f>IFERROR(LOOKUP(1,0/((印刷機資料庫!$F$80:$F$157=F6)*(印刷機資料庫!$G$80:$G$157=J6)),印刷機資料庫!$J$80:$J$157),0)</f>
        <v>1000</v>
      </c>
      <c r="P6" s="438"/>
      <c r="Q6" s="442"/>
      <c r="R6" s="482">
        <f>IFERROR(LOOKUP(1,0/((印刷機資料庫!$F$80:$F$157=F6)*(印刷機資料庫!$G$80:$G$157=J6)),印刷機資料庫!$I$80:$I$157),0)</f>
        <v>150</v>
      </c>
      <c r="S6" s="900">
        <f>IFERROR(LOOKUP(1,0/((印刷機資料庫!$F$80:$F$157=F6)*(印刷機資料庫!$G$80:$G$157=J6)),印刷機資料庫!$K$80:$K$157),0)</f>
        <v>99</v>
      </c>
      <c r="T6" s="898"/>
      <c r="U6" s="923"/>
      <c r="V6" s="898"/>
      <c r="W6" s="953"/>
      <c r="X6" s="478"/>
      <c r="Y6" s="438"/>
      <c r="Z6" s="482"/>
      <c r="AA6" s="536"/>
      <c r="AB6" s="438"/>
      <c r="AC6" s="438"/>
    </row>
    <row r="7" spans="1:53" s="439" customFormat="1" ht="15.75">
      <c r="A7" s="434"/>
      <c r="B7" s="434"/>
      <c r="C7" s="434"/>
      <c r="D7" s="434"/>
      <c r="E7" s="435" t="s">
        <v>58</v>
      </c>
      <c r="F7" s="464" t="s">
        <v>519</v>
      </c>
      <c r="G7" s="464"/>
      <c r="H7" s="464"/>
      <c r="I7" s="429" t="s">
        <v>558</v>
      </c>
      <c r="J7" s="429" t="s">
        <v>1301</v>
      </c>
      <c r="K7" s="464">
        <v>720</v>
      </c>
      <c r="L7" s="464"/>
      <c r="M7" s="927"/>
      <c r="N7" s="443">
        <f t="shared" si="0"/>
        <v>0</v>
      </c>
      <c r="O7" s="438">
        <f>IFERROR(LOOKUP(1,0/((印刷機資料庫!$F$80:$F$157=F7)*(印刷機資料庫!$G$80:$G$157=J7)),印刷機資料庫!$J$80:$J$157),0)</f>
        <v>1000</v>
      </c>
      <c r="P7" s="438"/>
      <c r="Q7" s="442"/>
      <c r="R7" s="482">
        <f>IFERROR(LOOKUP(1,0/((印刷機資料庫!$F$80:$F$157=F7)*(印刷機資料庫!$G$80:$G$157=J7)),印刷機資料庫!$I$80:$I$157),0)</f>
        <v>300</v>
      </c>
      <c r="S7" s="900">
        <f>IFERROR(LOOKUP(1,0/((印刷機資料庫!$F$80:$F$157=F7)*(印刷機資料庫!$G$80:$G$157=J7)),印刷機資料庫!$K$80:$K$157),0)</f>
        <v>198</v>
      </c>
      <c r="T7" s="898"/>
      <c r="U7" s="923"/>
      <c r="V7" s="898"/>
      <c r="W7" s="953"/>
      <c r="X7" s="478"/>
      <c r="Y7" s="438"/>
      <c r="Z7" s="482"/>
      <c r="AA7" s="536"/>
      <c r="AB7" s="438"/>
      <c r="AC7" s="438"/>
    </row>
    <row r="8" spans="1:53" s="439" customFormat="1" ht="15.75">
      <c r="A8" s="434"/>
      <c r="B8" s="434"/>
      <c r="C8" s="434"/>
      <c r="D8" s="434"/>
      <c r="E8" s="435" t="s">
        <v>58</v>
      </c>
      <c r="F8" s="464" t="s">
        <v>548</v>
      </c>
      <c r="G8" s="464"/>
      <c r="H8" s="464"/>
      <c r="I8" s="429" t="s">
        <v>559</v>
      </c>
      <c r="J8" s="429" t="s">
        <v>1301</v>
      </c>
      <c r="K8" s="464">
        <v>860</v>
      </c>
      <c r="L8" s="464"/>
      <c r="M8" s="927"/>
      <c r="N8" s="443">
        <f t="shared" si="0"/>
        <v>0</v>
      </c>
      <c r="O8" s="438">
        <f>IFERROR(LOOKUP(1,0/((印刷機資料庫!$F$80:$F$157=F8)*(印刷機資料庫!$G$80:$G$157=J8)),印刷機資料庫!$J$80:$J$157),0)</f>
        <v>1000</v>
      </c>
      <c r="P8" s="438"/>
      <c r="Q8" s="442"/>
      <c r="R8" s="482">
        <f>IFERROR(LOOKUP(1,0/((印刷機資料庫!$F$80:$F$157=F8)*(印刷機資料庫!$G$80:$G$157=J8)),印刷機資料庫!$I$80:$I$157),0)</f>
        <v>300</v>
      </c>
      <c r="S8" s="900">
        <f>IFERROR(LOOKUP(1,0/((印刷機資料庫!$F$80:$F$157=F8)*(印刷機資料庫!$G$80:$G$157=J8)),印刷機資料庫!$K$80:$K$157),0)</f>
        <v>198</v>
      </c>
      <c r="T8" s="898"/>
      <c r="U8" s="923"/>
      <c r="V8" s="898"/>
      <c r="W8" s="953"/>
      <c r="X8" s="478"/>
      <c r="Y8" s="438"/>
      <c r="Z8" s="482"/>
      <c r="AA8" s="536"/>
      <c r="AB8" s="438"/>
      <c r="AC8" s="438"/>
    </row>
    <row r="9" spans="1:53" s="439" customFormat="1" ht="15.75">
      <c r="A9" s="434"/>
      <c r="B9" s="434"/>
      <c r="C9" s="434"/>
      <c r="D9" s="434"/>
      <c r="E9" s="435" t="s">
        <v>58</v>
      </c>
      <c r="F9" s="464" t="s">
        <v>549</v>
      </c>
      <c r="G9" s="464"/>
      <c r="H9" s="464"/>
      <c r="I9" s="429" t="s">
        <v>560</v>
      </c>
      <c r="J9" s="429" t="s">
        <v>1301</v>
      </c>
      <c r="K9" s="464">
        <v>980</v>
      </c>
      <c r="L9" s="464"/>
      <c r="M9" s="927"/>
      <c r="N9" s="443">
        <f t="shared" si="0"/>
        <v>0</v>
      </c>
      <c r="O9" s="438">
        <f>IFERROR(LOOKUP(1,0/((印刷機資料庫!$F$80:$F$157=F9)*(印刷機資料庫!$G$80:$G$157=J9)),印刷機資料庫!$J$80:$J$157),0)</f>
        <v>1000</v>
      </c>
      <c r="P9" s="438"/>
      <c r="Q9" s="442"/>
      <c r="R9" s="482">
        <f>IFERROR(LOOKUP(1,0/((印刷機資料庫!$F$80:$F$157=F9)*(印刷機資料庫!$G$80:$G$157=J9)),印刷機資料庫!$I$80:$I$157),0)</f>
        <v>280</v>
      </c>
      <c r="S9" s="900">
        <f>IFERROR(LOOKUP(1,0/((印刷機資料庫!$F$80:$F$157=F9)*(印刷機資料庫!$G$80:$G$157=J9)),印刷機資料庫!$K$80:$K$157),0)</f>
        <v>184.8</v>
      </c>
      <c r="T9" s="898"/>
      <c r="U9" s="923"/>
      <c r="V9" s="898"/>
      <c r="W9" s="953"/>
      <c r="X9" s="478"/>
      <c r="Y9" s="438"/>
      <c r="Z9" s="482"/>
      <c r="AA9" s="536"/>
      <c r="AB9" s="438"/>
      <c r="AC9" s="438"/>
    </row>
    <row r="10" spans="1:53" s="439" customFormat="1" ht="15.75">
      <c r="A10" s="434"/>
      <c r="B10" s="434"/>
      <c r="C10" s="434"/>
      <c r="D10" s="434"/>
      <c r="E10" s="435" t="s">
        <v>58</v>
      </c>
      <c r="F10" s="464" t="s">
        <v>522</v>
      </c>
      <c r="G10" s="464"/>
      <c r="H10" s="464"/>
      <c r="I10" s="429" t="s">
        <v>561</v>
      </c>
      <c r="J10" s="429" t="s">
        <v>1301</v>
      </c>
      <c r="K10" s="464">
        <v>720</v>
      </c>
      <c r="L10" s="464"/>
      <c r="M10" s="927"/>
      <c r="N10" s="443">
        <f t="shared" si="0"/>
        <v>0</v>
      </c>
      <c r="O10" s="438">
        <f>IFERROR(LOOKUP(1,0/((印刷機資料庫!$F$80:$F$157=F10)*(印刷機資料庫!$G$80:$G$157=J10)),印刷機資料庫!$J$80:$J$157),0)</f>
        <v>1000</v>
      </c>
      <c r="P10" s="438"/>
      <c r="Q10" s="442"/>
      <c r="R10" s="482">
        <f>IFERROR(LOOKUP(1,0/((印刷機資料庫!$F$80:$F$157=F10)*(印刷機資料庫!$G$80:$G$157=J10)),印刷機資料庫!$I$80:$I$157),0)</f>
        <v>300</v>
      </c>
      <c r="S10" s="900">
        <f>IFERROR(LOOKUP(1,0/((印刷機資料庫!$F$80:$F$157=F10)*(印刷機資料庫!$G$80:$G$157=J10)),印刷機資料庫!$K$80:$K$157),0)</f>
        <v>198</v>
      </c>
      <c r="T10" s="898"/>
      <c r="U10" s="923"/>
      <c r="V10" s="898"/>
      <c r="W10" s="953"/>
      <c r="X10" s="478"/>
      <c r="Y10" s="438"/>
      <c r="Z10" s="482"/>
      <c r="AA10" s="536"/>
      <c r="AB10" s="438"/>
      <c r="AC10" s="438"/>
    </row>
    <row r="11" spans="1:53" s="439" customFormat="1" ht="15.75">
      <c r="A11" s="434"/>
      <c r="B11" s="434"/>
      <c r="C11" s="434"/>
      <c r="D11" s="434"/>
      <c r="E11" s="435" t="s">
        <v>58</v>
      </c>
      <c r="F11" s="464" t="s">
        <v>523</v>
      </c>
      <c r="G11" s="464"/>
      <c r="H11" s="464"/>
      <c r="I11" s="429" t="s">
        <v>393</v>
      </c>
      <c r="J11" s="429" t="s">
        <v>1301</v>
      </c>
      <c r="K11" s="464">
        <v>830</v>
      </c>
      <c r="L11" s="464"/>
      <c r="M11" s="927"/>
      <c r="N11" s="443">
        <f t="shared" si="0"/>
        <v>0</v>
      </c>
      <c r="O11" s="438">
        <f>IFERROR(LOOKUP(1,0/((印刷機資料庫!$F$80:$F$157=F11)*(印刷機資料庫!$G$80:$G$157=J11)),印刷機資料庫!$J$80:$J$157),0)</f>
        <v>1000</v>
      </c>
      <c r="P11" s="438"/>
      <c r="Q11" s="442"/>
      <c r="R11" s="482">
        <f>IFERROR(LOOKUP(1,0/((印刷機資料庫!$F$80:$F$157=F11)*(印刷機資料庫!$G$80:$G$157=J11)),印刷機資料庫!$I$80:$I$157),0)</f>
        <v>300</v>
      </c>
      <c r="S11" s="900">
        <f>IFERROR(LOOKUP(1,0/((印刷機資料庫!$F$80:$F$157=F11)*(印刷機資料庫!$G$80:$G$157=J11)),印刷機資料庫!$K$80:$K$157),0)</f>
        <v>198</v>
      </c>
      <c r="T11" s="898"/>
      <c r="U11" s="923"/>
      <c r="V11" s="898"/>
      <c r="W11" s="953"/>
      <c r="X11" s="478"/>
      <c r="Y11" s="438"/>
      <c r="Z11" s="482"/>
      <c r="AA11" s="536"/>
      <c r="AB11" s="438"/>
      <c r="AC11" s="438"/>
    </row>
    <row r="12" spans="1:53" s="439" customFormat="1" ht="15.75">
      <c r="A12" s="434"/>
      <c r="B12" s="434"/>
      <c r="C12" s="434"/>
      <c r="D12" s="434"/>
      <c r="E12" s="435" t="s">
        <v>58</v>
      </c>
      <c r="F12" s="464" t="s">
        <v>524</v>
      </c>
      <c r="G12" s="464"/>
      <c r="H12" s="464"/>
      <c r="I12" s="429" t="s">
        <v>562</v>
      </c>
      <c r="J12" s="429" t="s">
        <v>1301</v>
      </c>
      <c r="K12" s="464">
        <v>900</v>
      </c>
      <c r="L12" s="464"/>
      <c r="M12" s="927"/>
      <c r="N12" s="443">
        <f t="shared" si="0"/>
        <v>0</v>
      </c>
      <c r="O12" s="438">
        <f>IFERROR(LOOKUP(1,0/((印刷機資料庫!$F$80:$F$157=F12)*(印刷機資料庫!$G$80:$G$157=J12)),印刷機資料庫!$J$80:$J$157),0)</f>
        <v>1000</v>
      </c>
      <c r="P12" s="438"/>
      <c r="Q12" s="442"/>
      <c r="R12" s="482">
        <f>IFERROR(LOOKUP(1,0/((印刷機資料庫!$F$80:$F$157=F12)*(印刷機資料庫!$G$80:$G$157=J12)),印刷機資料庫!$I$80:$I$157),0)</f>
        <v>300</v>
      </c>
      <c r="S12" s="900">
        <f>IFERROR(LOOKUP(1,0/((印刷機資料庫!$F$80:$F$157=F12)*(印刷機資料庫!$G$80:$G$157=J12)),印刷機資料庫!$K$80:$K$157),0)</f>
        <v>198</v>
      </c>
      <c r="T12" s="898"/>
      <c r="U12" s="923"/>
      <c r="V12" s="898"/>
      <c r="W12" s="953"/>
      <c r="X12" s="478"/>
      <c r="Y12" s="438"/>
      <c r="Z12" s="482"/>
      <c r="AA12" s="536"/>
      <c r="AB12" s="438"/>
      <c r="AC12" s="438"/>
    </row>
    <row r="13" spans="1:53" s="439" customFormat="1" ht="15.75">
      <c r="A13" s="434"/>
      <c r="B13" s="434"/>
      <c r="C13" s="434"/>
      <c r="D13" s="434"/>
      <c r="E13" s="435" t="s">
        <v>58</v>
      </c>
      <c r="F13" s="464" t="s">
        <v>550</v>
      </c>
      <c r="G13" s="464"/>
      <c r="H13" s="464"/>
      <c r="I13" s="429" t="s">
        <v>563</v>
      </c>
      <c r="J13" s="429" t="s">
        <v>1301</v>
      </c>
      <c r="K13" s="464">
        <v>608</v>
      </c>
      <c r="L13" s="464"/>
      <c r="M13" s="927"/>
      <c r="N13" s="443">
        <f t="shared" si="0"/>
        <v>0</v>
      </c>
      <c r="O13" s="438">
        <f>IFERROR(LOOKUP(1,0/((印刷機資料庫!$F$80:$F$157=F13)*(印刷機資料庫!$G$80:$G$157=J13)),印刷機資料庫!$J$80:$J$157),0)</f>
        <v>600</v>
      </c>
      <c r="P13" s="438"/>
      <c r="Q13" s="442"/>
      <c r="R13" s="482">
        <f>IFERROR(LOOKUP(1,0/((印刷機資料庫!$F$80:$F$157=F13)*(印刷機資料庫!$G$80:$G$157=J13)),印刷機資料庫!$I$80:$I$157),0)</f>
        <v>280</v>
      </c>
      <c r="S13" s="900">
        <f>IFERROR(LOOKUP(1,0/((印刷機資料庫!$F$80:$F$157=F13)*(印刷機資料庫!$G$80:$G$157=J13)),印刷機資料庫!$K$80:$K$157),0)</f>
        <v>308</v>
      </c>
      <c r="T13" s="898"/>
      <c r="U13" s="923"/>
      <c r="V13" s="898"/>
      <c r="W13" s="953"/>
      <c r="X13" s="478"/>
      <c r="Y13" s="438"/>
      <c r="Z13" s="482"/>
      <c r="AA13" s="536"/>
      <c r="AB13" s="438"/>
      <c r="AC13" s="438"/>
    </row>
    <row r="14" spans="1:53" s="439" customFormat="1" ht="15.75">
      <c r="A14" s="434"/>
      <c r="B14" s="434"/>
      <c r="C14" s="434"/>
      <c r="D14" s="434"/>
      <c r="E14" s="435" t="s">
        <v>58</v>
      </c>
      <c r="F14" s="464" t="s">
        <v>1408</v>
      </c>
      <c r="G14" s="464"/>
      <c r="H14" s="464"/>
      <c r="I14" s="429" t="s">
        <v>564</v>
      </c>
      <c r="J14" s="429" t="s">
        <v>1301</v>
      </c>
      <c r="K14" s="554">
        <v>420.2</v>
      </c>
      <c r="L14" s="464"/>
      <c r="M14" s="927"/>
      <c r="N14" s="443">
        <f t="shared" si="0"/>
        <v>0</v>
      </c>
      <c r="O14" s="438">
        <f>IFERROR(LOOKUP(1,0/((印刷機資料庫!$F$80:$F$157=F14)*(印刷機資料庫!$G$80:$G$157=J14)),印刷機資料庫!$J$80:$J$157),0)</f>
        <v>300</v>
      </c>
      <c r="P14" s="438"/>
      <c r="Q14" s="442">
        <f t="shared" si="1"/>
        <v>0</v>
      </c>
      <c r="R14" s="482">
        <f>IFERROR(LOOKUP(1,0/((印刷機資料庫!$F$80:$F$157=F14)*(印刷機資料庫!$G$80:$G$157=J14)),印刷機資料庫!$I$80:$I$157),0)</f>
        <v>180</v>
      </c>
      <c r="S14" s="900">
        <f>IFERROR(LOOKUP(1,0/((印刷機資料庫!$F$80:$F$157=F14)*(印刷機資料庫!$G$80:$G$157=J14)),印刷機資料庫!$K$80:$K$157),0)</f>
        <v>396</v>
      </c>
      <c r="T14" s="898">
        <f t="shared" si="2"/>
        <v>0</v>
      </c>
      <c r="U14" s="923">
        <f t="shared" si="3"/>
        <v>0</v>
      </c>
      <c r="V14" s="898">
        <f t="shared" si="4"/>
        <v>0</v>
      </c>
      <c r="W14" s="953"/>
      <c r="X14" s="478"/>
      <c r="Y14" s="438">
        <v>0</v>
      </c>
      <c r="Z14" s="482">
        <v>0</v>
      </c>
      <c r="AA14" s="536"/>
      <c r="AB14" s="438"/>
      <c r="AC14" s="438"/>
    </row>
    <row r="15" spans="1:53" s="439" customFormat="1" ht="15.75">
      <c r="A15" s="434"/>
      <c r="B15" s="434"/>
      <c r="C15" s="434"/>
      <c r="D15" s="434"/>
      <c r="E15" s="435" t="s">
        <v>44</v>
      </c>
      <c r="F15" s="464" t="s">
        <v>551</v>
      </c>
      <c r="G15" s="464"/>
      <c r="H15" s="464"/>
      <c r="I15" s="429" t="s">
        <v>565</v>
      </c>
      <c r="J15" s="429" t="s">
        <v>1301</v>
      </c>
      <c r="K15" s="464">
        <v>505</v>
      </c>
      <c r="L15" s="464"/>
      <c r="M15" s="927"/>
      <c r="N15" s="443">
        <f t="shared" si="0"/>
        <v>0</v>
      </c>
      <c r="O15" s="438">
        <f>IFERROR(LOOKUP(1,0/((印刷機資料庫!$F$80:$F$157=F15)*(印刷機資料庫!$G$80:$G$157=J15)),印刷機資料庫!$J$80:$J$157),0)</f>
        <v>500</v>
      </c>
      <c r="P15" s="438"/>
      <c r="Q15" s="442">
        <f t="shared" si="1"/>
        <v>0</v>
      </c>
      <c r="R15" s="482">
        <f>IFERROR(LOOKUP(1,0/((印刷機資料庫!$F$80:$F$157=F15)*(印刷機資料庫!$G$80:$G$157=J15)),印刷機資料庫!$I$80:$I$157),0)</f>
        <v>150</v>
      </c>
      <c r="S15" s="900">
        <f>IFERROR(LOOKUP(1,0/((印刷機資料庫!$F$80:$F$157=F15)*(印刷機資料庫!$G$80:$G$157=J15)),印刷機資料庫!$K$80:$K$157),0)</f>
        <v>198</v>
      </c>
      <c r="T15" s="898">
        <f t="shared" si="2"/>
        <v>0</v>
      </c>
      <c r="U15" s="923">
        <f t="shared" si="3"/>
        <v>0</v>
      </c>
      <c r="V15" s="898">
        <f t="shared" si="4"/>
        <v>0</v>
      </c>
      <c r="W15" s="953"/>
      <c r="X15" s="478"/>
      <c r="Y15" s="438">
        <v>0</v>
      </c>
      <c r="Z15" s="482">
        <v>0</v>
      </c>
      <c r="AA15" s="536"/>
      <c r="AB15" s="438"/>
      <c r="AC15" s="438"/>
    </row>
    <row r="16" spans="1:53" s="439" customFormat="1" ht="15.75">
      <c r="A16" s="434"/>
      <c r="B16" s="434"/>
      <c r="C16" s="434"/>
      <c r="D16" s="434"/>
      <c r="E16" s="435" t="s">
        <v>44</v>
      </c>
      <c r="F16" s="464" t="s">
        <v>552</v>
      </c>
      <c r="G16" s="464"/>
      <c r="H16" s="464"/>
      <c r="I16" s="429" t="s">
        <v>566</v>
      </c>
      <c r="J16" s="429" t="s">
        <v>1301</v>
      </c>
      <c r="K16" s="464">
        <v>505</v>
      </c>
      <c r="L16" s="464"/>
      <c r="M16" s="927"/>
      <c r="N16" s="443">
        <f t="shared" si="0"/>
        <v>0</v>
      </c>
      <c r="O16" s="438">
        <f>IFERROR(LOOKUP(1,0/((印刷機資料庫!$F$80:$F$157=F16)*(印刷機資料庫!$G$80:$G$157=J16)),印刷機資料庫!$J$80:$J$157),0)</f>
        <v>500</v>
      </c>
      <c r="P16" s="438"/>
      <c r="Q16" s="442">
        <f t="shared" si="1"/>
        <v>0</v>
      </c>
      <c r="R16" s="482">
        <f>IFERROR(LOOKUP(1,0/((印刷機資料庫!$F$80:$F$157=F16)*(印刷機資料庫!$G$80:$G$157=J16)),印刷機資料庫!$I$80:$I$157),0)</f>
        <v>150</v>
      </c>
      <c r="S16" s="900">
        <f>IFERROR(LOOKUP(1,0/((印刷機資料庫!$F$80:$F$157=F16)*(印刷機資料庫!$G$80:$G$157=J16)),印刷機資料庫!$K$80:$K$157),0)</f>
        <v>198</v>
      </c>
      <c r="T16" s="898">
        <f t="shared" si="2"/>
        <v>0</v>
      </c>
      <c r="U16" s="923">
        <f t="shared" si="3"/>
        <v>0</v>
      </c>
      <c r="V16" s="898">
        <f t="shared" si="4"/>
        <v>0</v>
      </c>
      <c r="W16" s="953"/>
      <c r="X16" s="478"/>
      <c r="Y16" s="438">
        <v>0</v>
      </c>
      <c r="Z16" s="482">
        <v>0</v>
      </c>
      <c r="AA16" s="536"/>
      <c r="AB16" s="438"/>
      <c r="AC16" s="438"/>
    </row>
    <row r="17" spans="1:29" s="439" customFormat="1" ht="15.75">
      <c r="A17" s="434"/>
      <c r="B17" s="434"/>
      <c r="C17" s="434"/>
      <c r="D17" s="434"/>
      <c r="E17" s="435" t="s">
        <v>44</v>
      </c>
      <c r="F17" s="464" t="s">
        <v>1409</v>
      </c>
      <c r="G17" s="464"/>
      <c r="H17" s="464"/>
      <c r="I17" s="429" t="s">
        <v>571</v>
      </c>
      <c r="J17" s="429" t="s">
        <v>1301</v>
      </c>
      <c r="K17" s="464">
        <v>880</v>
      </c>
      <c r="L17" s="464"/>
      <c r="M17" s="927"/>
      <c r="N17" s="443">
        <f t="shared" si="0"/>
        <v>0</v>
      </c>
      <c r="O17" s="438">
        <f>IFERROR(LOOKUP(1,0/((印刷機資料庫!$F$80:$F$157=F17)*(印刷機資料庫!$G$80:$G$157=J17)),印刷機資料庫!$J$80:$J$157),0)</f>
        <v>1000</v>
      </c>
      <c r="P17" s="438"/>
      <c r="Q17" s="442">
        <f t="shared" si="1"/>
        <v>0</v>
      </c>
      <c r="R17" s="482">
        <f>IFERROR(LOOKUP(1,0/((印刷機資料庫!$F$80:$F$157=F17)*(印刷機資料庫!$G$80:$G$157=J17)),印刷機資料庫!$I$80:$I$157),0)</f>
        <v>300</v>
      </c>
      <c r="S17" s="900">
        <f>IFERROR(LOOKUP(1,0/((印刷機資料庫!$F$80:$F$157=F17)*(印刷機資料庫!$G$80:$G$157=J17)),印刷機資料庫!$K$80:$K$157),0)</f>
        <v>198</v>
      </c>
      <c r="T17" s="898">
        <f t="shared" si="2"/>
        <v>0</v>
      </c>
      <c r="U17" s="923">
        <f t="shared" si="3"/>
        <v>0</v>
      </c>
      <c r="V17" s="898">
        <f t="shared" si="4"/>
        <v>0</v>
      </c>
      <c r="W17" s="953"/>
      <c r="X17" s="478"/>
      <c r="Y17" s="438">
        <v>0</v>
      </c>
      <c r="Z17" s="482">
        <v>0</v>
      </c>
      <c r="AA17" s="536"/>
      <c r="AB17" s="438"/>
      <c r="AC17" s="438"/>
    </row>
    <row r="18" spans="1:29" s="439" customFormat="1" ht="15.75">
      <c r="A18" s="434"/>
      <c r="B18" s="434"/>
      <c r="C18" s="434"/>
      <c r="D18" s="434"/>
      <c r="E18" s="435" t="s">
        <v>44</v>
      </c>
      <c r="F18" s="464" t="s">
        <v>1313</v>
      </c>
      <c r="G18" s="464"/>
      <c r="H18" s="464"/>
      <c r="I18" s="429" t="s">
        <v>500</v>
      </c>
      <c r="J18" s="429" t="s">
        <v>1301</v>
      </c>
      <c r="K18" s="464">
        <v>1020</v>
      </c>
      <c r="L18" s="464"/>
      <c r="M18" s="927"/>
      <c r="N18" s="443">
        <f t="shared" si="0"/>
        <v>0</v>
      </c>
      <c r="O18" s="438">
        <f>IFERROR(LOOKUP(1,0/((印刷機資料庫!$F$80:$F$157=F18)*(印刷機資料庫!$G$80:$G$157=J18)),印刷機資料庫!$J$80:$J$157),0)</f>
        <v>1000</v>
      </c>
      <c r="P18" s="438"/>
      <c r="Q18" s="442">
        <f t="shared" si="1"/>
        <v>0</v>
      </c>
      <c r="R18" s="482">
        <f>IFERROR(LOOKUP(1,0/((印刷機資料庫!$F$80:$F$157=F18)*(印刷機資料庫!$G$80:$G$157=J18)),印刷機資料庫!$I$80:$I$157),0)</f>
        <v>300</v>
      </c>
      <c r="S18" s="900">
        <f>IFERROR(LOOKUP(1,0/((印刷機資料庫!$F$80:$F$157=F18)*(印刷機資料庫!$G$80:$G$157=J18)),印刷機資料庫!$K$80:$K$157),0)</f>
        <v>198</v>
      </c>
      <c r="T18" s="898">
        <f t="shared" si="2"/>
        <v>0</v>
      </c>
      <c r="U18" s="923">
        <f t="shared" si="3"/>
        <v>0</v>
      </c>
      <c r="V18" s="898">
        <f t="shared" si="4"/>
        <v>0</v>
      </c>
      <c r="W18" s="953"/>
      <c r="X18" s="478"/>
      <c r="Y18" s="438">
        <v>0</v>
      </c>
      <c r="Z18" s="482">
        <v>0</v>
      </c>
      <c r="AA18" s="536"/>
      <c r="AB18" s="438"/>
      <c r="AC18" s="438"/>
    </row>
    <row r="19" spans="1:29" s="439" customFormat="1" ht="15.75">
      <c r="A19" s="434"/>
      <c r="B19" s="434"/>
      <c r="C19" s="434"/>
      <c r="D19" s="434"/>
      <c r="E19" s="435" t="s">
        <v>44</v>
      </c>
      <c r="F19" s="464" t="s">
        <v>1406</v>
      </c>
      <c r="G19" s="464"/>
      <c r="H19" s="464"/>
      <c r="I19" s="429" t="s">
        <v>567</v>
      </c>
      <c r="J19" s="429" t="s">
        <v>1301</v>
      </c>
      <c r="K19" s="464">
        <v>1100</v>
      </c>
      <c r="L19" s="464"/>
      <c r="M19" s="927"/>
      <c r="N19" s="443">
        <f t="shared" si="0"/>
        <v>0</v>
      </c>
      <c r="O19" s="438">
        <f>IFERROR(LOOKUP(1,0/((印刷機資料庫!$F$80:$F$157=F19)*(印刷機資料庫!$G$80:$G$157=J19)),印刷機資料庫!$J$80:$J$157),0)</f>
        <v>2000</v>
      </c>
      <c r="P19" s="438"/>
      <c r="Q19" s="442">
        <f t="shared" si="1"/>
        <v>0</v>
      </c>
      <c r="R19" s="482">
        <f>IFERROR(LOOKUP(1,0/((印刷機資料庫!$F$80:$F$157=F19)*(印刷機資料庫!$G$80:$G$157=J19)),印刷機資料庫!$I$80:$I$157),0)</f>
        <v>300</v>
      </c>
      <c r="S19" s="900">
        <f>IFERROR(LOOKUP(1,0/((印刷機資料庫!$F$80:$F$157=F19)*(印刷機資料庫!$G$80:$G$157=J19)),印刷機資料庫!$K$80:$K$157),0)</f>
        <v>99</v>
      </c>
      <c r="T19" s="898">
        <f t="shared" si="2"/>
        <v>0</v>
      </c>
      <c r="U19" s="923">
        <f t="shared" si="3"/>
        <v>0</v>
      </c>
      <c r="V19" s="898">
        <f t="shared" si="4"/>
        <v>0</v>
      </c>
      <c r="W19" s="953"/>
      <c r="X19" s="478"/>
      <c r="Y19" s="438">
        <v>0</v>
      </c>
      <c r="Z19" s="482">
        <v>0</v>
      </c>
      <c r="AA19" s="536"/>
      <c r="AB19" s="438"/>
      <c r="AC19" s="438"/>
    </row>
    <row r="20" spans="1:29" s="439" customFormat="1" ht="15.75">
      <c r="A20" s="434"/>
      <c r="B20" s="434"/>
      <c r="C20" s="434"/>
      <c r="D20" s="434"/>
      <c r="E20" s="435" t="s">
        <v>44</v>
      </c>
      <c r="F20" s="464" t="s">
        <v>661</v>
      </c>
      <c r="G20" s="464"/>
      <c r="H20" s="464"/>
      <c r="I20" s="429" t="s">
        <v>568</v>
      </c>
      <c r="J20" s="429" t="s">
        <v>1301</v>
      </c>
      <c r="K20" s="464">
        <v>800</v>
      </c>
      <c r="L20" s="464"/>
      <c r="M20" s="927"/>
      <c r="N20" s="443">
        <f t="shared" si="0"/>
        <v>0</v>
      </c>
      <c r="O20" s="438">
        <f>IFERROR(LOOKUP(1,0/((印刷機資料庫!$F$80:$F$157=F20)*(印刷機資料庫!$G$80:$G$157=J20)),印刷機資料庫!$J$80:$J$157),0)</f>
        <v>1000</v>
      </c>
      <c r="P20" s="438"/>
      <c r="Q20" s="442">
        <f t="shared" si="1"/>
        <v>0</v>
      </c>
      <c r="R20" s="482">
        <f>IFERROR(LOOKUP(1,0/((印刷機資料庫!$F$80:$F$157=F20)*(印刷機資料庫!$G$80:$G$157=J20)),印刷機資料庫!$I$80:$I$157),0)</f>
        <v>250</v>
      </c>
      <c r="S20" s="900">
        <f>IFERROR(LOOKUP(1,0/((印刷機資料庫!$F$80:$F$157=F20)*(印刷機資料庫!$G$80:$G$157=J20)),印刷機資料庫!$K$80:$K$157),0)</f>
        <v>165</v>
      </c>
      <c r="T20" s="898">
        <f>IFERROR(L20/S20,0)</f>
        <v>0</v>
      </c>
      <c r="U20" s="923">
        <f t="shared" si="3"/>
        <v>0</v>
      </c>
      <c r="V20" s="898">
        <f t="shared" si="4"/>
        <v>0</v>
      </c>
      <c r="W20" s="953"/>
      <c r="X20" s="478"/>
      <c r="Y20" s="438">
        <v>0</v>
      </c>
      <c r="Z20" s="482">
        <v>0</v>
      </c>
      <c r="AA20" s="536"/>
      <c r="AB20" s="438"/>
      <c r="AC20" s="438"/>
    </row>
    <row r="21" spans="1:29" s="439" customFormat="1" ht="15.75">
      <c r="A21" s="434"/>
      <c r="B21" s="434"/>
      <c r="C21" s="434"/>
      <c r="D21" s="434"/>
      <c r="E21" s="435" t="s">
        <v>44</v>
      </c>
      <c r="F21" s="464" t="s">
        <v>662</v>
      </c>
      <c r="G21" s="464"/>
      <c r="H21" s="464"/>
      <c r="I21" s="429" t="s">
        <v>535</v>
      </c>
      <c r="J21" s="429" t="s">
        <v>1301</v>
      </c>
      <c r="K21" s="464">
        <v>840</v>
      </c>
      <c r="L21" s="464"/>
      <c r="M21" s="927"/>
      <c r="N21" s="443">
        <f t="shared" si="0"/>
        <v>0</v>
      </c>
      <c r="O21" s="438">
        <f>IFERROR(LOOKUP(1,0/((印刷機資料庫!$F$80:$F$157=F21)*(印刷機資料庫!$G$80:$G$157=J21)),印刷機資料庫!$J$80:$J$157),0)</f>
        <v>1000</v>
      </c>
      <c r="P21" s="438"/>
      <c r="Q21" s="442">
        <f t="shared" si="1"/>
        <v>0</v>
      </c>
      <c r="R21" s="482">
        <f>IFERROR(LOOKUP(1,0/((印刷機資料庫!$F$80:$F$157=F21)*(印刷機資料庫!$G$80:$G$157=J21)),印刷機資料庫!$I$80:$I$157),0)</f>
        <v>250</v>
      </c>
      <c r="S21" s="900">
        <f>IFERROR(LOOKUP(1,0/((印刷機資料庫!$F$80:$F$157=F21)*(印刷機資料庫!$G$80:$G$157=J21)),印刷機資料庫!$K$80:$K$157),0)</f>
        <v>165</v>
      </c>
      <c r="T21" s="898">
        <f t="shared" si="2"/>
        <v>0</v>
      </c>
      <c r="U21" s="923">
        <f t="shared" si="3"/>
        <v>0</v>
      </c>
      <c r="V21" s="898">
        <f t="shared" si="4"/>
        <v>0</v>
      </c>
      <c r="W21" s="953"/>
      <c r="X21" s="478"/>
      <c r="Y21" s="438">
        <v>0</v>
      </c>
      <c r="Z21" s="482">
        <v>0</v>
      </c>
      <c r="AA21" s="536"/>
      <c r="AB21" s="438"/>
      <c r="AC21" s="438"/>
    </row>
    <row r="22" spans="1:29" s="439" customFormat="1" ht="15.75">
      <c r="A22" s="434"/>
      <c r="B22" s="434"/>
      <c r="C22" s="434"/>
      <c r="D22" s="434"/>
      <c r="E22" s="435" t="s">
        <v>44</v>
      </c>
      <c r="F22" s="464" t="s">
        <v>555</v>
      </c>
      <c r="G22" s="464"/>
      <c r="H22" s="464"/>
      <c r="I22" s="429" t="s">
        <v>497</v>
      </c>
      <c r="J22" s="429" t="s">
        <v>1301</v>
      </c>
      <c r="K22" s="464">
        <v>275</v>
      </c>
      <c r="L22" s="464"/>
      <c r="M22" s="927"/>
      <c r="N22" s="443">
        <f t="shared" si="0"/>
        <v>0</v>
      </c>
      <c r="O22" s="438">
        <f>IFERROR(LOOKUP(1,0/((印刷機資料庫!$F$80:$F$157=F22)*(印刷機資料庫!$G$80:$G$157=J22)),印刷機資料庫!$J$80:$J$157),0)</f>
        <v>500</v>
      </c>
      <c r="P22" s="438"/>
      <c r="Q22" s="442">
        <f t="shared" si="1"/>
        <v>0</v>
      </c>
      <c r="R22" s="482">
        <f>IFERROR(LOOKUP(1,0/((印刷機資料庫!$F$80:$F$157=F22)*(印刷機資料庫!$G$80:$G$157=J22)),印刷機資料庫!$I$80:$I$157),0)</f>
        <v>150</v>
      </c>
      <c r="S22" s="900">
        <f>IFERROR(LOOKUP(1,0/((印刷機資料庫!$F$80:$F$157=F22)*(印刷機資料庫!$G$80:$G$157=J22)),印刷機資料庫!$K$80:$K$157),0)</f>
        <v>198</v>
      </c>
      <c r="T22" s="898">
        <f t="shared" si="2"/>
        <v>0</v>
      </c>
      <c r="U22" s="923">
        <f t="shared" si="3"/>
        <v>0</v>
      </c>
      <c r="V22" s="898">
        <f t="shared" si="4"/>
        <v>0</v>
      </c>
      <c r="W22" s="953"/>
      <c r="X22" s="478"/>
      <c r="Y22" s="438">
        <v>0</v>
      </c>
      <c r="Z22" s="482">
        <v>0</v>
      </c>
      <c r="AA22" s="536"/>
      <c r="AB22" s="438"/>
      <c r="AC22" s="438"/>
    </row>
    <row r="23" spans="1:29" s="439" customFormat="1" ht="15.75">
      <c r="A23" s="434"/>
      <c r="B23" s="434"/>
      <c r="C23" s="434"/>
      <c r="D23" s="434"/>
      <c r="E23" s="435" t="s">
        <v>44</v>
      </c>
      <c r="F23" s="464" t="s">
        <v>556</v>
      </c>
      <c r="G23" s="464"/>
      <c r="H23" s="464"/>
      <c r="I23" s="429" t="s">
        <v>496</v>
      </c>
      <c r="J23" s="429" t="s">
        <v>1301</v>
      </c>
      <c r="K23" s="464">
        <v>300</v>
      </c>
      <c r="L23" s="464"/>
      <c r="M23" s="927"/>
      <c r="N23" s="443">
        <f t="shared" si="0"/>
        <v>0</v>
      </c>
      <c r="O23" s="438">
        <f>IFERROR(LOOKUP(1,0/((印刷機資料庫!$F$80:$F$157=F23)*(印刷機資料庫!$G$80:$G$157=J23)),印刷機資料庫!$J$80:$J$157),0)</f>
        <v>500</v>
      </c>
      <c r="P23" s="438"/>
      <c r="Q23" s="442">
        <f t="shared" si="1"/>
        <v>0</v>
      </c>
      <c r="R23" s="482">
        <f>IFERROR(LOOKUP(1,0/((印刷機資料庫!$F$80:$F$157=F23)*(印刷機資料庫!$G$80:$G$157=J23)),印刷機資料庫!$I$80:$I$157),0)</f>
        <v>150</v>
      </c>
      <c r="S23" s="900">
        <f>IFERROR(LOOKUP(1,0/((印刷機資料庫!$F$80:$F$157=F23)*(印刷機資料庫!$G$80:$G$157=J23)),印刷機資料庫!$K$80:$K$157),0)</f>
        <v>198</v>
      </c>
      <c r="T23" s="898">
        <f t="shared" si="2"/>
        <v>0</v>
      </c>
      <c r="U23" s="923">
        <f t="shared" si="3"/>
        <v>0</v>
      </c>
      <c r="V23" s="898">
        <f t="shared" si="4"/>
        <v>0</v>
      </c>
      <c r="W23" s="953"/>
      <c r="X23" s="478"/>
      <c r="Y23" s="438">
        <v>0</v>
      </c>
      <c r="Z23" s="482">
        <v>0</v>
      </c>
      <c r="AA23" s="536"/>
      <c r="AB23" s="438"/>
      <c r="AC23" s="438"/>
    </row>
    <row r="24" spans="1:29" s="439" customFormat="1" ht="15.75">
      <c r="A24" s="934"/>
      <c r="B24" s="934"/>
      <c r="C24" s="934"/>
      <c r="D24" s="934"/>
      <c r="E24" s="959" t="s">
        <v>44</v>
      </c>
      <c r="F24" s="437" t="s">
        <v>663</v>
      </c>
      <c r="G24" s="437"/>
      <c r="H24" s="437"/>
      <c r="I24" s="535" t="s">
        <v>572</v>
      </c>
      <c r="J24" s="535" t="s">
        <v>1301</v>
      </c>
      <c r="K24" s="437">
        <v>300</v>
      </c>
      <c r="L24" s="437"/>
      <c r="M24" s="1005"/>
      <c r="N24" s="1002">
        <f t="shared" ref="N24" si="5">K24*L24</f>
        <v>0</v>
      </c>
      <c r="O24" s="438">
        <f>IFERROR(LOOKUP(1,0/((印刷機資料庫!$F$80:$F$157=F24)*(印刷機資料庫!$G$80:$G$157=J24)),印刷機資料庫!$J$80:$J$157),0)</f>
        <v>500</v>
      </c>
      <c r="P24" s="539"/>
      <c r="Q24" s="1048"/>
      <c r="R24" s="482">
        <f>IFERROR(LOOKUP(1,0/((印刷機資料庫!$F$80:$F$157=F24)*(印刷機資料庫!$G$80:$G$157=J24)),印刷機資料庫!$I$80:$I$157),0)</f>
        <v>150</v>
      </c>
      <c r="S24" s="900">
        <f>IFERROR(LOOKUP(1,0/((印刷機資料庫!$F$80:$F$157=F24)*(印刷機資料庫!$G$80:$G$157=J24)),印刷機資料庫!$K$80:$K$157),0)</f>
        <v>198</v>
      </c>
      <c r="T24" s="1050"/>
      <c r="U24" s="1050"/>
      <c r="V24" s="1050"/>
      <c r="W24" s="1049"/>
      <c r="X24" s="961"/>
      <c r="Y24" s="539"/>
      <c r="Z24" s="969"/>
      <c r="AA24" s="1006"/>
      <c r="AB24" s="539"/>
      <c r="AC24" s="539"/>
    </row>
    <row r="25" spans="1:29" s="439" customFormat="1" thickBot="1">
      <c r="A25" s="496"/>
      <c r="B25" s="496"/>
      <c r="C25" s="496"/>
      <c r="D25" s="496"/>
      <c r="E25" s="497"/>
      <c r="F25" s="500"/>
      <c r="G25" s="500"/>
      <c r="H25" s="500"/>
      <c r="I25" s="498"/>
      <c r="J25" s="498"/>
      <c r="K25" s="500"/>
      <c r="L25" s="500"/>
      <c r="M25" s="991"/>
      <c r="N25" s="501">
        <f t="shared" si="0"/>
        <v>0</v>
      </c>
      <c r="O25" s="499">
        <f>IFERROR(LOOKUP(1,0/((印刷機資料庫!$F$80:$F$157=F25)*(印刷機資料庫!$G$80:$G$157=J25)),印刷機資料庫!$J$80:$J$157),0)</f>
        <v>0</v>
      </c>
      <c r="P25" s="499"/>
      <c r="Q25" s="503"/>
      <c r="R25" s="509">
        <f>IFERROR(LOOKUP(1,0/((印刷機資料庫!$F$80:$F$157=F25)*(印刷機資料庫!$G$80:$G$157=J25)),印刷機資料庫!$I$80:$I$157),0)</f>
        <v>0</v>
      </c>
      <c r="S25" s="991">
        <f>IFERROR(LOOKUP(1,0/((印刷機資料庫!$F$80:$F$157=F25)*(印刷機資料庫!$G$80:$G$157=J25)),印刷機資料庫!$K$80:$K$157),0)</f>
        <v>0</v>
      </c>
      <c r="T25" s="551"/>
      <c r="U25" s="551"/>
      <c r="V25" s="551"/>
      <c r="W25" s="954"/>
      <c r="X25" s="508"/>
      <c r="Y25" s="499"/>
      <c r="Z25" s="509"/>
      <c r="AA25" s="529"/>
      <c r="AB25" s="499"/>
      <c r="AC25" s="499"/>
    </row>
    <row r="26" spans="1:29" s="433" customFormat="1" ht="15.75">
      <c r="A26" s="889">
        <v>11</v>
      </c>
      <c r="B26" s="889">
        <v>1</v>
      </c>
      <c r="C26" s="889" t="s">
        <v>632</v>
      </c>
      <c r="D26" s="889" t="s">
        <v>0</v>
      </c>
      <c r="E26" s="963" t="s">
        <v>42</v>
      </c>
      <c r="F26" s="993"/>
      <c r="G26" s="532"/>
      <c r="H26" s="532">
        <f>IFERROR(#REF!*G26,0)</f>
        <v>0</v>
      </c>
      <c r="I26" s="964"/>
      <c r="J26" s="964"/>
      <c r="K26" s="532"/>
      <c r="L26" s="480"/>
      <c r="M26" s="927">
        <f>L26*O26</f>
        <v>0</v>
      </c>
      <c r="N26" s="995">
        <f t="shared" ref="N26:N35" si="6">K26*L26</f>
        <v>0</v>
      </c>
      <c r="O26" s="480">
        <f>IFERROR(LOOKUP(1,0/((印刷機資料庫!$F$80:$F$157=F26)*(印刷機資料庫!$G$80:$G$157=J26)),印刷機資料庫!$J$80:$J$157),0)</f>
        <v>0</v>
      </c>
      <c r="P26" s="965"/>
      <c r="Q26" s="493"/>
      <c r="R26" s="968">
        <f>IFERROR(LOOKUP(1,0/((印刷機資料庫!$F$80:$F$157=F26)*(印刷機資料庫!$G$80:$G$157=J26)),印刷機資料庫!$I$80:$I$157),0)</f>
        <v>0</v>
      </c>
      <c r="S26" s="927">
        <f>IFERROR(LOOKUP(1,0/((印刷機資料庫!$F$80:$F$157=F26)*(印刷機資料庫!$G$80:$G$157=J26)),印刷機資料庫!$K$80:$K$157),0)</f>
        <v>0</v>
      </c>
      <c r="T26" s="996">
        <f>IFERROR(L26/S26,0)</f>
        <v>0</v>
      </c>
      <c r="U26" s="987">
        <f>IFERROR(R26*X26*60/O26,0)</f>
        <v>0</v>
      </c>
      <c r="V26" s="996">
        <f>IFERROR(L26/U26,0)</f>
        <v>0</v>
      </c>
      <c r="W26" s="971"/>
      <c r="X26" s="997">
        <f>Y26+Z26/60</f>
        <v>0</v>
      </c>
      <c r="Y26" s="480"/>
      <c r="Z26" s="968"/>
      <c r="AA26" s="998"/>
      <c r="AB26" s="480"/>
      <c r="AC26" s="480"/>
    </row>
    <row r="27" spans="1:29" s="433" customFormat="1" ht="15.75">
      <c r="A27" s="581">
        <v>11</v>
      </c>
      <c r="B27" s="581">
        <v>1</v>
      </c>
      <c r="C27" s="581" t="s">
        <v>632</v>
      </c>
      <c r="D27" s="581" t="s">
        <v>0</v>
      </c>
      <c r="E27" s="435" t="s">
        <v>42</v>
      </c>
      <c r="F27" s="992"/>
      <c r="G27" s="464"/>
      <c r="H27" s="464">
        <f>IFERROR(#REF!*G27,0)</f>
        <v>0</v>
      </c>
      <c r="I27" s="429"/>
      <c r="J27" s="429"/>
      <c r="K27" s="464"/>
      <c r="L27" s="438"/>
      <c r="M27" s="900">
        <f>L27*O27</f>
        <v>0</v>
      </c>
      <c r="N27" s="901">
        <f>K27*L27</f>
        <v>0</v>
      </c>
      <c r="O27" s="438">
        <f>IFERROR(LOOKUP(1,0/((印刷機資料庫!$F$80:$F$157=F27)*(印刷機資料庫!$G$80:$G$157=J27)),印刷機資料庫!$J$80:$J$157),0)</f>
        <v>0</v>
      </c>
      <c r="P27" s="462"/>
      <c r="Q27" s="442"/>
      <c r="R27" s="482">
        <f>IFERROR(LOOKUP(1,0/((印刷機資料庫!$F$80:$F$157=F27)*(印刷機資料庫!$G$80:$G$157=J27)),印刷機資料庫!$I$80:$I$157),0)</f>
        <v>0</v>
      </c>
      <c r="S27" s="900">
        <f>IFERROR(LOOKUP(1,0/((印刷機資料庫!$F$80:$F$157=F27)*(印刷機資料庫!$G$80:$G$157=J27)),印刷機資料庫!$K$80:$K$157),0)</f>
        <v>0</v>
      </c>
      <c r="T27" s="898">
        <f t="shared" ref="T27:T63" si="7">IFERROR(L27/S27,0)</f>
        <v>0</v>
      </c>
      <c r="U27" s="923">
        <f t="shared" ref="U27:U63" si="8">IFERROR(R27*X27*60/O27,0)</f>
        <v>0</v>
      </c>
      <c r="V27" s="898">
        <f t="shared" ref="V27:V63" si="9">IFERROR(L27/U27,0)</f>
        <v>0</v>
      </c>
      <c r="W27" s="952"/>
      <c r="X27" s="899">
        <f t="shared" ref="X27:X63" si="10">Y27+Z27/60</f>
        <v>0</v>
      </c>
      <c r="Y27" s="438"/>
      <c r="Z27" s="482"/>
      <c r="AA27" s="465"/>
      <c r="AB27" s="438"/>
      <c r="AC27" s="438"/>
    </row>
    <row r="28" spans="1:29" s="433" customFormat="1" ht="15.75">
      <c r="A28" s="581">
        <v>11</v>
      </c>
      <c r="B28" s="581">
        <v>2</v>
      </c>
      <c r="C28" s="581" t="s">
        <v>667</v>
      </c>
      <c r="D28" s="581" t="s">
        <v>0</v>
      </c>
      <c r="E28" s="435" t="s">
        <v>42</v>
      </c>
      <c r="F28" s="992"/>
      <c r="G28" s="464"/>
      <c r="H28" s="464">
        <f>IFERROR(#REF!*G28,0)</f>
        <v>0</v>
      </c>
      <c r="I28" s="429"/>
      <c r="J28" s="429"/>
      <c r="K28" s="464"/>
      <c r="L28" s="438"/>
      <c r="M28" s="900">
        <f t="shared" ref="M28:M64" si="11">L28*O28</f>
        <v>0</v>
      </c>
      <c r="N28" s="901">
        <f t="shared" si="6"/>
        <v>0</v>
      </c>
      <c r="O28" s="438">
        <f>IFERROR(LOOKUP(1,0/((印刷機資料庫!$F$80:$F$157=F28)*(印刷機資料庫!$G$80:$G$157=J28)),印刷機資料庫!$J$80:$J$157),0)</f>
        <v>0</v>
      </c>
      <c r="P28" s="462"/>
      <c r="Q28" s="442"/>
      <c r="R28" s="482">
        <f>IFERROR(LOOKUP(1,0/((印刷機資料庫!$F$80:$F$157=F28)*(印刷機資料庫!$G$80:$G$157=J28)),印刷機資料庫!$I$80:$I$157),0)</f>
        <v>0</v>
      </c>
      <c r="S28" s="900">
        <f>IFERROR(LOOKUP(1,0/((印刷機資料庫!$F$80:$F$157=F28)*(印刷機資料庫!$G$80:$G$157=J28)),印刷機資料庫!$K$80:$K$157),0)</f>
        <v>0</v>
      </c>
      <c r="T28" s="898">
        <f t="shared" si="7"/>
        <v>0</v>
      </c>
      <c r="U28" s="923">
        <f>IFERROR(R28*X28*60/O28,0)</f>
        <v>0</v>
      </c>
      <c r="V28" s="898">
        <f t="shared" si="9"/>
        <v>0</v>
      </c>
      <c r="W28" s="952"/>
      <c r="X28" s="899">
        <f t="shared" si="10"/>
        <v>0</v>
      </c>
      <c r="Y28" s="438"/>
      <c r="Z28" s="482"/>
      <c r="AA28" s="465"/>
      <c r="AB28" s="438"/>
      <c r="AC28" s="438"/>
    </row>
    <row r="29" spans="1:29" s="433" customFormat="1" ht="15.75">
      <c r="A29" s="581">
        <v>11</v>
      </c>
      <c r="B29" s="581">
        <v>3</v>
      </c>
      <c r="C29" s="581" t="s">
        <v>669</v>
      </c>
      <c r="D29" s="581" t="s">
        <v>0</v>
      </c>
      <c r="E29" s="435" t="s">
        <v>42</v>
      </c>
      <c r="F29" s="992"/>
      <c r="G29" s="464"/>
      <c r="H29" s="464">
        <f>IFERROR(#REF!*G29,0)</f>
        <v>0</v>
      </c>
      <c r="I29" s="429"/>
      <c r="J29" s="429"/>
      <c r="K29" s="464"/>
      <c r="L29" s="438"/>
      <c r="M29" s="900">
        <f t="shared" si="11"/>
        <v>0</v>
      </c>
      <c r="N29" s="901">
        <f>K29*L29</f>
        <v>0</v>
      </c>
      <c r="O29" s="438">
        <f>IFERROR(LOOKUP(1,0/((印刷機資料庫!$F$80:$F$157=F29)*(印刷機資料庫!$G$80:$G$157=J29)),印刷機資料庫!$J$80:$J$157),0)</f>
        <v>0</v>
      </c>
      <c r="P29" s="462"/>
      <c r="Q29" s="442"/>
      <c r="R29" s="482">
        <f>IFERROR(LOOKUP(1,0/((印刷機資料庫!$F$80:$F$157=F29)*(印刷機資料庫!$G$80:$G$157=J29)),印刷機資料庫!$I$80:$I$157),0)</f>
        <v>0</v>
      </c>
      <c r="S29" s="900">
        <f>IFERROR(LOOKUP(1,0/((印刷機資料庫!$F$80:$F$157=F29)*(印刷機資料庫!$G$80:$G$157=J29)),印刷機資料庫!$K$80:$K$157),0)</f>
        <v>0</v>
      </c>
      <c r="T29" s="898">
        <f t="shared" si="7"/>
        <v>0</v>
      </c>
      <c r="U29" s="923">
        <f>IFERROR(R29*X29*60/O29,0)</f>
        <v>0</v>
      </c>
      <c r="V29" s="898">
        <f t="shared" si="9"/>
        <v>0</v>
      </c>
      <c r="W29" s="952"/>
      <c r="X29" s="899">
        <f t="shared" si="10"/>
        <v>0</v>
      </c>
      <c r="Y29" s="438"/>
      <c r="Z29" s="482"/>
      <c r="AA29" s="465"/>
      <c r="AB29" s="438"/>
      <c r="AC29" s="438"/>
    </row>
    <row r="30" spans="1:29" s="433" customFormat="1" ht="15.75">
      <c r="A30" s="581">
        <v>11</v>
      </c>
      <c r="B30" s="581">
        <v>4</v>
      </c>
      <c r="C30" s="581" t="s">
        <v>670</v>
      </c>
      <c r="D30" s="581" t="s">
        <v>0</v>
      </c>
      <c r="E30" s="435" t="s">
        <v>42</v>
      </c>
      <c r="F30" s="992"/>
      <c r="G30" s="464"/>
      <c r="H30" s="464">
        <f>IFERROR(#REF!*G30,0)</f>
        <v>0</v>
      </c>
      <c r="I30" s="429"/>
      <c r="J30" s="429"/>
      <c r="K30" s="464"/>
      <c r="L30" s="438"/>
      <c r="M30" s="900">
        <f t="shared" si="11"/>
        <v>0</v>
      </c>
      <c r="N30" s="901">
        <f t="shared" si="6"/>
        <v>0</v>
      </c>
      <c r="O30" s="438">
        <f>IFERROR(LOOKUP(1,0/((印刷機資料庫!$F$80:$F$157=F30)*(印刷機資料庫!$G$80:$G$157=J30)),印刷機資料庫!$J$80:$J$157),0)</f>
        <v>0</v>
      </c>
      <c r="P30" s="462"/>
      <c r="Q30" s="442"/>
      <c r="R30" s="482">
        <f>IFERROR(LOOKUP(1,0/((印刷機資料庫!$F$80:$F$157=F30)*(印刷機資料庫!$G$80:$G$157=J30)),印刷機資料庫!$I$80:$I$157),0)</f>
        <v>0</v>
      </c>
      <c r="S30" s="900">
        <f>IFERROR(LOOKUP(1,0/((印刷機資料庫!$F$80:$F$157=F30)*(印刷機資料庫!$G$80:$G$157=J30)),印刷機資料庫!$K$80:$K$157),0)</f>
        <v>0</v>
      </c>
      <c r="T30" s="898">
        <f t="shared" si="7"/>
        <v>0</v>
      </c>
      <c r="U30" s="923">
        <f t="shared" si="8"/>
        <v>0</v>
      </c>
      <c r="V30" s="898">
        <f t="shared" si="9"/>
        <v>0</v>
      </c>
      <c r="W30" s="952"/>
      <c r="X30" s="899">
        <f t="shared" si="10"/>
        <v>0</v>
      </c>
      <c r="Y30" s="438"/>
      <c r="Z30" s="482"/>
      <c r="AA30" s="465"/>
      <c r="AB30" s="438"/>
      <c r="AC30" s="438"/>
    </row>
    <row r="31" spans="1:29" s="433" customFormat="1" ht="15.75">
      <c r="A31" s="581">
        <v>11</v>
      </c>
      <c r="B31" s="581">
        <v>5</v>
      </c>
      <c r="C31" s="581" t="s">
        <v>671</v>
      </c>
      <c r="D31" s="889" t="s">
        <v>0</v>
      </c>
      <c r="E31" s="435" t="s">
        <v>42</v>
      </c>
      <c r="F31" s="992"/>
      <c r="G31" s="464"/>
      <c r="H31" s="464">
        <f>IFERROR(#REF!*G31,0)</f>
        <v>0</v>
      </c>
      <c r="I31" s="429"/>
      <c r="J31" s="429"/>
      <c r="K31" s="464"/>
      <c r="L31" s="438"/>
      <c r="M31" s="900">
        <f t="shared" si="11"/>
        <v>0</v>
      </c>
      <c r="N31" s="901">
        <f t="shared" si="6"/>
        <v>0</v>
      </c>
      <c r="O31" s="438">
        <f>IFERROR(LOOKUP(1,0/((印刷機資料庫!$F$80:$F$157=F31)*(印刷機資料庫!$G$80:$G$157=J31)),印刷機資料庫!$J$80:$J$157),0)</f>
        <v>0</v>
      </c>
      <c r="P31" s="462"/>
      <c r="Q31" s="442"/>
      <c r="R31" s="482">
        <f>IFERROR(LOOKUP(1,0/((印刷機資料庫!$F$80:$F$157=F31)*(印刷機資料庫!$G$80:$G$157=J31)),印刷機資料庫!$I$80:$I$157),0)</f>
        <v>0</v>
      </c>
      <c r="S31" s="900">
        <f>IFERROR(LOOKUP(1,0/((印刷機資料庫!$F$80:$F$157=F31)*(印刷機資料庫!$G$80:$G$157=J31)),印刷機資料庫!$K$80:$K$157),0)</f>
        <v>0</v>
      </c>
      <c r="T31" s="898">
        <f t="shared" si="7"/>
        <v>0</v>
      </c>
      <c r="U31" s="923">
        <f t="shared" si="8"/>
        <v>0</v>
      </c>
      <c r="V31" s="898">
        <f t="shared" si="9"/>
        <v>0</v>
      </c>
      <c r="W31" s="952"/>
      <c r="X31" s="899">
        <f t="shared" si="10"/>
        <v>0</v>
      </c>
      <c r="Y31" s="438"/>
      <c r="Z31" s="482"/>
      <c r="AA31" s="465"/>
      <c r="AB31" s="438"/>
      <c r="AC31" s="438"/>
    </row>
    <row r="32" spans="1:29" s="433" customFormat="1" ht="15.75">
      <c r="A32" s="581">
        <v>11</v>
      </c>
      <c r="B32" s="581">
        <v>6</v>
      </c>
      <c r="C32" s="581" t="s">
        <v>672</v>
      </c>
      <c r="D32" s="889" t="s">
        <v>0</v>
      </c>
      <c r="E32" s="435" t="s">
        <v>42</v>
      </c>
      <c r="F32" s="992"/>
      <c r="G32" s="464"/>
      <c r="H32" s="464">
        <f>IFERROR(#REF!*G32,0)</f>
        <v>0</v>
      </c>
      <c r="I32" s="429"/>
      <c r="J32" s="429"/>
      <c r="K32" s="464"/>
      <c r="L32" s="438"/>
      <c r="M32" s="900">
        <f t="shared" si="11"/>
        <v>0</v>
      </c>
      <c r="N32" s="901">
        <f t="shared" si="6"/>
        <v>0</v>
      </c>
      <c r="O32" s="438">
        <f>IFERROR(LOOKUP(1,0/((印刷機資料庫!$F$80:$F$157=F32)*(印刷機資料庫!$G$80:$G$157=J32)),印刷機資料庫!$J$80:$J$157),0)</f>
        <v>0</v>
      </c>
      <c r="P32" s="462"/>
      <c r="Q32" s="442"/>
      <c r="R32" s="482">
        <f>IFERROR(LOOKUP(1,0/((印刷機資料庫!$F$80:$F$157=F32)*(印刷機資料庫!$G$80:$G$157=J32)),印刷機資料庫!$I$80:$I$157),0)</f>
        <v>0</v>
      </c>
      <c r="S32" s="900">
        <f>IFERROR(LOOKUP(1,0/((印刷機資料庫!$F$80:$F$157=F32)*(印刷機資料庫!$G$80:$G$157=J32)),印刷機資料庫!$K$80:$K$157),0)</f>
        <v>0</v>
      </c>
      <c r="T32" s="898">
        <f t="shared" si="7"/>
        <v>0</v>
      </c>
      <c r="U32" s="923">
        <f t="shared" si="8"/>
        <v>0</v>
      </c>
      <c r="V32" s="898">
        <f t="shared" si="9"/>
        <v>0</v>
      </c>
      <c r="W32" s="952"/>
      <c r="X32" s="899">
        <f t="shared" si="10"/>
        <v>0</v>
      </c>
      <c r="Y32" s="438"/>
      <c r="Z32" s="482"/>
      <c r="AA32" s="465"/>
      <c r="AB32" s="438"/>
      <c r="AC32" s="438"/>
    </row>
    <row r="33" spans="1:29" s="433" customFormat="1" ht="15.75">
      <c r="A33" s="581">
        <v>11</v>
      </c>
      <c r="B33" s="581">
        <v>6</v>
      </c>
      <c r="C33" s="581" t="s">
        <v>672</v>
      </c>
      <c r="D33" s="889" t="s">
        <v>0</v>
      </c>
      <c r="E33" s="435" t="s">
        <v>42</v>
      </c>
      <c r="F33" s="992"/>
      <c r="G33" s="464"/>
      <c r="H33" s="464">
        <f>IFERROR(#REF!*G33,0)</f>
        <v>0</v>
      </c>
      <c r="I33" s="429"/>
      <c r="J33" s="429"/>
      <c r="K33" s="464"/>
      <c r="L33" s="438"/>
      <c r="M33" s="900">
        <f t="shared" si="11"/>
        <v>0</v>
      </c>
      <c r="N33" s="901">
        <f t="shared" si="6"/>
        <v>0</v>
      </c>
      <c r="O33" s="438">
        <f>IFERROR(LOOKUP(1,0/((印刷機資料庫!$F$80:$F$157=F33)*(印刷機資料庫!$G$80:$G$157=J33)),印刷機資料庫!$J$80:$J$157),0)</f>
        <v>0</v>
      </c>
      <c r="P33" s="462"/>
      <c r="Q33" s="442"/>
      <c r="R33" s="482">
        <f>IFERROR(LOOKUP(1,0/((印刷機資料庫!$F$80:$F$157=F33)*(印刷機資料庫!$G$80:$G$157=J33)),印刷機資料庫!$I$80:$I$157),0)</f>
        <v>0</v>
      </c>
      <c r="S33" s="900">
        <f>IFERROR(LOOKUP(1,0/((印刷機資料庫!$F$80:$F$157=F33)*(印刷機資料庫!$G$80:$G$157=J33)),印刷機資料庫!$K$80:$K$157),0)</f>
        <v>0</v>
      </c>
      <c r="T33" s="898">
        <f t="shared" si="7"/>
        <v>0</v>
      </c>
      <c r="U33" s="923">
        <f t="shared" si="8"/>
        <v>0</v>
      </c>
      <c r="V33" s="898">
        <f t="shared" si="9"/>
        <v>0</v>
      </c>
      <c r="W33" s="952"/>
      <c r="X33" s="899">
        <f t="shared" si="10"/>
        <v>0</v>
      </c>
      <c r="Y33" s="438"/>
      <c r="Z33" s="482"/>
      <c r="AA33" s="465"/>
      <c r="AB33" s="438"/>
      <c r="AC33" s="438"/>
    </row>
    <row r="34" spans="1:29" s="433" customFormat="1" ht="15.75">
      <c r="A34" s="581">
        <v>11</v>
      </c>
      <c r="B34" s="581">
        <v>7</v>
      </c>
      <c r="C34" s="581" t="s">
        <v>673</v>
      </c>
      <c r="D34" s="889" t="s">
        <v>0</v>
      </c>
      <c r="E34" s="435" t="s">
        <v>44</v>
      </c>
      <c r="F34" s="992"/>
      <c r="G34" s="464"/>
      <c r="H34" s="464">
        <f>IFERROR(#REF!*G34,0)</f>
        <v>0</v>
      </c>
      <c r="I34" s="429"/>
      <c r="J34" s="429"/>
      <c r="K34" s="464"/>
      <c r="L34" s="438"/>
      <c r="M34" s="900">
        <f t="shared" si="11"/>
        <v>0</v>
      </c>
      <c r="N34" s="901">
        <f t="shared" si="6"/>
        <v>0</v>
      </c>
      <c r="O34" s="438">
        <f>IFERROR(LOOKUP(1,0/((印刷機資料庫!$F$80:$F$157=F34)*(印刷機資料庫!$G$80:$G$157=J34)),印刷機資料庫!$J$80:$J$157),0)</f>
        <v>0</v>
      </c>
      <c r="P34" s="462"/>
      <c r="Q34" s="442"/>
      <c r="R34" s="482">
        <f>IFERROR(LOOKUP(1,0/((印刷機資料庫!$F$80:$F$157=F34)*(印刷機資料庫!$G$80:$G$157=J34)),印刷機資料庫!$I$80:$I$157),0)</f>
        <v>0</v>
      </c>
      <c r="S34" s="900">
        <f>IFERROR(LOOKUP(1,0/((印刷機資料庫!$F$80:$F$157=F34)*(印刷機資料庫!$G$80:$G$157=J34)),印刷機資料庫!$K$80:$K$157),0)</f>
        <v>0</v>
      </c>
      <c r="T34" s="898">
        <f t="shared" si="7"/>
        <v>0</v>
      </c>
      <c r="U34" s="923">
        <f t="shared" si="8"/>
        <v>0</v>
      </c>
      <c r="V34" s="898">
        <f t="shared" si="9"/>
        <v>0</v>
      </c>
      <c r="W34" s="952"/>
      <c r="X34" s="899">
        <f t="shared" si="10"/>
        <v>0</v>
      </c>
      <c r="Y34" s="438"/>
      <c r="Z34" s="482"/>
      <c r="AA34" s="465"/>
      <c r="AB34" s="438"/>
      <c r="AC34" s="438"/>
    </row>
    <row r="35" spans="1:29" s="433" customFormat="1" ht="15.75">
      <c r="A35" s="581">
        <v>11</v>
      </c>
      <c r="B35" s="581">
        <v>7</v>
      </c>
      <c r="C35" s="581" t="s">
        <v>673</v>
      </c>
      <c r="D35" s="889" t="s">
        <v>0</v>
      </c>
      <c r="E35" s="435" t="s">
        <v>44</v>
      </c>
      <c r="F35" s="992"/>
      <c r="G35" s="464"/>
      <c r="H35" s="464">
        <f>IFERROR(#REF!*G35,0)</f>
        <v>0</v>
      </c>
      <c r="I35" s="429"/>
      <c r="J35" s="429"/>
      <c r="K35" s="464"/>
      <c r="L35" s="438"/>
      <c r="M35" s="900">
        <f t="shared" si="11"/>
        <v>0</v>
      </c>
      <c r="N35" s="901">
        <f t="shared" si="6"/>
        <v>0</v>
      </c>
      <c r="O35" s="438">
        <f>IFERROR(LOOKUP(1,0/((印刷機資料庫!$F$80:$F$157=F35)*(印刷機資料庫!$G$80:$G$157=J35)),印刷機資料庫!$J$80:$J$157),0)</f>
        <v>0</v>
      </c>
      <c r="P35" s="462"/>
      <c r="Q35" s="442"/>
      <c r="R35" s="482">
        <f>IFERROR(LOOKUP(1,0/((印刷機資料庫!$F$80:$F$157=F35)*(印刷機資料庫!$G$80:$G$157=J35)),印刷機資料庫!$I$80:$I$157),0)</f>
        <v>0</v>
      </c>
      <c r="S35" s="900">
        <f>IFERROR(LOOKUP(1,0/((印刷機資料庫!$F$80:$F$157=F35)*(印刷機資料庫!$G$80:$G$157=J35)),印刷機資料庫!$K$80:$K$157),0)</f>
        <v>0</v>
      </c>
      <c r="T35" s="898">
        <f t="shared" si="7"/>
        <v>0</v>
      </c>
      <c r="U35" s="923">
        <f t="shared" si="8"/>
        <v>0</v>
      </c>
      <c r="V35" s="898">
        <f t="shared" si="9"/>
        <v>0</v>
      </c>
      <c r="W35" s="952"/>
      <c r="X35" s="899">
        <f t="shared" si="10"/>
        <v>0</v>
      </c>
      <c r="Y35" s="438"/>
      <c r="Z35" s="482"/>
      <c r="AA35" s="465"/>
      <c r="AB35" s="438"/>
      <c r="AC35" s="438"/>
    </row>
    <row r="36" spans="1:29" s="433" customFormat="1" ht="15.75">
      <c r="A36" s="581">
        <v>11</v>
      </c>
      <c r="B36" s="581">
        <v>8</v>
      </c>
      <c r="C36" s="581" t="s">
        <v>632</v>
      </c>
      <c r="D36" s="889" t="s">
        <v>0</v>
      </c>
      <c r="E36" s="435" t="s">
        <v>58</v>
      </c>
      <c r="F36" s="992"/>
      <c r="G36" s="464"/>
      <c r="H36" s="464">
        <f>IFERROR(#REF!*G36,0)</f>
        <v>0</v>
      </c>
      <c r="I36" s="429"/>
      <c r="J36" s="429"/>
      <c r="K36" s="464"/>
      <c r="L36" s="438"/>
      <c r="M36" s="900">
        <f t="shared" si="11"/>
        <v>0</v>
      </c>
      <c r="N36" s="901">
        <f>K36*L36</f>
        <v>0</v>
      </c>
      <c r="O36" s="438">
        <f>IFERROR(LOOKUP(1,0/((印刷機資料庫!$F$80:$F$157=F36)*(印刷機資料庫!$G$80:$G$157=J36)),印刷機資料庫!$J$80:$J$157),0)</f>
        <v>0</v>
      </c>
      <c r="P36" s="462"/>
      <c r="Q36" s="442"/>
      <c r="R36" s="482">
        <f>IFERROR(LOOKUP(1,0/((印刷機資料庫!$F$80:$F$157=F36)*(印刷機資料庫!$G$80:$G$157=J36)),印刷機資料庫!$I$80:$I$157),0)</f>
        <v>0</v>
      </c>
      <c r="S36" s="900">
        <f>IFERROR(LOOKUP(1,0/((印刷機資料庫!$F$80:$F$157=F36)*(印刷機資料庫!$G$80:$G$157=J36)),印刷機資料庫!$K$80:$K$157),0)</f>
        <v>0</v>
      </c>
      <c r="T36" s="898">
        <f>IFERROR(L36/S36,0)</f>
        <v>0</v>
      </c>
      <c r="U36" s="923">
        <f t="shared" si="8"/>
        <v>0</v>
      </c>
      <c r="V36" s="898">
        <f>IFERROR(L36/U36,0)</f>
        <v>0</v>
      </c>
      <c r="W36" s="952"/>
      <c r="X36" s="899">
        <f t="shared" si="10"/>
        <v>0</v>
      </c>
      <c r="Y36" s="438"/>
      <c r="Z36" s="482"/>
      <c r="AA36" s="465"/>
      <c r="AB36" s="438"/>
      <c r="AC36" s="438"/>
    </row>
    <row r="37" spans="1:29" s="433" customFormat="1" ht="15.75">
      <c r="A37" s="581">
        <v>11</v>
      </c>
      <c r="B37" s="581">
        <v>9</v>
      </c>
      <c r="C37" s="581" t="s">
        <v>667</v>
      </c>
      <c r="D37" s="889" t="s">
        <v>0</v>
      </c>
      <c r="E37" s="435" t="s">
        <v>58</v>
      </c>
      <c r="F37" s="992"/>
      <c r="G37" s="464"/>
      <c r="H37" s="464">
        <f>IFERROR(#REF!*G37,0)</f>
        <v>0</v>
      </c>
      <c r="I37" s="429"/>
      <c r="J37" s="429"/>
      <c r="K37" s="464"/>
      <c r="L37" s="438"/>
      <c r="M37" s="900">
        <f t="shared" si="11"/>
        <v>0</v>
      </c>
      <c r="N37" s="901">
        <f>K37*L37</f>
        <v>0</v>
      </c>
      <c r="O37" s="438">
        <f>IFERROR(LOOKUP(1,0/((印刷機資料庫!$F$80:$F$157=F37)*(印刷機資料庫!$G$80:$G$157=J37)),印刷機資料庫!$J$80:$J$157),0)</f>
        <v>0</v>
      </c>
      <c r="P37" s="462"/>
      <c r="Q37" s="442"/>
      <c r="R37" s="482">
        <f>IFERROR(LOOKUP(1,0/((印刷機資料庫!$F$80:$F$157=F37)*(印刷機資料庫!$G$80:$G$157=J37)),印刷機資料庫!$I$80:$I$157),0)</f>
        <v>0</v>
      </c>
      <c r="S37" s="900">
        <f>IFERROR(LOOKUP(1,0/((印刷機資料庫!$F$80:$F$157=F37)*(印刷機資料庫!$G$80:$G$157=J37)),印刷機資料庫!$K$80:$K$157),0)</f>
        <v>0</v>
      </c>
      <c r="T37" s="898">
        <f>IFERROR(L37/S37,0)</f>
        <v>0</v>
      </c>
      <c r="U37" s="923">
        <f t="shared" si="8"/>
        <v>0</v>
      </c>
      <c r="V37" s="898">
        <f t="shared" si="9"/>
        <v>0</v>
      </c>
      <c r="W37" s="952"/>
      <c r="X37" s="899">
        <f t="shared" si="10"/>
        <v>0</v>
      </c>
      <c r="Y37" s="438"/>
      <c r="Z37" s="482"/>
      <c r="AA37" s="465"/>
      <c r="AB37" s="438"/>
      <c r="AC37" s="438"/>
    </row>
    <row r="38" spans="1:29" s="433" customFormat="1" ht="15.75">
      <c r="A38" s="581">
        <v>11</v>
      </c>
      <c r="B38" s="581">
        <v>9</v>
      </c>
      <c r="C38" s="581" t="s">
        <v>667</v>
      </c>
      <c r="D38" s="889" t="s">
        <v>0</v>
      </c>
      <c r="E38" s="435" t="s">
        <v>58</v>
      </c>
      <c r="F38" s="992"/>
      <c r="G38" s="464"/>
      <c r="H38" s="464">
        <f>IFERROR(#REF!*G38,0)</f>
        <v>0</v>
      </c>
      <c r="I38" s="429"/>
      <c r="J38" s="429"/>
      <c r="K38" s="464"/>
      <c r="L38" s="438"/>
      <c r="M38" s="900">
        <f t="shared" si="11"/>
        <v>0</v>
      </c>
      <c r="N38" s="901">
        <f>K38*L38</f>
        <v>0</v>
      </c>
      <c r="O38" s="438">
        <f>IFERROR(LOOKUP(1,0/((印刷機資料庫!$F$80:$F$157=F38)*(印刷機資料庫!$G$80:$G$157=J38)),印刷機資料庫!$J$80:$J$157),0)</f>
        <v>0</v>
      </c>
      <c r="P38" s="462"/>
      <c r="Q38" s="442"/>
      <c r="R38" s="482">
        <f>IFERROR(LOOKUP(1,0/((印刷機資料庫!$F$80:$F$157=F38)*(印刷機資料庫!$G$80:$G$157=J38)),印刷機資料庫!$I$80:$I$157),0)</f>
        <v>0</v>
      </c>
      <c r="S38" s="900">
        <f>IFERROR(LOOKUP(1,0/((印刷機資料庫!$F$80:$F$157=F38)*(印刷機資料庫!$G$80:$G$157=J38)),印刷機資料庫!$K$80:$K$157),0)</f>
        <v>0</v>
      </c>
      <c r="T38" s="898">
        <f t="shared" si="7"/>
        <v>0</v>
      </c>
      <c r="U38" s="923">
        <f t="shared" si="8"/>
        <v>0</v>
      </c>
      <c r="V38" s="898">
        <f t="shared" si="9"/>
        <v>0</v>
      </c>
      <c r="W38" s="952"/>
      <c r="X38" s="899">
        <f t="shared" si="10"/>
        <v>0</v>
      </c>
      <c r="Y38" s="438"/>
      <c r="Z38" s="482"/>
      <c r="AA38" s="465"/>
      <c r="AB38" s="438"/>
      <c r="AC38" s="438"/>
    </row>
    <row r="39" spans="1:29" s="433" customFormat="1" ht="15.75">
      <c r="A39" s="581">
        <v>11</v>
      </c>
      <c r="B39" s="581">
        <v>10</v>
      </c>
      <c r="C39" s="581" t="s">
        <v>669</v>
      </c>
      <c r="D39" s="889" t="s">
        <v>0</v>
      </c>
      <c r="E39" s="435" t="s">
        <v>58</v>
      </c>
      <c r="F39" s="992"/>
      <c r="G39" s="464"/>
      <c r="H39" s="464">
        <f>IFERROR(#REF!*G39,0)</f>
        <v>0</v>
      </c>
      <c r="I39" s="429"/>
      <c r="J39" s="429"/>
      <c r="K39" s="464"/>
      <c r="L39" s="438"/>
      <c r="M39" s="900">
        <f t="shared" si="11"/>
        <v>0</v>
      </c>
      <c r="N39" s="901">
        <f>K39*L39</f>
        <v>0</v>
      </c>
      <c r="O39" s="438">
        <f>IFERROR(LOOKUP(1,0/((印刷機資料庫!$F$80:$F$157=F39)*(印刷機資料庫!$G$80:$G$157=J39)),印刷機資料庫!$J$80:$J$157),0)</f>
        <v>0</v>
      </c>
      <c r="P39" s="462"/>
      <c r="Q39" s="442"/>
      <c r="R39" s="482">
        <f>IFERROR(LOOKUP(1,0/((印刷機資料庫!$F$80:$F$157=F39)*(印刷機資料庫!$G$80:$G$157=J39)),印刷機資料庫!$I$80:$I$157),0)</f>
        <v>0</v>
      </c>
      <c r="S39" s="900">
        <f>IFERROR(LOOKUP(1,0/((印刷機資料庫!$F$80:$F$157=F39)*(印刷機資料庫!$G$80:$G$157=J39)),印刷機資料庫!$K$80:$K$157),0)</f>
        <v>0</v>
      </c>
      <c r="T39" s="898">
        <f t="shared" si="7"/>
        <v>0</v>
      </c>
      <c r="U39" s="923">
        <f t="shared" si="8"/>
        <v>0</v>
      </c>
      <c r="V39" s="898">
        <f t="shared" si="9"/>
        <v>0</v>
      </c>
      <c r="W39" s="952"/>
      <c r="X39" s="899">
        <f t="shared" si="10"/>
        <v>0</v>
      </c>
      <c r="Y39" s="438"/>
      <c r="Z39" s="482"/>
      <c r="AA39" s="465"/>
      <c r="AB39" s="438"/>
      <c r="AC39" s="438"/>
    </row>
    <row r="40" spans="1:29" s="433" customFormat="1" ht="15.75">
      <c r="A40" s="581">
        <v>11</v>
      </c>
      <c r="B40" s="581">
        <v>11</v>
      </c>
      <c r="C40" s="581" t="s">
        <v>670</v>
      </c>
      <c r="D40" s="889" t="s">
        <v>0</v>
      </c>
      <c r="E40" s="435" t="s">
        <v>58</v>
      </c>
      <c r="F40" s="992"/>
      <c r="G40" s="464"/>
      <c r="H40" s="464">
        <f>IFERROR(#REF!*G40,0)</f>
        <v>0</v>
      </c>
      <c r="I40" s="429"/>
      <c r="J40" s="429"/>
      <c r="K40" s="464"/>
      <c r="L40" s="438"/>
      <c r="M40" s="900">
        <f t="shared" si="11"/>
        <v>0</v>
      </c>
      <c r="N40" s="901">
        <f t="shared" ref="N40:N68" si="12">K40*L40</f>
        <v>0</v>
      </c>
      <c r="O40" s="438">
        <f>IFERROR(LOOKUP(1,0/((印刷機資料庫!$F$80:$F$157=F40)*(印刷機資料庫!$G$80:$G$157=J40)),印刷機資料庫!$J$80:$J$157),0)</f>
        <v>0</v>
      </c>
      <c r="P40" s="462"/>
      <c r="Q40" s="442"/>
      <c r="R40" s="482">
        <f>IFERROR(LOOKUP(1,0/((印刷機資料庫!$F$80:$F$157=F40)*(印刷機資料庫!$G$80:$G$157=J40)),印刷機資料庫!$I$80:$I$157),0)</f>
        <v>0</v>
      </c>
      <c r="S40" s="900">
        <f>IFERROR(LOOKUP(1,0/((印刷機資料庫!$F$80:$F$157=F40)*(印刷機資料庫!$G$80:$G$157=J40)),印刷機資料庫!$K$80:$K$157),0)</f>
        <v>0</v>
      </c>
      <c r="T40" s="898">
        <f t="shared" si="7"/>
        <v>0</v>
      </c>
      <c r="U40" s="923">
        <f t="shared" si="8"/>
        <v>0</v>
      </c>
      <c r="V40" s="898">
        <f t="shared" si="9"/>
        <v>0</v>
      </c>
      <c r="W40" s="952"/>
      <c r="X40" s="899">
        <f t="shared" si="10"/>
        <v>0</v>
      </c>
      <c r="Y40" s="438"/>
      <c r="Z40" s="482"/>
      <c r="AA40" s="465"/>
      <c r="AB40" s="438"/>
      <c r="AC40" s="438"/>
    </row>
    <row r="41" spans="1:29" s="433" customFormat="1" ht="15.75">
      <c r="A41" s="581">
        <v>11</v>
      </c>
      <c r="B41" s="581">
        <v>12</v>
      </c>
      <c r="C41" s="581" t="s">
        <v>671</v>
      </c>
      <c r="D41" s="889" t="s">
        <v>0</v>
      </c>
      <c r="E41" s="435" t="s">
        <v>58</v>
      </c>
      <c r="F41" s="992"/>
      <c r="G41" s="464"/>
      <c r="H41" s="464">
        <f>IFERROR(#REF!*G41,0)</f>
        <v>0</v>
      </c>
      <c r="I41" s="429"/>
      <c r="J41" s="429"/>
      <c r="K41" s="464"/>
      <c r="L41" s="438"/>
      <c r="M41" s="900">
        <f t="shared" si="11"/>
        <v>0</v>
      </c>
      <c r="N41" s="901">
        <f t="shared" si="12"/>
        <v>0</v>
      </c>
      <c r="O41" s="438">
        <f>IFERROR(LOOKUP(1,0/((印刷機資料庫!$F$80:$F$157=F41)*(印刷機資料庫!$G$80:$G$157=J41)),印刷機資料庫!$J$80:$J$157),0)</f>
        <v>0</v>
      </c>
      <c r="P41" s="462"/>
      <c r="Q41" s="442"/>
      <c r="R41" s="482">
        <f>IFERROR(LOOKUP(1,0/((印刷機資料庫!$F$80:$F$157=F41)*(印刷機資料庫!$G$80:$G$157=J41)),印刷機資料庫!$I$80:$I$157),0)</f>
        <v>0</v>
      </c>
      <c r="S41" s="900">
        <f>IFERROR(LOOKUP(1,0/((印刷機資料庫!$F$80:$F$157=F41)*(印刷機資料庫!$G$80:$G$157=J41)),印刷機資料庫!$K$80:$K$157),0)</f>
        <v>0</v>
      </c>
      <c r="T41" s="898">
        <f t="shared" si="7"/>
        <v>0</v>
      </c>
      <c r="U41" s="923">
        <f t="shared" si="8"/>
        <v>0</v>
      </c>
      <c r="V41" s="898">
        <f t="shared" si="9"/>
        <v>0</v>
      </c>
      <c r="W41" s="952"/>
      <c r="X41" s="899">
        <f t="shared" si="10"/>
        <v>0</v>
      </c>
      <c r="Y41" s="438"/>
      <c r="Z41" s="482"/>
      <c r="AA41" s="465"/>
      <c r="AB41" s="438"/>
      <c r="AC41" s="438"/>
    </row>
    <row r="42" spans="1:29" s="433" customFormat="1" ht="15.75">
      <c r="A42" s="581">
        <v>11</v>
      </c>
      <c r="B42" s="581">
        <v>13</v>
      </c>
      <c r="C42" s="581" t="s">
        <v>672</v>
      </c>
      <c r="D42" s="889" t="s">
        <v>0</v>
      </c>
      <c r="E42" s="435" t="s">
        <v>58</v>
      </c>
      <c r="F42" s="992"/>
      <c r="G42" s="464"/>
      <c r="H42" s="464">
        <f>IFERROR(#REF!*G42,0)</f>
        <v>0</v>
      </c>
      <c r="I42" s="429"/>
      <c r="J42" s="429"/>
      <c r="K42" s="464"/>
      <c r="L42" s="438"/>
      <c r="M42" s="900">
        <f t="shared" si="11"/>
        <v>0</v>
      </c>
      <c r="N42" s="901">
        <f t="shared" si="12"/>
        <v>0</v>
      </c>
      <c r="O42" s="438">
        <f>IFERROR(LOOKUP(1,0/((印刷機資料庫!$F$80:$F$157=F42)*(印刷機資料庫!$G$80:$G$157=J42)),印刷機資料庫!$J$80:$J$157),0)</f>
        <v>0</v>
      </c>
      <c r="P42" s="462"/>
      <c r="Q42" s="442"/>
      <c r="R42" s="482">
        <f>IFERROR(LOOKUP(1,0/((印刷機資料庫!$F$80:$F$157=F42)*(印刷機資料庫!$G$80:$G$157=J42)),印刷機資料庫!$I$80:$I$157),0)</f>
        <v>0</v>
      </c>
      <c r="S42" s="900">
        <f>IFERROR(LOOKUP(1,0/((印刷機資料庫!$F$80:$F$157=F42)*(印刷機資料庫!$G$80:$G$157=J42)),印刷機資料庫!$K$80:$K$157),0)</f>
        <v>0</v>
      </c>
      <c r="T42" s="898">
        <f t="shared" si="7"/>
        <v>0</v>
      </c>
      <c r="U42" s="923">
        <f t="shared" si="8"/>
        <v>0</v>
      </c>
      <c r="V42" s="898">
        <f t="shared" si="9"/>
        <v>0</v>
      </c>
      <c r="W42" s="952"/>
      <c r="X42" s="899">
        <f t="shared" si="10"/>
        <v>0</v>
      </c>
      <c r="Y42" s="438"/>
      <c r="Z42" s="482"/>
      <c r="AA42" s="465"/>
      <c r="AB42" s="438"/>
      <c r="AC42" s="438"/>
    </row>
    <row r="43" spans="1:29" s="433" customFormat="1" ht="15.75">
      <c r="A43" s="581">
        <v>11</v>
      </c>
      <c r="B43" s="581">
        <v>14</v>
      </c>
      <c r="C43" s="581" t="s">
        <v>673</v>
      </c>
      <c r="D43" s="889" t="s">
        <v>0</v>
      </c>
      <c r="E43" s="435" t="s">
        <v>58</v>
      </c>
      <c r="F43" s="992"/>
      <c r="G43" s="464"/>
      <c r="H43" s="464">
        <f>IFERROR(#REF!*G43,0)</f>
        <v>0</v>
      </c>
      <c r="I43" s="429"/>
      <c r="J43" s="429"/>
      <c r="K43" s="464"/>
      <c r="L43" s="438"/>
      <c r="M43" s="900">
        <f t="shared" si="11"/>
        <v>0</v>
      </c>
      <c r="N43" s="901">
        <f t="shared" si="12"/>
        <v>0</v>
      </c>
      <c r="O43" s="438">
        <f>IFERROR(LOOKUP(1,0/((印刷機資料庫!$F$80:$F$157=F43)*(印刷機資料庫!$G$80:$G$157=J43)),印刷機資料庫!$J$80:$J$157),0)</f>
        <v>0</v>
      </c>
      <c r="P43" s="462"/>
      <c r="Q43" s="442"/>
      <c r="R43" s="482">
        <f>IFERROR(LOOKUP(1,0/((印刷機資料庫!$F$80:$F$157=F43)*(印刷機資料庫!$G$80:$G$157=J43)),印刷機資料庫!$I$80:$I$157),0)</f>
        <v>0</v>
      </c>
      <c r="S43" s="900">
        <f>IFERROR(LOOKUP(1,0/((印刷機資料庫!$F$80:$F$157=F43)*(印刷機資料庫!$G$80:$G$157=J43)),印刷機資料庫!$K$80:$K$157),0)</f>
        <v>0</v>
      </c>
      <c r="T43" s="898">
        <f t="shared" si="7"/>
        <v>0</v>
      </c>
      <c r="U43" s="923">
        <f t="shared" si="8"/>
        <v>0</v>
      </c>
      <c r="V43" s="898">
        <f t="shared" si="9"/>
        <v>0</v>
      </c>
      <c r="W43" s="952"/>
      <c r="X43" s="899">
        <f t="shared" si="10"/>
        <v>0</v>
      </c>
      <c r="Y43" s="438"/>
      <c r="Z43" s="482"/>
      <c r="AA43" s="465"/>
      <c r="AB43" s="438"/>
      <c r="AC43" s="438"/>
    </row>
    <row r="44" spans="1:29" s="433" customFormat="1" ht="15.75">
      <c r="A44" s="581">
        <v>11</v>
      </c>
      <c r="B44" s="581">
        <v>15</v>
      </c>
      <c r="C44" s="581" t="s">
        <v>632</v>
      </c>
      <c r="D44" s="889" t="s">
        <v>0</v>
      </c>
      <c r="E44" s="435" t="s">
        <v>58</v>
      </c>
      <c r="F44" s="992"/>
      <c r="G44" s="464"/>
      <c r="H44" s="464">
        <f>IFERROR(#REF!*G44,0)</f>
        <v>0</v>
      </c>
      <c r="I44" s="429"/>
      <c r="J44" s="429"/>
      <c r="K44" s="464"/>
      <c r="L44" s="438"/>
      <c r="M44" s="900">
        <f t="shared" si="11"/>
        <v>0</v>
      </c>
      <c r="N44" s="901">
        <f t="shared" si="12"/>
        <v>0</v>
      </c>
      <c r="O44" s="438">
        <f>IFERROR(LOOKUP(1,0/((印刷機資料庫!$F$80:$F$157=F44)*(印刷機資料庫!$G$80:$G$157=J44)),印刷機資料庫!$J$80:$J$157),0)</f>
        <v>0</v>
      </c>
      <c r="P44" s="462"/>
      <c r="Q44" s="442"/>
      <c r="R44" s="482">
        <f>IFERROR(LOOKUP(1,0/((印刷機資料庫!$F$80:$F$157=F44)*(印刷機資料庫!$G$80:$G$157=J44)),印刷機資料庫!$I$80:$I$157),0)</f>
        <v>0</v>
      </c>
      <c r="S44" s="900">
        <f>IFERROR(LOOKUP(1,0/((印刷機資料庫!$F$80:$F$157=F44)*(印刷機資料庫!$G$80:$G$157=J44)),印刷機資料庫!$K$80:$K$157),0)</f>
        <v>0</v>
      </c>
      <c r="T44" s="898">
        <f t="shared" si="7"/>
        <v>0</v>
      </c>
      <c r="U44" s="923">
        <f t="shared" si="8"/>
        <v>0</v>
      </c>
      <c r="V44" s="898">
        <f t="shared" si="9"/>
        <v>0</v>
      </c>
      <c r="W44" s="952"/>
      <c r="X44" s="899">
        <f t="shared" si="10"/>
        <v>0</v>
      </c>
      <c r="Y44" s="438"/>
      <c r="Z44" s="482"/>
      <c r="AA44" s="465"/>
      <c r="AB44" s="438"/>
      <c r="AC44" s="438"/>
    </row>
    <row r="45" spans="1:29" s="433" customFormat="1" ht="15.75">
      <c r="A45" s="581">
        <v>11</v>
      </c>
      <c r="B45" s="581">
        <v>15</v>
      </c>
      <c r="C45" s="581" t="s">
        <v>632</v>
      </c>
      <c r="D45" s="889" t="s">
        <v>0</v>
      </c>
      <c r="E45" s="435" t="s">
        <v>58</v>
      </c>
      <c r="F45" s="992"/>
      <c r="G45" s="464"/>
      <c r="H45" s="464">
        <f>IFERROR(#REF!*G45,0)</f>
        <v>0</v>
      </c>
      <c r="I45" s="429"/>
      <c r="J45" s="429"/>
      <c r="K45" s="464"/>
      <c r="L45" s="438"/>
      <c r="M45" s="900">
        <f t="shared" si="11"/>
        <v>0</v>
      </c>
      <c r="N45" s="901">
        <f t="shared" si="12"/>
        <v>0</v>
      </c>
      <c r="O45" s="438">
        <f>IFERROR(LOOKUP(1,0/((印刷機資料庫!$F$80:$F$157=F45)*(印刷機資料庫!$G$80:$G$157=J45)),印刷機資料庫!$J$80:$J$157),0)</f>
        <v>0</v>
      </c>
      <c r="P45" s="462"/>
      <c r="Q45" s="442"/>
      <c r="R45" s="482">
        <f>IFERROR(LOOKUP(1,0/((印刷機資料庫!$F$80:$F$157=F45)*(印刷機資料庫!$G$80:$G$157=J45)),印刷機資料庫!$I$80:$I$157),0)</f>
        <v>0</v>
      </c>
      <c r="S45" s="900">
        <f>IFERROR(LOOKUP(1,0/((印刷機資料庫!$F$80:$F$157=F45)*(印刷機資料庫!$G$80:$G$157=J45)),印刷機資料庫!$K$80:$K$157),0)</f>
        <v>0</v>
      </c>
      <c r="T45" s="898">
        <f t="shared" si="7"/>
        <v>0</v>
      </c>
      <c r="U45" s="923">
        <f t="shared" si="8"/>
        <v>0</v>
      </c>
      <c r="V45" s="898">
        <f t="shared" si="9"/>
        <v>0</v>
      </c>
      <c r="W45" s="952"/>
      <c r="X45" s="899">
        <f t="shared" si="10"/>
        <v>0</v>
      </c>
      <c r="Y45" s="438"/>
      <c r="Z45" s="482"/>
      <c r="AA45" s="465"/>
      <c r="AB45" s="438"/>
      <c r="AC45" s="438"/>
    </row>
    <row r="46" spans="1:29" s="433" customFormat="1" ht="15.75">
      <c r="A46" s="581">
        <v>11</v>
      </c>
      <c r="B46" s="581">
        <v>15</v>
      </c>
      <c r="C46" s="581" t="s">
        <v>632</v>
      </c>
      <c r="D46" s="889" t="s">
        <v>0</v>
      </c>
      <c r="E46" s="435" t="s">
        <v>58</v>
      </c>
      <c r="F46" s="992"/>
      <c r="G46" s="464"/>
      <c r="H46" s="464">
        <f>IFERROR(#REF!*G46,0)</f>
        <v>0</v>
      </c>
      <c r="I46" s="429"/>
      <c r="J46" s="429"/>
      <c r="K46" s="464"/>
      <c r="L46" s="438"/>
      <c r="M46" s="900">
        <f t="shared" si="11"/>
        <v>0</v>
      </c>
      <c r="N46" s="901">
        <f t="shared" si="12"/>
        <v>0</v>
      </c>
      <c r="O46" s="438">
        <f>IFERROR(LOOKUP(1,0/((印刷機資料庫!$F$80:$F$157=F46)*(印刷機資料庫!$G$80:$G$157=J46)),印刷機資料庫!$J$80:$J$157),0)</f>
        <v>0</v>
      </c>
      <c r="P46" s="462"/>
      <c r="Q46" s="442"/>
      <c r="R46" s="482">
        <f>IFERROR(LOOKUP(1,0/((印刷機資料庫!$F$80:$F$157=F46)*(印刷機資料庫!$G$80:$G$157=J46)),印刷機資料庫!$I$80:$I$157),0)</f>
        <v>0</v>
      </c>
      <c r="S46" s="900">
        <f>IFERROR(LOOKUP(1,0/((印刷機資料庫!$F$80:$F$157=F46)*(印刷機資料庫!$G$80:$G$157=J46)),印刷機資料庫!$K$80:$K$157),0)</f>
        <v>0</v>
      </c>
      <c r="T46" s="898">
        <f t="shared" si="7"/>
        <v>0</v>
      </c>
      <c r="U46" s="923">
        <f t="shared" si="8"/>
        <v>0</v>
      </c>
      <c r="V46" s="898">
        <f t="shared" si="9"/>
        <v>0</v>
      </c>
      <c r="W46" s="952"/>
      <c r="X46" s="899">
        <f t="shared" si="10"/>
        <v>0</v>
      </c>
      <c r="Y46" s="438"/>
      <c r="Z46" s="482"/>
      <c r="AA46" s="465"/>
      <c r="AB46" s="438"/>
      <c r="AC46" s="438"/>
    </row>
    <row r="47" spans="1:29" s="433" customFormat="1" ht="15.75">
      <c r="A47" s="581">
        <v>11</v>
      </c>
      <c r="B47" s="581">
        <v>16</v>
      </c>
      <c r="C47" s="581" t="s">
        <v>667</v>
      </c>
      <c r="D47" s="889" t="s">
        <v>0</v>
      </c>
      <c r="E47" s="435" t="s">
        <v>58</v>
      </c>
      <c r="F47" s="992"/>
      <c r="G47" s="464"/>
      <c r="H47" s="464">
        <f>IFERROR(#REF!*G47,0)</f>
        <v>0</v>
      </c>
      <c r="I47" s="429"/>
      <c r="J47" s="429"/>
      <c r="K47" s="464"/>
      <c r="L47" s="438"/>
      <c r="M47" s="900">
        <f t="shared" si="11"/>
        <v>0</v>
      </c>
      <c r="N47" s="901">
        <f t="shared" si="12"/>
        <v>0</v>
      </c>
      <c r="O47" s="438">
        <f>IFERROR(LOOKUP(1,0/((印刷機資料庫!$F$80:$F$157=F47)*(印刷機資料庫!$G$80:$G$157=J47)),印刷機資料庫!$J$80:$J$157),0)</f>
        <v>0</v>
      </c>
      <c r="P47" s="462"/>
      <c r="Q47" s="442"/>
      <c r="R47" s="482">
        <f>IFERROR(LOOKUP(1,0/((印刷機資料庫!$F$80:$F$157=F47)*(印刷機資料庫!$G$80:$G$157=J47)),印刷機資料庫!$I$80:$I$157),0)</f>
        <v>0</v>
      </c>
      <c r="S47" s="900">
        <f>IFERROR(LOOKUP(1,0/((印刷機資料庫!$F$80:$F$157=F47)*(印刷機資料庫!$G$80:$G$157=J47)),印刷機資料庫!$K$80:$K$157),0)</f>
        <v>0</v>
      </c>
      <c r="T47" s="898">
        <f t="shared" si="7"/>
        <v>0</v>
      </c>
      <c r="U47" s="923">
        <f t="shared" si="8"/>
        <v>0</v>
      </c>
      <c r="V47" s="898">
        <f t="shared" si="9"/>
        <v>0</v>
      </c>
      <c r="W47" s="952"/>
      <c r="X47" s="899">
        <f t="shared" si="10"/>
        <v>0</v>
      </c>
      <c r="Y47" s="438"/>
      <c r="Z47" s="482"/>
      <c r="AA47" s="465"/>
      <c r="AB47" s="438"/>
      <c r="AC47" s="438"/>
    </row>
    <row r="48" spans="1:29" s="433" customFormat="1" ht="15.75">
      <c r="A48" s="581">
        <v>11</v>
      </c>
      <c r="B48" s="581">
        <v>16</v>
      </c>
      <c r="C48" s="581" t="s">
        <v>667</v>
      </c>
      <c r="D48" s="889" t="s">
        <v>0</v>
      </c>
      <c r="E48" s="435" t="s">
        <v>58</v>
      </c>
      <c r="F48" s="992"/>
      <c r="G48" s="464"/>
      <c r="H48" s="464">
        <f>IFERROR(#REF!*G48,0)</f>
        <v>0</v>
      </c>
      <c r="I48" s="429"/>
      <c r="J48" s="429"/>
      <c r="K48" s="464"/>
      <c r="L48" s="438"/>
      <c r="M48" s="900">
        <f t="shared" si="11"/>
        <v>0</v>
      </c>
      <c r="N48" s="901">
        <f t="shared" si="12"/>
        <v>0</v>
      </c>
      <c r="O48" s="438">
        <f>IFERROR(LOOKUP(1,0/((印刷機資料庫!$F$80:$F$157=F48)*(印刷機資料庫!$G$80:$G$157=J48)),印刷機資料庫!$J$80:$J$157),0)</f>
        <v>0</v>
      </c>
      <c r="P48" s="462"/>
      <c r="Q48" s="442"/>
      <c r="R48" s="482">
        <f>IFERROR(LOOKUP(1,0/((印刷機資料庫!$F$80:$F$157=F48)*(印刷機資料庫!$G$80:$G$157=J48)),印刷機資料庫!$I$80:$I$157),0)</f>
        <v>0</v>
      </c>
      <c r="S48" s="900">
        <f>IFERROR(LOOKUP(1,0/((印刷機資料庫!$F$80:$F$157=F48)*(印刷機資料庫!$G$80:$G$157=J48)),印刷機資料庫!$K$80:$K$157),0)</f>
        <v>0</v>
      </c>
      <c r="T48" s="898">
        <f>IFERROR(L48/S48,0)</f>
        <v>0</v>
      </c>
      <c r="U48" s="923">
        <f t="shared" si="8"/>
        <v>0</v>
      </c>
      <c r="V48" s="898">
        <f t="shared" si="9"/>
        <v>0</v>
      </c>
      <c r="W48" s="952"/>
      <c r="X48" s="899">
        <f t="shared" si="10"/>
        <v>0</v>
      </c>
      <c r="Y48" s="438"/>
      <c r="Z48" s="482"/>
      <c r="AA48" s="465"/>
      <c r="AB48" s="438"/>
      <c r="AC48" s="438"/>
    </row>
    <row r="49" spans="1:29" s="433" customFormat="1" ht="15.75">
      <c r="A49" s="581">
        <v>11</v>
      </c>
      <c r="B49" s="581">
        <v>16</v>
      </c>
      <c r="C49" s="581" t="s">
        <v>667</v>
      </c>
      <c r="D49" s="889" t="s">
        <v>0</v>
      </c>
      <c r="E49" s="435" t="s">
        <v>44</v>
      </c>
      <c r="F49" s="992"/>
      <c r="G49" s="464"/>
      <c r="H49" s="464">
        <f>IFERROR(#REF!*G49,0)</f>
        <v>0</v>
      </c>
      <c r="I49" s="429"/>
      <c r="J49" s="429"/>
      <c r="K49" s="464"/>
      <c r="L49" s="438"/>
      <c r="M49" s="900">
        <f t="shared" si="11"/>
        <v>0</v>
      </c>
      <c r="N49" s="901">
        <f t="shared" si="12"/>
        <v>0</v>
      </c>
      <c r="O49" s="438">
        <f>IFERROR(LOOKUP(1,0/((印刷機資料庫!$F$80:$F$157=F49)*(印刷機資料庫!$G$80:$G$157=J49)),印刷機資料庫!$J$80:$J$157),0)</f>
        <v>0</v>
      </c>
      <c r="P49" s="462"/>
      <c r="Q49" s="442"/>
      <c r="R49" s="482">
        <f>IFERROR(LOOKUP(1,0/((印刷機資料庫!$F$80:$F$157=F49)*(印刷機資料庫!$G$80:$G$157=J49)),印刷機資料庫!$I$80:$I$157),0)</f>
        <v>0</v>
      </c>
      <c r="S49" s="900">
        <f>IFERROR(LOOKUP(1,0/((印刷機資料庫!$F$80:$F$157=F49)*(印刷機資料庫!$G$80:$G$157=J49)),印刷機資料庫!$K$80:$K$157),0)</f>
        <v>0</v>
      </c>
      <c r="T49" s="898">
        <f t="shared" si="7"/>
        <v>0</v>
      </c>
      <c r="U49" s="923">
        <f t="shared" si="8"/>
        <v>0</v>
      </c>
      <c r="V49" s="898">
        <f t="shared" si="9"/>
        <v>0</v>
      </c>
      <c r="W49" s="952"/>
      <c r="X49" s="899">
        <f t="shared" si="10"/>
        <v>0</v>
      </c>
      <c r="Y49" s="438"/>
      <c r="Z49" s="482"/>
      <c r="AA49" s="465"/>
      <c r="AB49" s="438"/>
      <c r="AC49" s="438"/>
    </row>
    <row r="50" spans="1:29" s="433" customFormat="1" ht="15.75">
      <c r="A50" s="581">
        <v>11</v>
      </c>
      <c r="B50" s="581">
        <v>17</v>
      </c>
      <c r="C50" s="581" t="s">
        <v>669</v>
      </c>
      <c r="D50" s="889" t="s">
        <v>0</v>
      </c>
      <c r="E50" s="435" t="s">
        <v>44</v>
      </c>
      <c r="F50" s="992"/>
      <c r="G50" s="464"/>
      <c r="H50" s="464">
        <f>IFERROR(#REF!*G50,0)</f>
        <v>0</v>
      </c>
      <c r="I50" s="429"/>
      <c r="J50" s="429"/>
      <c r="K50" s="464"/>
      <c r="L50" s="438"/>
      <c r="M50" s="900">
        <f t="shared" si="11"/>
        <v>0</v>
      </c>
      <c r="N50" s="901">
        <f t="shared" si="12"/>
        <v>0</v>
      </c>
      <c r="O50" s="438">
        <f>IFERROR(LOOKUP(1,0/((印刷機資料庫!$F$80:$F$157=F50)*(印刷機資料庫!$G$80:$G$157=J50)),印刷機資料庫!$J$80:$J$157),0)</f>
        <v>0</v>
      </c>
      <c r="P50" s="462"/>
      <c r="Q50" s="442"/>
      <c r="R50" s="482">
        <f>IFERROR(LOOKUP(1,0/((印刷機資料庫!$F$80:$F$157=F50)*(印刷機資料庫!$G$80:$G$157=J50)),印刷機資料庫!$I$80:$I$157),0)</f>
        <v>0</v>
      </c>
      <c r="S50" s="900">
        <f>IFERROR(LOOKUP(1,0/((印刷機資料庫!$F$80:$F$157=F50)*(印刷機資料庫!$G$80:$G$157=J50)),印刷機資料庫!$K$80:$K$157),0)</f>
        <v>0</v>
      </c>
      <c r="T50" s="898">
        <f t="shared" si="7"/>
        <v>0</v>
      </c>
      <c r="U50" s="923">
        <f t="shared" si="8"/>
        <v>0</v>
      </c>
      <c r="V50" s="898">
        <f t="shared" si="9"/>
        <v>0</v>
      </c>
      <c r="W50" s="952"/>
      <c r="X50" s="899">
        <f t="shared" si="10"/>
        <v>0</v>
      </c>
      <c r="Y50" s="438"/>
      <c r="Z50" s="482"/>
      <c r="AA50" s="465"/>
      <c r="AB50" s="438"/>
      <c r="AC50" s="438"/>
    </row>
    <row r="51" spans="1:29" s="433" customFormat="1" ht="15.75">
      <c r="A51" s="581">
        <v>11</v>
      </c>
      <c r="B51" s="581">
        <v>18</v>
      </c>
      <c r="C51" s="581" t="s">
        <v>670</v>
      </c>
      <c r="D51" s="889" t="s">
        <v>0</v>
      </c>
      <c r="E51" s="435" t="s">
        <v>44</v>
      </c>
      <c r="F51" s="992"/>
      <c r="G51" s="464"/>
      <c r="H51" s="464">
        <f>IFERROR(#REF!*G51,0)</f>
        <v>0</v>
      </c>
      <c r="I51" s="429"/>
      <c r="J51" s="429"/>
      <c r="K51" s="464"/>
      <c r="L51" s="438"/>
      <c r="M51" s="900">
        <f t="shared" si="11"/>
        <v>0</v>
      </c>
      <c r="N51" s="901">
        <f t="shared" si="12"/>
        <v>0</v>
      </c>
      <c r="O51" s="438">
        <f>IFERROR(LOOKUP(1,0/((印刷機資料庫!$F$80:$F$157=F51)*(印刷機資料庫!$G$80:$G$157=J51)),印刷機資料庫!$J$80:$J$157),0)</f>
        <v>0</v>
      </c>
      <c r="P51" s="462"/>
      <c r="Q51" s="442"/>
      <c r="R51" s="482">
        <f>IFERROR(LOOKUP(1,0/((印刷機資料庫!$F$80:$F$157=F51)*(印刷機資料庫!$G$80:$G$157=J51)),印刷機資料庫!$I$80:$I$157),0)</f>
        <v>0</v>
      </c>
      <c r="S51" s="900">
        <f>IFERROR(LOOKUP(1,0/((印刷機資料庫!$F$80:$F$157=F51)*(印刷機資料庫!$G$80:$G$157=J51)),印刷機資料庫!$K$80:$K$157),0)</f>
        <v>0</v>
      </c>
      <c r="T51" s="898">
        <f t="shared" si="7"/>
        <v>0</v>
      </c>
      <c r="U51" s="923">
        <f t="shared" si="8"/>
        <v>0</v>
      </c>
      <c r="V51" s="898">
        <f t="shared" si="9"/>
        <v>0</v>
      </c>
      <c r="W51" s="952"/>
      <c r="X51" s="899">
        <f t="shared" si="10"/>
        <v>0</v>
      </c>
      <c r="Y51" s="438"/>
      <c r="Z51" s="482"/>
      <c r="AA51" s="465"/>
      <c r="AB51" s="438"/>
      <c r="AC51" s="438"/>
    </row>
    <row r="52" spans="1:29" s="433" customFormat="1" ht="15.75">
      <c r="A52" s="581">
        <v>11</v>
      </c>
      <c r="B52" s="581">
        <v>19</v>
      </c>
      <c r="C52" s="581" t="s">
        <v>671</v>
      </c>
      <c r="D52" s="889" t="s">
        <v>0</v>
      </c>
      <c r="E52" s="435" t="s">
        <v>44</v>
      </c>
      <c r="F52" s="992"/>
      <c r="G52" s="464"/>
      <c r="H52" s="464">
        <f>IFERROR(#REF!*G52,0)</f>
        <v>0</v>
      </c>
      <c r="I52" s="429"/>
      <c r="J52" s="429"/>
      <c r="K52" s="464"/>
      <c r="L52" s="438"/>
      <c r="M52" s="900">
        <f t="shared" si="11"/>
        <v>0</v>
      </c>
      <c r="N52" s="901">
        <f t="shared" si="12"/>
        <v>0</v>
      </c>
      <c r="O52" s="438">
        <f>IFERROR(LOOKUP(1,0/((印刷機資料庫!$F$80:$F$157=F52)*(印刷機資料庫!$G$80:$G$157=J52)),印刷機資料庫!$J$80:$J$157),0)</f>
        <v>0</v>
      </c>
      <c r="P52" s="462"/>
      <c r="Q52" s="442"/>
      <c r="R52" s="482">
        <f>IFERROR(LOOKUP(1,0/((印刷機資料庫!$F$80:$F$157=F52)*(印刷機資料庫!$G$80:$G$157=J52)),印刷機資料庫!$I$80:$I$157),0)</f>
        <v>0</v>
      </c>
      <c r="S52" s="900">
        <f>IFERROR(LOOKUP(1,0/((印刷機資料庫!$F$80:$F$157=F52)*(印刷機資料庫!$G$80:$G$157=J52)),印刷機資料庫!$K$80:$K$157),0)</f>
        <v>0</v>
      </c>
      <c r="T52" s="898">
        <f t="shared" si="7"/>
        <v>0</v>
      </c>
      <c r="U52" s="923">
        <f t="shared" si="8"/>
        <v>0</v>
      </c>
      <c r="V52" s="898">
        <f t="shared" si="9"/>
        <v>0</v>
      </c>
      <c r="W52" s="952"/>
      <c r="X52" s="899">
        <f t="shared" si="10"/>
        <v>0</v>
      </c>
      <c r="Y52" s="438"/>
      <c r="Z52" s="482"/>
      <c r="AA52" s="465"/>
      <c r="AB52" s="438"/>
      <c r="AC52" s="438"/>
    </row>
    <row r="53" spans="1:29" s="433" customFormat="1" ht="15.75">
      <c r="A53" s="434">
        <v>11</v>
      </c>
      <c r="B53" s="434">
        <v>20</v>
      </c>
      <c r="C53" s="581" t="s">
        <v>672</v>
      </c>
      <c r="D53" s="889" t="s">
        <v>0</v>
      </c>
      <c r="E53" s="435" t="s">
        <v>44</v>
      </c>
      <c r="F53" s="992"/>
      <c r="G53" s="464"/>
      <c r="H53" s="464">
        <f>IFERROR(#REF!*G53,0)</f>
        <v>0</v>
      </c>
      <c r="I53" s="429"/>
      <c r="J53" s="429"/>
      <c r="K53" s="464"/>
      <c r="L53" s="438"/>
      <c r="M53" s="900">
        <f t="shared" si="11"/>
        <v>0</v>
      </c>
      <c r="N53" s="901">
        <f t="shared" si="12"/>
        <v>0</v>
      </c>
      <c r="O53" s="438">
        <f>IFERROR(LOOKUP(1,0/((印刷機資料庫!$F$80:$F$157=F53)*(印刷機資料庫!$G$80:$G$157=J53)),印刷機資料庫!$J$80:$J$157),0)</f>
        <v>0</v>
      </c>
      <c r="P53" s="462"/>
      <c r="Q53" s="442"/>
      <c r="R53" s="482">
        <f>IFERROR(LOOKUP(1,0/((印刷機資料庫!$F$80:$F$157=F53)*(印刷機資料庫!$G$80:$G$157=J53)),印刷機資料庫!$I$80:$I$157),0)</f>
        <v>0</v>
      </c>
      <c r="S53" s="900">
        <f>IFERROR(LOOKUP(1,0/((印刷機資料庫!$F$80:$F$157=F53)*(印刷機資料庫!$G$80:$G$157=J53)),印刷機資料庫!$K$80:$K$157),0)</f>
        <v>0</v>
      </c>
      <c r="T53" s="898">
        <f t="shared" si="7"/>
        <v>0</v>
      </c>
      <c r="U53" s="923">
        <f t="shared" si="8"/>
        <v>0</v>
      </c>
      <c r="V53" s="898">
        <f t="shared" si="9"/>
        <v>0</v>
      </c>
      <c r="W53" s="952"/>
      <c r="X53" s="899">
        <f t="shared" si="10"/>
        <v>0</v>
      </c>
      <c r="Y53" s="438"/>
      <c r="Z53" s="482"/>
      <c r="AA53" s="465"/>
      <c r="AB53" s="438"/>
      <c r="AC53" s="438"/>
    </row>
    <row r="54" spans="1:29" s="433" customFormat="1" ht="15.75">
      <c r="A54" s="434">
        <v>11</v>
      </c>
      <c r="B54" s="434">
        <v>21</v>
      </c>
      <c r="C54" s="581" t="s">
        <v>673</v>
      </c>
      <c r="D54" s="889" t="s">
        <v>0</v>
      </c>
      <c r="E54" s="435" t="s">
        <v>44</v>
      </c>
      <c r="F54" s="992"/>
      <c r="G54" s="464"/>
      <c r="H54" s="464">
        <f>IFERROR(#REF!*G54,0)</f>
        <v>0</v>
      </c>
      <c r="I54" s="429"/>
      <c r="J54" s="429"/>
      <c r="K54" s="464"/>
      <c r="L54" s="438"/>
      <c r="M54" s="900">
        <f t="shared" si="11"/>
        <v>0</v>
      </c>
      <c r="N54" s="901">
        <f t="shared" si="12"/>
        <v>0</v>
      </c>
      <c r="O54" s="438">
        <f>IFERROR(LOOKUP(1,0/((印刷機資料庫!$F$80:$F$157=F54)*(印刷機資料庫!$G$80:$G$157=J54)),印刷機資料庫!$J$80:$J$157),0)</f>
        <v>0</v>
      </c>
      <c r="P54" s="462"/>
      <c r="Q54" s="442"/>
      <c r="R54" s="482">
        <f>IFERROR(LOOKUP(1,0/((印刷機資料庫!$F$80:$F$157=F54)*(印刷機資料庫!$G$80:$G$157=J54)),印刷機資料庫!$I$80:$I$157),0)</f>
        <v>0</v>
      </c>
      <c r="S54" s="900">
        <f>IFERROR(LOOKUP(1,0/((印刷機資料庫!$F$80:$F$157=F54)*(印刷機資料庫!$G$80:$G$157=J54)),印刷機資料庫!$K$80:$K$157),0)</f>
        <v>0</v>
      </c>
      <c r="T54" s="898">
        <f t="shared" si="7"/>
        <v>0</v>
      </c>
      <c r="U54" s="923">
        <f t="shared" si="8"/>
        <v>0</v>
      </c>
      <c r="V54" s="898">
        <f t="shared" si="9"/>
        <v>0</v>
      </c>
      <c r="W54" s="952"/>
      <c r="X54" s="899">
        <f t="shared" si="10"/>
        <v>0</v>
      </c>
      <c r="Y54" s="438"/>
      <c r="Z54" s="482"/>
      <c r="AA54" s="465"/>
      <c r="AB54" s="438"/>
      <c r="AC54" s="438"/>
    </row>
    <row r="55" spans="1:29" s="433" customFormat="1" ht="15.75">
      <c r="A55" s="434">
        <v>11</v>
      </c>
      <c r="B55" s="434">
        <v>22</v>
      </c>
      <c r="C55" s="581" t="s">
        <v>632</v>
      </c>
      <c r="D55" s="889" t="s">
        <v>0</v>
      </c>
      <c r="E55" s="435" t="s">
        <v>44</v>
      </c>
      <c r="F55" s="992"/>
      <c r="G55" s="464"/>
      <c r="H55" s="464">
        <f>IFERROR(#REF!*G55,0)</f>
        <v>0</v>
      </c>
      <c r="I55" s="429"/>
      <c r="J55" s="429"/>
      <c r="K55" s="464"/>
      <c r="L55" s="438"/>
      <c r="M55" s="900">
        <f t="shared" si="11"/>
        <v>0</v>
      </c>
      <c r="N55" s="901">
        <f t="shared" si="12"/>
        <v>0</v>
      </c>
      <c r="O55" s="438">
        <f>IFERROR(LOOKUP(1,0/((印刷機資料庫!$F$80:$F$157=F55)*(印刷機資料庫!$G$80:$G$157=J55)),印刷機資料庫!$J$80:$J$157),0)</f>
        <v>0</v>
      </c>
      <c r="P55" s="462"/>
      <c r="Q55" s="442"/>
      <c r="R55" s="482">
        <f>IFERROR(LOOKUP(1,0/((印刷機資料庫!$F$80:$F$157=F55)*(印刷機資料庫!$G$80:$G$157=J55)),印刷機資料庫!$I$80:$I$157),0)</f>
        <v>0</v>
      </c>
      <c r="S55" s="900">
        <f>IFERROR(LOOKUP(1,0/((印刷機資料庫!$F$80:$F$157=F55)*(印刷機資料庫!$G$80:$G$157=J55)),印刷機資料庫!$K$80:$K$157),0)</f>
        <v>0</v>
      </c>
      <c r="T55" s="898">
        <f>IFERROR(L55/S55,0)</f>
        <v>0</v>
      </c>
      <c r="U55" s="923">
        <f t="shared" si="8"/>
        <v>0</v>
      </c>
      <c r="V55" s="898">
        <f t="shared" si="9"/>
        <v>0</v>
      </c>
      <c r="W55" s="952"/>
      <c r="X55" s="899">
        <f t="shared" si="10"/>
        <v>0</v>
      </c>
      <c r="Y55" s="438"/>
      <c r="Z55" s="482"/>
      <c r="AA55" s="465"/>
      <c r="AB55" s="438"/>
      <c r="AC55" s="438"/>
    </row>
    <row r="56" spans="1:29" s="433" customFormat="1" ht="15.75">
      <c r="A56" s="434">
        <v>11</v>
      </c>
      <c r="B56" s="434">
        <v>22</v>
      </c>
      <c r="C56" s="581" t="s">
        <v>632</v>
      </c>
      <c r="D56" s="889" t="s">
        <v>0</v>
      </c>
      <c r="E56" s="435" t="s">
        <v>42</v>
      </c>
      <c r="F56" s="992"/>
      <c r="G56" s="464"/>
      <c r="H56" s="464">
        <f>IFERROR(#REF!*G56,0)</f>
        <v>0</v>
      </c>
      <c r="I56" s="429"/>
      <c r="J56" s="429"/>
      <c r="K56" s="464"/>
      <c r="L56" s="438"/>
      <c r="M56" s="900">
        <f t="shared" si="11"/>
        <v>0</v>
      </c>
      <c r="N56" s="901">
        <f t="shared" si="12"/>
        <v>0</v>
      </c>
      <c r="O56" s="438">
        <f>IFERROR(LOOKUP(1,0/((印刷機資料庫!$F$80:$F$157=F56)*(印刷機資料庫!$G$80:$G$157=J56)),印刷機資料庫!$J$80:$J$157),0)</f>
        <v>0</v>
      </c>
      <c r="P56" s="462"/>
      <c r="Q56" s="442"/>
      <c r="R56" s="482">
        <f>IFERROR(LOOKUP(1,0/((印刷機資料庫!$F$80:$F$157=F56)*(印刷機資料庫!$G$80:$G$157=J56)),印刷機資料庫!$I$80:$I$157),0)</f>
        <v>0</v>
      </c>
      <c r="S56" s="900">
        <f>IFERROR(LOOKUP(1,0/((印刷機資料庫!$F$80:$F$157=F56)*(印刷機資料庫!$G$80:$G$157=J56)),印刷機資料庫!$K$80:$K$157),0)</f>
        <v>0</v>
      </c>
      <c r="T56" s="898">
        <f t="shared" si="7"/>
        <v>0</v>
      </c>
      <c r="U56" s="923">
        <f t="shared" si="8"/>
        <v>0</v>
      </c>
      <c r="V56" s="898">
        <f t="shared" si="9"/>
        <v>0</v>
      </c>
      <c r="W56" s="952"/>
      <c r="X56" s="899">
        <f t="shared" si="10"/>
        <v>0</v>
      </c>
      <c r="Y56" s="438"/>
      <c r="Z56" s="482"/>
      <c r="AA56" s="465"/>
      <c r="AB56" s="438"/>
      <c r="AC56" s="438"/>
    </row>
    <row r="57" spans="1:29" s="433" customFormat="1" ht="15.75">
      <c r="A57" s="434">
        <v>11</v>
      </c>
      <c r="B57" s="434">
        <v>23</v>
      </c>
      <c r="C57" s="581" t="s">
        <v>667</v>
      </c>
      <c r="D57" s="889" t="s">
        <v>0</v>
      </c>
      <c r="E57" s="435" t="s">
        <v>42</v>
      </c>
      <c r="F57" s="992"/>
      <c r="G57" s="464"/>
      <c r="H57" s="464">
        <f>IFERROR(#REF!*G57,0)</f>
        <v>0</v>
      </c>
      <c r="I57" s="429"/>
      <c r="J57" s="429"/>
      <c r="K57" s="464"/>
      <c r="L57" s="438"/>
      <c r="M57" s="900">
        <f t="shared" si="11"/>
        <v>0</v>
      </c>
      <c r="N57" s="901">
        <f t="shared" si="12"/>
        <v>0</v>
      </c>
      <c r="O57" s="438">
        <f>IFERROR(LOOKUP(1,0/((印刷機資料庫!$F$80:$F$157=F57)*(印刷機資料庫!$G$80:$G$157=J57)),印刷機資料庫!$J$80:$J$157),0)</f>
        <v>0</v>
      </c>
      <c r="P57" s="462"/>
      <c r="Q57" s="442"/>
      <c r="R57" s="482">
        <f>IFERROR(LOOKUP(1,0/((印刷機資料庫!$F$80:$F$157=F57)*(印刷機資料庫!$G$80:$G$157=J57)),印刷機資料庫!$I$80:$I$157),0)</f>
        <v>0</v>
      </c>
      <c r="S57" s="900">
        <f>IFERROR(LOOKUP(1,0/((印刷機資料庫!$F$80:$F$157=F57)*(印刷機資料庫!$G$80:$G$157=J57)),印刷機資料庫!$K$80:$K$157),0)</f>
        <v>0</v>
      </c>
      <c r="T57" s="898">
        <f t="shared" si="7"/>
        <v>0</v>
      </c>
      <c r="U57" s="923">
        <f t="shared" si="8"/>
        <v>0</v>
      </c>
      <c r="V57" s="898">
        <f t="shared" si="9"/>
        <v>0</v>
      </c>
      <c r="W57" s="952"/>
      <c r="X57" s="899">
        <f t="shared" si="10"/>
        <v>0</v>
      </c>
      <c r="Y57" s="438"/>
      <c r="Z57" s="482"/>
      <c r="AA57" s="465"/>
      <c r="AB57" s="438"/>
      <c r="AC57" s="438"/>
    </row>
    <row r="58" spans="1:29" s="433" customFormat="1" ht="15.75">
      <c r="A58" s="434">
        <v>11</v>
      </c>
      <c r="B58" s="434">
        <v>23</v>
      </c>
      <c r="C58" s="581" t="s">
        <v>667</v>
      </c>
      <c r="D58" s="889" t="s">
        <v>0</v>
      </c>
      <c r="E58" s="435" t="s">
        <v>42</v>
      </c>
      <c r="F58" s="992"/>
      <c r="G58" s="464"/>
      <c r="H58" s="464">
        <f>IFERROR(#REF!*G58,0)</f>
        <v>0</v>
      </c>
      <c r="I58" s="429"/>
      <c r="J58" s="429"/>
      <c r="K58" s="464"/>
      <c r="L58" s="438"/>
      <c r="M58" s="900">
        <f t="shared" si="11"/>
        <v>0</v>
      </c>
      <c r="N58" s="901">
        <f t="shared" si="12"/>
        <v>0</v>
      </c>
      <c r="O58" s="438">
        <f>IFERROR(LOOKUP(1,0/((印刷機資料庫!$F$80:$F$157=F58)*(印刷機資料庫!$G$80:$G$157=J58)),印刷機資料庫!$J$80:$J$157),0)</f>
        <v>0</v>
      </c>
      <c r="P58" s="462"/>
      <c r="Q58" s="442"/>
      <c r="R58" s="482">
        <f>IFERROR(LOOKUP(1,0/((印刷機資料庫!$F$80:$F$157=F58)*(印刷機資料庫!$G$80:$G$157=J58)),印刷機資料庫!$I$80:$I$157),0)</f>
        <v>0</v>
      </c>
      <c r="S58" s="900">
        <f>IFERROR(LOOKUP(1,0/((印刷機資料庫!$F$80:$F$157=F58)*(印刷機資料庫!$G$80:$G$157=J58)),印刷機資料庫!$K$80:$K$157),0)</f>
        <v>0</v>
      </c>
      <c r="T58" s="898">
        <f>IFERROR(L58/S58,0)</f>
        <v>0</v>
      </c>
      <c r="U58" s="923">
        <f t="shared" si="8"/>
        <v>0</v>
      </c>
      <c r="V58" s="898">
        <f t="shared" si="9"/>
        <v>0</v>
      </c>
      <c r="W58" s="952"/>
      <c r="X58" s="899">
        <f t="shared" si="10"/>
        <v>0</v>
      </c>
      <c r="Y58" s="438"/>
      <c r="Z58" s="482"/>
      <c r="AA58" s="465"/>
      <c r="AB58" s="438"/>
      <c r="AC58" s="438"/>
    </row>
    <row r="59" spans="1:29" s="433" customFormat="1" ht="15.75">
      <c r="A59" s="434">
        <v>11</v>
      </c>
      <c r="B59" s="434">
        <v>23</v>
      </c>
      <c r="C59" s="581" t="s">
        <v>667</v>
      </c>
      <c r="D59" s="889" t="s">
        <v>0</v>
      </c>
      <c r="E59" s="435" t="s">
        <v>42</v>
      </c>
      <c r="F59" s="992"/>
      <c r="G59" s="464"/>
      <c r="H59" s="464">
        <f>IFERROR(#REF!*G59,0)</f>
        <v>0</v>
      </c>
      <c r="I59" s="429"/>
      <c r="J59" s="429"/>
      <c r="K59" s="464"/>
      <c r="L59" s="438"/>
      <c r="M59" s="900">
        <f t="shared" si="11"/>
        <v>0</v>
      </c>
      <c r="N59" s="901">
        <f t="shared" si="12"/>
        <v>0</v>
      </c>
      <c r="O59" s="438">
        <f>IFERROR(LOOKUP(1,0/((印刷機資料庫!$F$80:$F$157=F59)*(印刷機資料庫!$G$80:$G$157=J59)),印刷機資料庫!$J$80:$J$157),0)</f>
        <v>0</v>
      </c>
      <c r="P59" s="462"/>
      <c r="Q59" s="442"/>
      <c r="R59" s="482">
        <f>IFERROR(LOOKUP(1,0/((印刷機資料庫!$F$80:$F$157=F59)*(印刷機資料庫!$G$80:$G$157=J59)),印刷機資料庫!$I$80:$I$157),0)</f>
        <v>0</v>
      </c>
      <c r="S59" s="900">
        <f>IFERROR(LOOKUP(1,0/((印刷機資料庫!$F$80:$F$157=F59)*(印刷機資料庫!$G$80:$G$157=J59)),印刷機資料庫!$K$80:$K$157),0)</f>
        <v>0</v>
      </c>
      <c r="T59" s="898">
        <f t="shared" si="7"/>
        <v>0</v>
      </c>
      <c r="U59" s="923">
        <f t="shared" si="8"/>
        <v>0</v>
      </c>
      <c r="V59" s="898">
        <f t="shared" si="9"/>
        <v>0</v>
      </c>
      <c r="W59" s="952"/>
      <c r="X59" s="899">
        <f t="shared" si="10"/>
        <v>0</v>
      </c>
      <c r="Y59" s="438"/>
      <c r="Z59" s="482"/>
      <c r="AA59" s="465"/>
      <c r="AB59" s="438"/>
      <c r="AC59" s="438"/>
    </row>
    <row r="60" spans="1:29" s="433" customFormat="1" ht="15.75">
      <c r="A60" s="434">
        <v>11</v>
      </c>
      <c r="B60" s="434">
        <v>24</v>
      </c>
      <c r="C60" s="581" t="s">
        <v>669</v>
      </c>
      <c r="D60" s="889" t="s">
        <v>0</v>
      </c>
      <c r="E60" s="435" t="s">
        <v>42</v>
      </c>
      <c r="F60" s="992"/>
      <c r="G60" s="464"/>
      <c r="H60" s="464">
        <f>IFERROR(#REF!*G60,0)</f>
        <v>0</v>
      </c>
      <c r="I60" s="429"/>
      <c r="J60" s="429"/>
      <c r="K60" s="464"/>
      <c r="L60" s="438"/>
      <c r="M60" s="900">
        <f t="shared" si="11"/>
        <v>0</v>
      </c>
      <c r="N60" s="901">
        <f t="shared" si="12"/>
        <v>0</v>
      </c>
      <c r="O60" s="438">
        <f>IFERROR(LOOKUP(1,0/((印刷機資料庫!$F$80:$F$157=F60)*(印刷機資料庫!$G$80:$G$157=J60)),印刷機資料庫!$J$80:$J$157),0)</f>
        <v>0</v>
      </c>
      <c r="P60" s="462"/>
      <c r="Q60" s="442"/>
      <c r="R60" s="482">
        <f>IFERROR(LOOKUP(1,0/((印刷機資料庫!$F$80:$F$157=F60)*(印刷機資料庫!$G$80:$G$157=J60)),印刷機資料庫!$I$80:$I$157),0)</f>
        <v>0</v>
      </c>
      <c r="S60" s="900">
        <f>IFERROR(LOOKUP(1,0/((印刷機資料庫!$F$80:$F$157=F60)*(印刷機資料庫!$G$80:$G$157=J60)),印刷機資料庫!$K$80:$K$157),0)</f>
        <v>0</v>
      </c>
      <c r="T60" s="898">
        <f t="shared" si="7"/>
        <v>0</v>
      </c>
      <c r="U60" s="923">
        <f t="shared" si="8"/>
        <v>0</v>
      </c>
      <c r="V60" s="898">
        <f t="shared" si="9"/>
        <v>0</v>
      </c>
      <c r="W60" s="952"/>
      <c r="X60" s="899">
        <f t="shared" si="10"/>
        <v>0</v>
      </c>
      <c r="Y60" s="438"/>
      <c r="Z60" s="482"/>
      <c r="AA60" s="465"/>
      <c r="AB60" s="438"/>
      <c r="AC60" s="438"/>
    </row>
    <row r="61" spans="1:29" s="433" customFormat="1" ht="15.75">
      <c r="A61" s="434">
        <v>11</v>
      </c>
      <c r="B61" s="434">
        <v>25</v>
      </c>
      <c r="C61" s="581" t="s">
        <v>670</v>
      </c>
      <c r="D61" s="889" t="s">
        <v>0</v>
      </c>
      <c r="E61" s="435" t="s">
        <v>42</v>
      </c>
      <c r="F61" s="992"/>
      <c r="G61" s="464"/>
      <c r="H61" s="464">
        <f>IFERROR(#REF!*G61,0)</f>
        <v>0</v>
      </c>
      <c r="I61" s="429"/>
      <c r="J61" s="429"/>
      <c r="K61" s="464"/>
      <c r="L61" s="438"/>
      <c r="M61" s="900">
        <f t="shared" si="11"/>
        <v>0</v>
      </c>
      <c r="N61" s="901">
        <f t="shared" si="12"/>
        <v>0</v>
      </c>
      <c r="O61" s="438">
        <f>IFERROR(LOOKUP(1,0/((印刷機資料庫!$F$80:$F$157=F61)*(印刷機資料庫!$G$80:$G$157=J61)),印刷機資料庫!$J$80:$J$157),0)</f>
        <v>0</v>
      </c>
      <c r="P61" s="462"/>
      <c r="Q61" s="442"/>
      <c r="R61" s="482">
        <f>IFERROR(LOOKUP(1,0/((印刷機資料庫!$F$80:$F$157=F61)*(印刷機資料庫!$G$80:$G$157=J61)),印刷機資料庫!$I$80:$I$157),0)</f>
        <v>0</v>
      </c>
      <c r="S61" s="900">
        <f>IFERROR(LOOKUP(1,0/((印刷機資料庫!$F$80:$F$157=F61)*(印刷機資料庫!$G$80:$G$157=J61)),印刷機資料庫!$K$80:$K$157),0)</f>
        <v>0</v>
      </c>
      <c r="T61" s="898">
        <f t="shared" si="7"/>
        <v>0</v>
      </c>
      <c r="U61" s="923">
        <f t="shared" si="8"/>
        <v>0</v>
      </c>
      <c r="V61" s="898">
        <f t="shared" si="9"/>
        <v>0</v>
      </c>
      <c r="W61" s="952"/>
      <c r="X61" s="899">
        <f t="shared" si="10"/>
        <v>0</v>
      </c>
      <c r="Y61" s="438"/>
      <c r="Z61" s="482"/>
      <c r="AA61" s="465"/>
      <c r="AB61" s="438"/>
      <c r="AC61" s="438"/>
    </row>
    <row r="62" spans="1:29" s="433" customFormat="1" ht="15.75">
      <c r="A62" s="434">
        <v>11</v>
      </c>
      <c r="B62" s="434">
        <v>26</v>
      </c>
      <c r="C62" s="581" t="s">
        <v>671</v>
      </c>
      <c r="D62" s="889" t="s">
        <v>0</v>
      </c>
      <c r="E62" s="435" t="s">
        <v>42</v>
      </c>
      <c r="F62" s="992"/>
      <c r="G62" s="464"/>
      <c r="H62" s="464">
        <f>IFERROR(#REF!*G62,0)</f>
        <v>0</v>
      </c>
      <c r="I62" s="429"/>
      <c r="J62" s="429"/>
      <c r="K62" s="464"/>
      <c r="L62" s="438"/>
      <c r="M62" s="900">
        <f t="shared" si="11"/>
        <v>0</v>
      </c>
      <c r="N62" s="901">
        <f t="shared" si="12"/>
        <v>0</v>
      </c>
      <c r="O62" s="438">
        <f>IFERROR(LOOKUP(1,0/((印刷機資料庫!$F$80:$F$157=F62)*(印刷機資料庫!$G$80:$G$157=J62)),印刷機資料庫!$J$80:$J$157),0)</f>
        <v>0</v>
      </c>
      <c r="P62" s="462"/>
      <c r="Q62" s="444"/>
      <c r="R62" s="482">
        <f>IFERROR(LOOKUP(1,0/((印刷機資料庫!$F$80:$F$157=F62)*(印刷機資料庫!$G$80:$G$157=J62)),印刷機資料庫!$I$80:$I$157),0)</f>
        <v>0</v>
      </c>
      <c r="S62" s="900">
        <f>IFERROR(LOOKUP(1,0/((印刷機資料庫!$F$80:$F$157=F62)*(印刷機資料庫!$G$80:$G$157=J62)),印刷機資料庫!$K$80:$K$157),0)</f>
        <v>0</v>
      </c>
      <c r="T62" s="898">
        <f t="shared" si="7"/>
        <v>0</v>
      </c>
      <c r="U62" s="923">
        <f t="shared" si="8"/>
        <v>0</v>
      </c>
      <c r="V62" s="898">
        <f t="shared" si="9"/>
        <v>0</v>
      </c>
      <c r="W62" s="952"/>
      <c r="X62" s="899">
        <f t="shared" si="10"/>
        <v>0</v>
      </c>
      <c r="Y62" s="438"/>
      <c r="Z62" s="482"/>
      <c r="AA62" s="465"/>
      <c r="AB62" s="438"/>
      <c r="AC62" s="438"/>
    </row>
    <row r="63" spans="1:29" s="433" customFormat="1" ht="15.75">
      <c r="A63" s="434">
        <v>11</v>
      </c>
      <c r="B63" s="434">
        <v>27</v>
      </c>
      <c r="C63" s="581" t="s">
        <v>672</v>
      </c>
      <c r="D63" s="889" t="s">
        <v>0</v>
      </c>
      <c r="E63" s="435" t="s">
        <v>44</v>
      </c>
      <c r="F63" s="992"/>
      <c r="G63" s="464"/>
      <c r="H63" s="464">
        <f>IFERROR(#REF!*G63,0)</f>
        <v>0</v>
      </c>
      <c r="I63" s="429"/>
      <c r="J63" s="429"/>
      <c r="K63" s="464"/>
      <c r="L63" s="438"/>
      <c r="M63" s="900">
        <f t="shared" si="11"/>
        <v>0</v>
      </c>
      <c r="N63" s="901">
        <f t="shared" si="12"/>
        <v>0</v>
      </c>
      <c r="O63" s="438">
        <f>IFERROR(LOOKUP(1,0/((印刷機資料庫!$F$80:$F$157=F63)*(印刷機資料庫!$G$80:$G$157=J63)),印刷機資料庫!$J$80:$J$157),0)</f>
        <v>0</v>
      </c>
      <c r="P63" s="462"/>
      <c r="Q63" s="442"/>
      <c r="R63" s="482">
        <f>IFERROR(LOOKUP(1,0/((印刷機資料庫!$F$80:$F$157=F63)*(印刷機資料庫!$G$80:$G$157=J63)),印刷機資料庫!$I$80:$I$157),0)</f>
        <v>0</v>
      </c>
      <c r="S63" s="900">
        <f>IFERROR(LOOKUP(1,0/((印刷機資料庫!$F$80:$F$157=F63)*(印刷機資料庫!$G$80:$G$157=J63)),印刷機資料庫!$K$80:$K$157),0)</f>
        <v>0</v>
      </c>
      <c r="T63" s="898">
        <f t="shared" si="7"/>
        <v>0</v>
      </c>
      <c r="U63" s="923">
        <f t="shared" si="8"/>
        <v>0</v>
      </c>
      <c r="V63" s="898">
        <f t="shared" si="9"/>
        <v>0</v>
      </c>
      <c r="W63" s="952"/>
      <c r="X63" s="899">
        <f t="shared" si="10"/>
        <v>0</v>
      </c>
      <c r="Y63" s="438"/>
      <c r="Z63" s="482"/>
      <c r="AA63" s="465"/>
      <c r="AB63" s="438"/>
      <c r="AC63" s="438"/>
    </row>
    <row r="64" spans="1:29" s="433" customFormat="1" ht="15.75">
      <c r="A64" s="434">
        <v>11</v>
      </c>
      <c r="B64" s="434">
        <v>28</v>
      </c>
      <c r="C64" s="581" t="s">
        <v>673</v>
      </c>
      <c r="D64" s="889" t="s">
        <v>0</v>
      </c>
      <c r="E64" s="435" t="s">
        <v>44</v>
      </c>
      <c r="F64" s="992"/>
      <c r="G64" s="464"/>
      <c r="H64" s="464">
        <f>IFERROR(#REF!*G64,0)</f>
        <v>0</v>
      </c>
      <c r="I64" s="429"/>
      <c r="J64" s="429"/>
      <c r="K64" s="464"/>
      <c r="L64" s="438"/>
      <c r="M64" s="900">
        <f t="shared" si="11"/>
        <v>0</v>
      </c>
      <c r="N64" s="901">
        <f t="shared" si="12"/>
        <v>0</v>
      </c>
      <c r="O64" s="438">
        <f>IFERROR(LOOKUP(1,0/((印刷機資料庫!$F$80:$F$157=F64)*(印刷機資料庫!$G$80:$G$157=J64)),印刷機資料庫!$J$80:$J$157),0)</f>
        <v>0</v>
      </c>
      <c r="P64" s="462"/>
      <c r="Q64" s="442"/>
      <c r="R64" s="482">
        <f>IFERROR(LOOKUP(1,0/((印刷機資料庫!$F$80:$F$157=F64)*(印刷機資料庫!$G$80:$G$157=J64)),印刷機資料庫!$I$80:$I$157),0)</f>
        <v>0</v>
      </c>
      <c r="S64" s="900">
        <f>IFERROR(LOOKUP(1,0/((印刷機資料庫!$F$80:$F$157=F64)*(印刷機資料庫!$G$80:$G$157=J64)),印刷機資料庫!$K$80:$K$157),0)</f>
        <v>0</v>
      </c>
      <c r="T64" s="898">
        <f>IFERROR(L64/S64,0)</f>
        <v>0</v>
      </c>
      <c r="U64" s="923">
        <f>IFERROR(R64*X64*60/O64,0)</f>
        <v>0</v>
      </c>
      <c r="V64" s="898">
        <f>IFERROR(L64/U64,0)</f>
        <v>0</v>
      </c>
      <c r="W64" s="952"/>
      <c r="X64" s="899">
        <f>Y64+Z64/60</f>
        <v>0</v>
      </c>
      <c r="Y64" s="438"/>
      <c r="Z64" s="482"/>
      <c r="AA64" s="465"/>
      <c r="AB64" s="438"/>
      <c r="AC64" s="438"/>
    </row>
    <row r="65" spans="1:53" s="433" customFormat="1" ht="15.75">
      <c r="A65" s="434">
        <v>11</v>
      </c>
      <c r="B65" s="434">
        <v>29</v>
      </c>
      <c r="C65" s="581" t="s">
        <v>632</v>
      </c>
      <c r="D65" s="889" t="s">
        <v>0</v>
      </c>
      <c r="E65" s="435" t="s">
        <v>58</v>
      </c>
      <c r="F65" s="992"/>
      <c r="G65" s="464"/>
      <c r="H65" s="464">
        <f>IFERROR(#REF!*G65,0)</f>
        <v>0</v>
      </c>
      <c r="I65" s="429"/>
      <c r="J65" s="429"/>
      <c r="K65" s="464"/>
      <c r="L65" s="438"/>
      <c r="M65" s="900">
        <f>L65*O65</f>
        <v>0</v>
      </c>
      <c r="N65" s="901">
        <f t="shared" si="12"/>
        <v>0</v>
      </c>
      <c r="O65" s="438">
        <f>IFERROR(LOOKUP(1,0/((印刷機資料庫!$F$80:$F$157=F65)*(印刷機資料庫!$G$80:$G$157=J65)),印刷機資料庫!$J$80:$J$157),0)</f>
        <v>0</v>
      </c>
      <c r="P65" s="462"/>
      <c r="Q65" s="442"/>
      <c r="R65" s="482">
        <f>IFERROR(LOOKUP(1,0/((印刷機資料庫!$F$80:$F$157=F65)*(印刷機資料庫!$G$80:$G$157=J65)),印刷機資料庫!$I$80:$I$157),0)</f>
        <v>0</v>
      </c>
      <c r="S65" s="900">
        <f>IFERROR(LOOKUP(1,0/((印刷機資料庫!$F$80:$F$157=F65)*(印刷機資料庫!$G$80:$G$157=J65)),印刷機資料庫!$K$80:$K$157),0)</f>
        <v>0</v>
      </c>
      <c r="T65" s="898">
        <f>IFERROR(L65/S65,0)</f>
        <v>0</v>
      </c>
      <c r="U65" s="923">
        <f>IFERROR(R65*X65*60/O65,0)</f>
        <v>0</v>
      </c>
      <c r="V65" s="898">
        <f>IFERROR(L65/U65,0)</f>
        <v>0</v>
      </c>
      <c r="W65" s="952"/>
      <c r="X65" s="899">
        <f>Y65+Z65/60</f>
        <v>0</v>
      </c>
      <c r="Y65" s="438"/>
      <c r="Z65" s="482"/>
      <c r="AA65" s="465"/>
      <c r="AB65" s="438"/>
      <c r="AC65" s="438"/>
    </row>
    <row r="66" spans="1:53" s="433" customFormat="1" ht="15.75">
      <c r="A66" s="434">
        <v>11</v>
      </c>
      <c r="B66" s="434">
        <v>30</v>
      </c>
      <c r="C66" s="581" t="s">
        <v>667</v>
      </c>
      <c r="D66" s="889" t="s">
        <v>0</v>
      </c>
      <c r="E66" s="435" t="s">
        <v>58</v>
      </c>
      <c r="F66" s="992"/>
      <c r="G66" s="464"/>
      <c r="H66" s="464">
        <f>IFERROR(#REF!*G66,0)</f>
        <v>0</v>
      </c>
      <c r="I66" s="429"/>
      <c r="J66" s="429"/>
      <c r="K66" s="464"/>
      <c r="L66" s="438"/>
      <c r="M66" s="900">
        <f>L66*O66</f>
        <v>0</v>
      </c>
      <c r="N66" s="901">
        <f t="shared" si="12"/>
        <v>0</v>
      </c>
      <c r="O66" s="438">
        <f>IFERROR(LOOKUP(1,0/((印刷機資料庫!$F$80:$F$157=F66)*(印刷機資料庫!$G$80:$G$157=J66)),印刷機資料庫!$J$80:$J$157),0)</f>
        <v>0</v>
      </c>
      <c r="P66" s="462"/>
      <c r="Q66" s="442"/>
      <c r="R66" s="482">
        <f>IFERROR(LOOKUP(1,0/((印刷機資料庫!$F$80:$F$157=F66)*(印刷機資料庫!$G$80:$G$157=J66)),印刷機資料庫!$I$80:$I$157),0)</f>
        <v>0</v>
      </c>
      <c r="S66" s="900">
        <f>IFERROR(LOOKUP(1,0/((印刷機資料庫!$F$80:$F$157=F66)*(印刷機資料庫!$G$80:$G$157=J66)),印刷機資料庫!$K$80:$K$157),0)</f>
        <v>0</v>
      </c>
      <c r="T66" s="898">
        <f>IFERROR(L66/S66,0)</f>
        <v>0</v>
      </c>
      <c r="U66" s="923">
        <f>IFERROR(R66*X66*60/O66,0)</f>
        <v>0</v>
      </c>
      <c r="V66" s="898">
        <f>IFERROR(L66/U66,0)</f>
        <v>0</v>
      </c>
      <c r="W66" s="952"/>
      <c r="X66" s="899">
        <f>Y66+Z66/60</f>
        <v>0</v>
      </c>
      <c r="Y66" s="438"/>
      <c r="Z66" s="482"/>
      <c r="AA66" s="465"/>
      <c r="AB66" s="438"/>
      <c r="AC66" s="539"/>
    </row>
    <row r="67" spans="1:53" s="433" customFormat="1" ht="15.75">
      <c r="A67" s="434">
        <v>11</v>
      </c>
      <c r="B67" s="434">
        <v>30</v>
      </c>
      <c r="C67" s="581" t="s">
        <v>667</v>
      </c>
      <c r="D67" s="889" t="s">
        <v>0</v>
      </c>
      <c r="E67" s="435" t="s">
        <v>58</v>
      </c>
      <c r="F67" s="992"/>
      <c r="G67" s="464"/>
      <c r="H67" s="464">
        <f>IFERROR(#REF!*G67,0)</f>
        <v>0</v>
      </c>
      <c r="I67" s="429"/>
      <c r="J67" s="429"/>
      <c r="K67" s="464"/>
      <c r="L67" s="438"/>
      <c r="M67" s="900">
        <f>L67*O67</f>
        <v>0</v>
      </c>
      <c r="N67" s="901">
        <f t="shared" si="12"/>
        <v>0</v>
      </c>
      <c r="O67" s="438">
        <f>IFERROR(LOOKUP(1,0/((印刷機資料庫!$F$80:$F$157=F67)*(印刷機資料庫!$G$80:$G$157=J67)),印刷機資料庫!$J$80:$J$157),0)</f>
        <v>0</v>
      </c>
      <c r="P67" s="462"/>
      <c r="Q67" s="442"/>
      <c r="R67" s="482">
        <f>IFERROR(LOOKUP(1,0/((印刷機資料庫!$F$80:$F$157=F67)*(印刷機資料庫!$G$80:$G$157=J67)),印刷機資料庫!$I$80:$I$157),0)</f>
        <v>0</v>
      </c>
      <c r="S67" s="900">
        <f>IFERROR(LOOKUP(1,0/((印刷機資料庫!$F$80:$F$157=F67)*(印刷機資料庫!$G$80:$G$157=J67)),印刷機資料庫!$K$80:$K$157),0)</f>
        <v>0</v>
      </c>
      <c r="T67" s="898">
        <f>IFERROR(L67/S67,0)</f>
        <v>0</v>
      </c>
      <c r="U67" s="923">
        <f>IFERROR(R67*X67*60/O67,0)</f>
        <v>0</v>
      </c>
      <c r="V67" s="898">
        <f>IFERROR(L67/U67,0)</f>
        <v>0</v>
      </c>
      <c r="W67" s="952"/>
      <c r="X67" s="899">
        <f>Y67+Z67/60</f>
        <v>0</v>
      </c>
      <c r="Y67" s="438"/>
      <c r="Z67" s="482"/>
      <c r="AA67" s="465"/>
      <c r="AB67" s="939"/>
      <c r="AC67" s="438"/>
      <c r="AD67" s="458"/>
    </row>
    <row r="68" spans="1:53" s="433" customFormat="1" ht="15.75">
      <c r="A68" s="434"/>
      <c r="B68" s="434"/>
      <c r="C68" s="581"/>
      <c r="D68" s="889"/>
      <c r="E68" s="435"/>
      <c r="F68" s="992"/>
      <c r="G68" s="464"/>
      <c r="H68" s="464">
        <f>IFERROR(#REF!*G68,0)</f>
        <v>0</v>
      </c>
      <c r="I68" s="429"/>
      <c r="J68" s="429"/>
      <c r="K68" s="464"/>
      <c r="L68" s="438"/>
      <c r="M68" s="900">
        <f>L68*O68</f>
        <v>0</v>
      </c>
      <c r="N68" s="901">
        <f t="shared" si="12"/>
        <v>0</v>
      </c>
      <c r="O68" s="438">
        <f>IFERROR(LOOKUP(1,0/((印刷機資料庫!$F$80:$F$157=F68)*(印刷機資料庫!$G$80:$G$157=J68)),印刷機資料庫!$J$80:$J$157),0)</f>
        <v>0</v>
      </c>
      <c r="P68" s="462"/>
      <c r="Q68" s="442"/>
      <c r="R68" s="482">
        <f>IFERROR(LOOKUP(1,0/((印刷機資料庫!$F$80:$F$157=F68)*(印刷機資料庫!$G$80:$G$157=J68)),印刷機資料庫!$I$80:$I$157),0)</f>
        <v>0</v>
      </c>
      <c r="S68" s="900">
        <f>IFERROR(LOOKUP(1,0/((印刷機資料庫!$F$80:$F$157=F68)*(印刷機資料庫!$G$80:$G$157=J68)),印刷機資料庫!$K$80:$K$157),0)</f>
        <v>0</v>
      </c>
      <c r="T68" s="898">
        <f>IFERROR(L68/S68,0)</f>
        <v>0</v>
      </c>
      <c r="U68" s="923">
        <f>IFERROR(R68*X68*60/O68,0)</f>
        <v>0</v>
      </c>
      <c r="V68" s="898">
        <f>IFERROR(L68/U68,0)</f>
        <v>0</v>
      </c>
      <c r="W68" s="952"/>
      <c r="X68" s="899">
        <f>Y68+Z68/60</f>
        <v>0</v>
      </c>
      <c r="Y68" s="438"/>
      <c r="Z68" s="482"/>
      <c r="AA68" s="465"/>
      <c r="AB68" s="939"/>
      <c r="AC68" s="438"/>
      <c r="AD68" s="458"/>
    </row>
    <row r="69" spans="1:53" s="433" customFormat="1" ht="15.75">
      <c r="A69" s="446"/>
      <c r="B69" s="446"/>
      <c r="C69" s="456"/>
      <c r="D69" s="456"/>
      <c r="E69" s="448"/>
      <c r="F69" s="452"/>
      <c r="G69" s="452"/>
      <c r="H69" s="430"/>
      <c r="I69" s="518"/>
      <c r="J69" s="518"/>
      <c r="K69" s="452"/>
      <c r="L69" s="439"/>
      <c r="M69" s="945"/>
      <c r="N69" s="946"/>
      <c r="O69" s="467"/>
      <c r="P69" s="467"/>
      <c r="Q69" s="869"/>
      <c r="R69" s="470"/>
      <c r="S69" s="945"/>
      <c r="T69" s="936"/>
      <c r="U69" s="947"/>
      <c r="V69" s="936"/>
      <c r="W69" s="955"/>
      <c r="X69" s="948"/>
      <c r="Y69" s="439"/>
      <c r="Z69" s="471"/>
      <c r="AB69" s="439"/>
      <c r="AC69" s="439"/>
      <c r="AD69" s="458"/>
    </row>
    <row r="70" spans="1:53" s="433" customFormat="1" ht="15.75">
      <c r="A70" s="446"/>
      <c r="B70" s="446"/>
      <c r="C70" s="456"/>
      <c r="D70" s="456"/>
      <c r="E70" s="448"/>
      <c r="F70" s="452"/>
      <c r="G70" s="452"/>
      <c r="H70" s="430"/>
      <c r="I70" s="518"/>
      <c r="J70" s="518"/>
      <c r="K70" s="452"/>
      <c r="L70" s="439"/>
      <c r="M70" s="945"/>
      <c r="N70" s="946"/>
      <c r="O70" s="467"/>
      <c r="P70" s="467"/>
      <c r="Q70" s="869"/>
      <c r="R70" s="470"/>
      <c r="S70" s="945"/>
      <c r="T70" s="936"/>
      <c r="U70" s="947"/>
      <c r="V70" s="936"/>
      <c r="W70" s="955"/>
      <c r="X70" s="948"/>
      <c r="Y70" s="439"/>
      <c r="Z70" s="471"/>
      <c r="AB70" s="439"/>
      <c r="AC70" s="439"/>
      <c r="AD70" s="458"/>
    </row>
    <row r="71" spans="1:53" s="433" customFormat="1" thickBot="1">
      <c r="A71" s="446"/>
      <c r="B71" s="446"/>
      <c r="C71" s="446"/>
      <c r="D71" s="446"/>
      <c r="E71" s="448"/>
      <c r="F71" s="430"/>
      <c r="G71" s="430"/>
      <c r="H71" s="430"/>
      <c r="I71" s="430"/>
      <c r="J71" s="430"/>
      <c r="K71" s="439"/>
      <c r="L71" s="439"/>
      <c r="M71" s="452"/>
      <c r="N71" s="457"/>
      <c r="O71" s="467"/>
      <c r="P71" s="467"/>
      <c r="Q71" s="457"/>
      <c r="R71" s="470"/>
      <c r="S71" s="458"/>
      <c r="T71" s="487">
        <f>SUM(T26:T67)</f>
        <v>0</v>
      </c>
      <c r="U71" s="925"/>
      <c r="V71" s="487"/>
      <c r="W71" s="956"/>
      <c r="X71" s="487"/>
      <c r="Y71" s="489"/>
      <c r="Z71" s="489"/>
      <c r="AA71" s="469" t="s">
        <v>46</v>
      </c>
      <c r="AB71" s="439"/>
      <c r="AC71" s="439"/>
    </row>
    <row r="72" spans="1:53" s="469" customFormat="1" ht="15.75">
      <c r="A72" s="479"/>
      <c r="B72" s="479"/>
      <c r="C72" s="479"/>
      <c r="D72" s="479"/>
      <c r="E72" s="452"/>
      <c r="F72" s="517"/>
      <c r="G72" s="525" t="s">
        <v>631</v>
      </c>
      <c r="H72" s="518"/>
      <c r="I72" s="518"/>
      <c r="J72" s="518"/>
      <c r="K72" s="1842" t="s">
        <v>1348</v>
      </c>
      <c r="L72" s="949" t="s">
        <v>536</v>
      </c>
      <c r="M72" s="525" t="s">
        <v>630</v>
      </c>
      <c r="N72" s="526" t="s">
        <v>458</v>
      </c>
      <c r="O72" s="521"/>
      <c r="P72" s="524" t="s">
        <v>537</v>
      </c>
      <c r="Q72" s="524" t="s">
        <v>455</v>
      </c>
      <c r="R72" s="520"/>
      <c r="S72" s="524" t="s">
        <v>1284</v>
      </c>
      <c r="T72" s="524" t="s">
        <v>459</v>
      </c>
      <c r="U72" s="520"/>
      <c r="V72" s="524" t="s">
        <v>1345</v>
      </c>
      <c r="W72" s="524" t="s">
        <v>1350</v>
      </c>
      <c r="X72" s="524" t="s">
        <v>1351</v>
      </c>
      <c r="Y72" s="524" t="s">
        <v>1353</v>
      </c>
      <c r="Z72" s="524" t="s">
        <v>1352</v>
      </c>
      <c r="AA72" s="469" t="s">
        <v>253</v>
      </c>
      <c r="AB72" s="452"/>
      <c r="AC72" s="452"/>
    </row>
    <row r="73" spans="1:53" thickBot="1">
      <c r="G73" s="522">
        <f>SUM(H26:H67)</f>
        <v>0</v>
      </c>
      <c r="H73" s="431"/>
      <c r="I73" s="431"/>
      <c r="J73" s="431"/>
      <c r="K73" s="1843"/>
      <c r="L73" s="950">
        <f>SUM(L26:L68)</f>
        <v>0</v>
      </c>
      <c r="M73" s="522">
        <f>SUM(M26:M68)</f>
        <v>0</v>
      </c>
      <c r="N73" s="523">
        <f>SUM(N26:N68)</f>
        <v>0</v>
      </c>
      <c r="P73" s="523">
        <f>SUM(P26:P68)</f>
        <v>0</v>
      </c>
      <c r="Q73" s="897" t="e">
        <f>P73/(M73+P73)</f>
        <v>#DIV/0!</v>
      </c>
      <c r="S73" s="523" t="e">
        <f>L73/T73</f>
        <v>#DIV/0!</v>
      </c>
      <c r="T73" s="898">
        <f>T71/V73</f>
        <v>0</v>
      </c>
      <c r="U73" s="455"/>
      <c r="V73" s="516">
        <v>21</v>
      </c>
      <c r="W73" s="958">
        <f>SUM(W26:W68)</f>
        <v>0</v>
      </c>
      <c r="X73" s="516">
        <f>SUM(X26:X68)</f>
        <v>0</v>
      </c>
      <c r="Y73" s="516">
        <f>W73-X73</f>
        <v>0</v>
      </c>
      <c r="Z73" s="896" t="e">
        <f>X73/W73</f>
        <v>#DIV/0!</v>
      </c>
    </row>
    <row r="74" spans="1:53" ht="21">
      <c r="M74" s="453"/>
      <c r="N74"/>
      <c r="Q74"/>
      <c r="T74" s="940"/>
      <c r="U74" s="942"/>
    </row>
    <row r="75" spans="1:53" ht="17.25" thickBot="1">
      <c r="S75" s="446"/>
      <c r="T75" s="446"/>
      <c r="U75" s="446"/>
    </row>
    <row r="76" spans="1:53" ht="15.75">
      <c r="A76" s="1824" t="s">
        <v>330</v>
      </c>
      <c r="B76" s="1826" t="s">
        <v>311</v>
      </c>
      <c r="C76" s="1828" t="s">
        <v>331</v>
      </c>
      <c r="D76" s="1828" t="s">
        <v>332</v>
      </c>
      <c r="E76" s="1830" t="s">
        <v>194</v>
      </c>
      <c r="F76" s="1832" t="s">
        <v>510</v>
      </c>
      <c r="G76" s="1872" t="s">
        <v>628</v>
      </c>
      <c r="H76" s="1874" t="s">
        <v>629</v>
      </c>
      <c r="I76" s="1832" t="s">
        <v>361</v>
      </c>
      <c r="J76" s="1832" t="s">
        <v>1320</v>
      </c>
      <c r="K76" s="1828" t="s">
        <v>362</v>
      </c>
      <c r="L76" s="1828" t="s">
        <v>514</v>
      </c>
      <c r="M76" s="1856" t="s">
        <v>511</v>
      </c>
      <c r="N76" s="1858" t="s">
        <v>457</v>
      </c>
      <c r="O76" s="1828" t="s">
        <v>380</v>
      </c>
      <c r="P76" s="1876" t="s">
        <v>515</v>
      </c>
      <c r="Q76" s="1854" t="s">
        <v>3</v>
      </c>
      <c r="R76" s="1836" t="s">
        <v>512</v>
      </c>
      <c r="S76" s="1844" t="s">
        <v>1286</v>
      </c>
      <c r="T76" s="1846" t="s">
        <v>201</v>
      </c>
      <c r="U76" s="1846" t="s">
        <v>1318</v>
      </c>
      <c r="V76" s="1846" t="s">
        <v>1319</v>
      </c>
      <c r="W76" s="1849" t="s">
        <v>1285</v>
      </c>
      <c r="X76" s="1866" t="s">
        <v>1297</v>
      </c>
      <c r="Y76" s="1860" t="s">
        <v>340</v>
      </c>
      <c r="Z76" s="1861"/>
      <c r="AA76" s="1867" t="s">
        <v>371</v>
      </c>
      <c r="AB76" s="1867" t="s">
        <v>383</v>
      </c>
      <c r="AC76" s="1864" t="s">
        <v>29</v>
      </c>
    </row>
    <row r="77" spans="1:53" s="447" customFormat="1" thickBot="1">
      <c r="A77" s="1879"/>
      <c r="B77" s="1880"/>
      <c r="C77" s="1839"/>
      <c r="D77" s="1839"/>
      <c r="E77" s="1881"/>
      <c r="F77" s="1838"/>
      <c r="G77" s="1873"/>
      <c r="H77" s="1875"/>
      <c r="I77" s="1838"/>
      <c r="J77" s="1838"/>
      <c r="K77" s="1839"/>
      <c r="L77" s="1839"/>
      <c r="M77" s="1857"/>
      <c r="N77" s="1871"/>
      <c r="O77" s="1839"/>
      <c r="P77" s="1877"/>
      <c r="Q77" s="1869"/>
      <c r="R77" s="1870"/>
      <c r="S77" s="1878"/>
      <c r="T77" s="1848"/>
      <c r="U77" s="1848"/>
      <c r="V77" s="1848"/>
      <c r="W77" s="1850"/>
      <c r="X77" s="1850"/>
      <c r="Y77" s="491" t="s">
        <v>350</v>
      </c>
      <c r="Z77" s="491" t="s">
        <v>351</v>
      </c>
      <c r="AA77" s="1868"/>
      <c r="AB77" s="1868"/>
      <c r="AC77" s="1865"/>
      <c r="AD77" s="446"/>
      <c r="AE77" s="446"/>
      <c r="AR77" s="446"/>
      <c r="AS77" s="446"/>
      <c r="AT77" s="446"/>
      <c r="AU77" s="446"/>
      <c r="AV77" s="446"/>
      <c r="AW77" s="446"/>
      <c r="AX77" s="446"/>
      <c r="AY77" s="446"/>
      <c r="AZ77" s="446"/>
      <c r="BA77" s="446"/>
    </row>
    <row r="78" spans="1:53" s="433" customFormat="1" ht="15.75">
      <c r="A78" s="581"/>
      <c r="B78" s="581">
        <v>1</v>
      </c>
      <c r="C78" s="581" t="s">
        <v>632</v>
      </c>
      <c r="D78" s="581" t="s">
        <v>43</v>
      </c>
      <c r="E78" s="435" t="s">
        <v>42</v>
      </c>
      <c r="F78" s="429"/>
      <c r="G78" s="464"/>
      <c r="H78" s="464">
        <f>IFERROR(#REF!*G78,0)</f>
        <v>0</v>
      </c>
      <c r="I78" s="429"/>
      <c r="J78" s="429"/>
      <c r="K78" s="464"/>
      <c r="L78" s="438"/>
      <c r="M78" s="900">
        <f>L78*O78</f>
        <v>0</v>
      </c>
      <c r="N78" s="901">
        <f>K78*L78</f>
        <v>0</v>
      </c>
      <c r="O78" s="438">
        <f>IFERROR(LOOKUP(1,0/((印刷機資料庫!$F$80:$F$157=F78)*(印刷機資料庫!$G$80:$G$157=J78)),印刷機資料庫!$J$80:$J$157),0)</f>
        <v>0</v>
      </c>
      <c r="P78" s="462"/>
      <c r="Q78" s="442">
        <f t="shared" ref="Q78:Q97" si="13">IFERROR(P78/(M78+P78),0)</f>
        <v>0</v>
      </c>
      <c r="R78" s="482">
        <f>IFERROR(LOOKUP(1,0/((印刷機資料庫!$F$80:$F$157=F78)*(印刷機資料庫!$G$80:$G$157=J78)),印刷機資料庫!$I$80:$I$157),0)</f>
        <v>0</v>
      </c>
      <c r="S78" s="900">
        <f>IFERROR(LOOKUP(1,0/((印刷機資料庫!$F$80:$F$157=F78)*(印刷機資料庫!$G$80:$G$157=J78)),印刷機資料庫!$K$80:$K$157),0)</f>
        <v>0</v>
      </c>
      <c r="T78" s="898">
        <f>IFERROR(L78/S78,0)</f>
        <v>0</v>
      </c>
      <c r="U78" s="923">
        <f>IFERROR(R78*X78*60/O78,0)</f>
        <v>0</v>
      </c>
      <c r="V78" s="898">
        <f>IFERROR(L78/U78,0)</f>
        <v>0</v>
      </c>
      <c r="W78" s="953"/>
      <c r="X78" s="899">
        <f>Y78+Z78/60</f>
        <v>0</v>
      </c>
      <c r="Y78" s="438"/>
      <c r="Z78" s="482"/>
      <c r="AA78" s="465"/>
      <c r="AB78" s="438"/>
      <c r="AC78" s="438"/>
    </row>
    <row r="79" spans="1:53" s="433" customFormat="1" ht="15.75">
      <c r="A79" s="581"/>
      <c r="B79" s="581">
        <v>2</v>
      </c>
      <c r="C79" s="581" t="s">
        <v>667</v>
      </c>
      <c r="D79" s="581" t="s">
        <v>43</v>
      </c>
      <c r="E79" s="435" t="s">
        <v>42</v>
      </c>
      <c r="F79" s="429"/>
      <c r="G79" s="464"/>
      <c r="H79" s="464">
        <f>IFERROR(#REF!*G79,0)</f>
        <v>0</v>
      </c>
      <c r="I79" s="429"/>
      <c r="J79" s="429"/>
      <c r="K79" s="464"/>
      <c r="L79" s="438"/>
      <c r="M79" s="900">
        <f t="shared" ref="M79:M108" si="14">L79*O79</f>
        <v>0</v>
      </c>
      <c r="N79" s="901">
        <f>K79*L79</f>
        <v>0</v>
      </c>
      <c r="O79" s="438">
        <f>IFERROR(LOOKUP(1,0/((印刷機資料庫!$F$80:$F$157=F79)*(印刷機資料庫!$G$80:$G$157=J79)),印刷機資料庫!$J$80:$J$157),0)</f>
        <v>0</v>
      </c>
      <c r="P79" s="462"/>
      <c r="Q79" s="442">
        <f t="shared" si="13"/>
        <v>0</v>
      </c>
      <c r="R79" s="482">
        <f>IFERROR(LOOKUP(1,0/((印刷機資料庫!$F$80:$F$157=F79)*(印刷機資料庫!$G$80:$G$157=J79)),印刷機資料庫!$I$80:$I$157),0)</f>
        <v>0</v>
      </c>
      <c r="S79" s="900">
        <f>IFERROR(LOOKUP(1,0/((印刷機資料庫!$F$80:$F$157=F79)*(印刷機資料庫!$G$80:$G$157=J79)),印刷機資料庫!$K$80:$K$157),0)</f>
        <v>0</v>
      </c>
      <c r="T79" s="898">
        <f t="shared" ref="T79:T84" si="15">IFERROR(L79/S79,0)</f>
        <v>0</v>
      </c>
      <c r="U79" s="923">
        <f>IFERROR(R79*X79*60/O79,0)</f>
        <v>0</v>
      </c>
      <c r="V79" s="898">
        <f t="shared" ref="V79:V84" si="16">IFERROR(L79/U79,0)</f>
        <v>0</v>
      </c>
      <c r="W79" s="953"/>
      <c r="X79" s="899">
        <f t="shared" ref="X79:X108" si="17">Y79+Z79/60</f>
        <v>0</v>
      </c>
      <c r="Y79" s="438"/>
      <c r="Z79" s="482"/>
      <c r="AA79" s="465"/>
      <c r="AB79" s="438"/>
      <c r="AC79" s="438"/>
    </row>
    <row r="80" spans="1:53" s="433" customFormat="1" ht="15.75">
      <c r="A80" s="581"/>
      <c r="B80" s="581">
        <v>3</v>
      </c>
      <c r="C80" s="581" t="s">
        <v>669</v>
      </c>
      <c r="D80" s="581" t="s">
        <v>43</v>
      </c>
      <c r="E80" s="435" t="s">
        <v>42</v>
      </c>
      <c r="F80" s="429"/>
      <c r="G80" s="464"/>
      <c r="H80" s="464">
        <f>IFERROR(#REF!*G80,0)</f>
        <v>0</v>
      </c>
      <c r="I80" s="429"/>
      <c r="J80" s="429"/>
      <c r="K80" s="464"/>
      <c r="L80" s="438"/>
      <c r="M80" s="900">
        <f t="shared" si="14"/>
        <v>0</v>
      </c>
      <c r="N80" s="901">
        <f>K80*L80</f>
        <v>0</v>
      </c>
      <c r="O80" s="438">
        <f>IFERROR(LOOKUP(1,0/((印刷機資料庫!$F$80:$F$157=F80)*(印刷機資料庫!$G$80:$G$157=J80)),印刷機資料庫!$J$80:$J$157),0)</f>
        <v>0</v>
      </c>
      <c r="P80" s="462"/>
      <c r="Q80" s="442">
        <f t="shared" si="13"/>
        <v>0</v>
      </c>
      <c r="R80" s="482">
        <f>IFERROR(LOOKUP(1,0/((印刷機資料庫!$F$80:$F$157=F80)*(印刷機資料庫!$G$80:$G$157=J80)),印刷機資料庫!$I$80:$I$157),0)</f>
        <v>0</v>
      </c>
      <c r="S80" s="900">
        <f>IFERROR(LOOKUP(1,0/((印刷機資料庫!$F$80:$F$157=F80)*(印刷機資料庫!$G$80:$G$157=J80)),印刷機資料庫!$K$80:$K$157),0)</f>
        <v>0</v>
      </c>
      <c r="T80" s="898">
        <f t="shared" si="15"/>
        <v>0</v>
      </c>
      <c r="U80" s="923">
        <f>IFERROR(R80*X80*60/O80,0)</f>
        <v>0</v>
      </c>
      <c r="V80" s="898">
        <f t="shared" si="16"/>
        <v>0</v>
      </c>
      <c r="W80" s="953"/>
      <c r="X80" s="899">
        <f t="shared" si="17"/>
        <v>0</v>
      </c>
      <c r="Y80" s="438"/>
      <c r="Z80" s="482"/>
      <c r="AA80" s="465"/>
      <c r="AB80" s="438"/>
      <c r="AC80" s="438"/>
    </row>
    <row r="81" spans="1:29" s="433" customFormat="1" ht="15.75">
      <c r="A81" s="581"/>
      <c r="B81" s="581">
        <v>4</v>
      </c>
      <c r="C81" s="581" t="s">
        <v>670</v>
      </c>
      <c r="D81" s="581" t="s">
        <v>43</v>
      </c>
      <c r="E81" s="435" t="s">
        <v>42</v>
      </c>
      <c r="F81" s="429"/>
      <c r="G81" s="464"/>
      <c r="H81" s="464">
        <f>IFERROR(#REF!*G81,0)</f>
        <v>0</v>
      </c>
      <c r="I81" s="429"/>
      <c r="J81" s="429"/>
      <c r="K81" s="464"/>
      <c r="L81" s="438"/>
      <c r="M81" s="900">
        <f t="shared" si="14"/>
        <v>0</v>
      </c>
      <c r="N81" s="901">
        <f t="shared" ref="N81:N108" si="18">K81*L81</f>
        <v>0</v>
      </c>
      <c r="O81" s="438">
        <f>IFERROR(LOOKUP(1,0/((印刷機資料庫!$F$80:$F$157=F81)*(印刷機資料庫!$G$80:$G$157=J81)),印刷機資料庫!$J$80:$J$157),0)</f>
        <v>0</v>
      </c>
      <c r="P81" s="462"/>
      <c r="Q81" s="442">
        <f t="shared" si="13"/>
        <v>0</v>
      </c>
      <c r="R81" s="482">
        <f>IFERROR(LOOKUP(1,0/((印刷機資料庫!$F$80:$F$157=F81)*(印刷機資料庫!$G$80:$G$157=J81)),印刷機資料庫!$I$80:$I$157),0)</f>
        <v>0</v>
      </c>
      <c r="S81" s="900">
        <f>IFERROR(LOOKUP(1,0/((印刷機資料庫!$F$80:$F$157=F81)*(印刷機資料庫!$G$80:$G$157=J81)),印刷機資料庫!$K$80:$K$157),0)</f>
        <v>0</v>
      </c>
      <c r="T81" s="898">
        <f t="shared" si="15"/>
        <v>0</v>
      </c>
      <c r="U81" s="923">
        <f t="shared" ref="U81:U108" si="19">IFERROR(R81*X81*60/O81,0)</f>
        <v>0</v>
      </c>
      <c r="V81" s="898">
        <f t="shared" si="16"/>
        <v>0</v>
      </c>
      <c r="W81" s="953"/>
      <c r="X81" s="899">
        <f t="shared" si="17"/>
        <v>0</v>
      </c>
      <c r="Y81" s="438"/>
      <c r="Z81" s="482"/>
      <c r="AA81" s="465"/>
      <c r="AB81" s="438"/>
      <c r="AC81" s="438"/>
    </row>
    <row r="82" spans="1:29" s="433" customFormat="1" ht="15.75">
      <c r="A82" s="581"/>
      <c r="B82" s="581">
        <v>5</v>
      </c>
      <c r="C82" s="581" t="s">
        <v>671</v>
      </c>
      <c r="D82" s="581" t="s">
        <v>43</v>
      </c>
      <c r="E82" s="435" t="s">
        <v>42</v>
      </c>
      <c r="F82" s="429"/>
      <c r="G82" s="464"/>
      <c r="H82" s="464">
        <f>IFERROR(#REF!*G82,0)</f>
        <v>0</v>
      </c>
      <c r="I82" s="429"/>
      <c r="J82" s="429"/>
      <c r="K82" s="464"/>
      <c r="L82" s="438"/>
      <c r="M82" s="900">
        <f t="shared" si="14"/>
        <v>0</v>
      </c>
      <c r="N82" s="901">
        <f t="shared" si="18"/>
        <v>0</v>
      </c>
      <c r="O82" s="438">
        <f>IFERROR(LOOKUP(1,0/((印刷機資料庫!$F$80:$F$157=F82)*(印刷機資料庫!$G$80:$G$157=J82)),印刷機資料庫!$J$80:$J$157),0)</f>
        <v>0</v>
      </c>
      <c r="P82" s="462"/>
      <c r="Q82" s="442">
        <f t="shared" si="13"/>
        <v>0</v>
      </c>
      <c r="R82" s="482">
        <f>IFERROR(LOOKUP(1,0/((印刷機資料庫!$F$80:$F$157=F82)*(印刷機資料庫!$G$80:$G$157=J82)),印刷機資料庫!$I$80:$I$157),0)</f>
        <v>0</v>
      </c>
      <c r="S82" s="900">
        <f>IFERROR(LOOKUP(1,0/((印刷機資料庫!$F$80:$F$157=F82)*(印刷機資料庫!$G$80:$G$157=J82)),印刷機資料庫!$K$80:$K$157),0)</f>
        <v>0</v>
      </c>
      <c r="T82" s="898">
        <f t="shared" si="15"/>
        <v>0</v>
      </c>
      <c r="U82" s="923">
        <f t="shared" si="19"/>
        <v>0</v>
      </c>
      <c r="V82" s="898">
        <f t="shared" si="16"/>
        <v>0</v>
      </c>
      <c r="W82" s="953"/>
      <c r="X82" s="899">
        <f t="shared" si="17"/>
        <v>0</v>
      </c>
      <c r="Y82" s="438"/>
      <c r="Z82" s="482"/>
      <c r="AA82" s="465"/>
      <c r="AB82" s="438"/>
      <c r="AC82" s="438"/>
    </row>
    <row r="83" spans="1:29" s="433" customFormat="1" ht="15.75">
      <c r="A83" s="581"/>
      <c r="B83" s="581">
        <v>6</v>
      </c>
      <c r="C83" s="581" t="s">
        <v>672</v>
      </c>
      <c r="D83" s="581" t="s">
        <v>43</v>
      </c>
      <c r="E83" s="435" t="s">
        <v>42</v>
      </c>
      <c r="F83" s="429"/>
      <c r="G83" s="464"/>
      <c r="H83" s="464">
        <f>IFERROR(#REF!*G83,0)</f>
        <v>0</v>
      </c>
      <c r="I83" s="429"/>
      <c r="J83" s="429"/>
      <c r="K83" s="464"/>
      <c r="L83" s="438"/>
      <c r="M83" s="900">
        <f t="shared" si="14"/>
        <v>0</v>
      </c>
      <c r="N83" s="901">
        <f t="shared" si="18"/>
        <v>0</v>
      </c>
      <c r="O83" s="438">
        <f>IFERROR(LOOKUP(1,0/((印刷機資料庫!$F$80:$F$157=F83)*(印刷機資料庫!$G$80:$G$157=J83)),印刷機資料庫!$J$80:$J$157),0)</f>
        <v>0</v>
      </c>
      <c r="P83" s="462"/>
      <c r="Q83" s="442">
        <f t="shared" si="13"/>
        <v>0</v>
      </c>
      <c r="R83" s="482">
        <f>IFERROR(LOOKUP(1,0/((印刷機資料庫!$F$80:$F$157=F83)*(印刷機資料庫!$G$80:$G$157=J83)),印刷機資料庫!$I$80:$I$157),0)</f>
        <v>0</v>
      </c>
      <c r="S83" s="900">
        <f>IFERROR(LOOKUP(1,0/((印刷機資料庫!$F$80:$F$157=F83)*(印刷機資料庫!$G$80:$G$157=J83)),印刷機資料庫!$K$80:$K$157),0)</f>
        <v>0</v>
      </c>
      <c r="T83" s="898">
        <f t="shared" si="15"/>
        <v>0</v>
      </c>
      <c r="U83" s="923">
        <f t="shared" si="19"/>
        <v>0</v>
      </c>
      <c r="V83" s="898">
        <f t="shared" si="16"/>
        <v>0</v>
      </c>
      <c r="W83" s="953"/>
      <c r="X83" s="899">
        <f t="shared" si="17"/>
        <v>0</v>
      </c>
      <c r="Y83" s="438"/>
      <c r="Z83" s="482"/>
      <c r="AA83" s="465"/>
      <c r="AB83" s="438"/>
      <c r="AC83" s="438"/>
    </row>
    <row r="84" spans="1:29" s="433" customFormat="1" ht="15.75">
      <c r="A84" s="581"/>
      <c r="B84" s="581">
        <v>7</v>
      </c>
      <c r="C84" s="581" t="s">
        <v>673</v>
      </c>
      <c r="D84" s="581" t="s">
        <v>43</v>
      </c>
      <c r="E84" s="435" t="s">
        <v>44</v>
      </c>
      <c r="F84" s="429"/>
      <c r="G84" s="464"/>
      <c r="H84" s="464">
        <f>IFERROR(#REF!*G84,0)</f>
        <v>0</v>
      </c>
      <c r="I84" s="429"/>
      <c r="J84" s="429"/>
      <c r="K84" s="464"/>
      <c r="L84" s="438"/>
      <c r="M84" s="900">
        <f t="shared" si="14"/>
        <v>0</v>
      </c>
      <c r="N84" s="901">
        <f t="shared" si="18"/>
        <v>0</v>
      </c>
      <c r="O84" s="438">
        <f>IFERROR(LOOKUP(1,0/((印刷機資料庫!$F$80:$F$157=F84)*(印刷機資料庫!$G$80:$G$157=J84)),印刷機資料庫!$J$80:$J$157),0)</f>
        <v>0</v>
      </c>
      <c r="P84" s="462"/>
      <c r="Q84" s="442">
        <f t="shared" si="13"/>
        <v>0</v>
      </c>
      <c r="R84" s="482">
        <f>IFERROR(LOOKUP(1,0/((印刷機資料庫!$F$80:$F$157=F84)*(印刷機資料庫!$G$80:$G$157=J84)),印刷機資料庫!$I$80:$I$157),0)</f>
        <v>0</v>
      </c>
      <c r="S84" s="900">
        <f>IFERROR(LOOKUP(1,0/((印刷機資料庫!$F$80:$F$157=F84)*(印刷機資料庫!$G$80:$G$157=J84)),印刷機資料庫!$K$80:$K$157),0)</f>
        <v>0</v>
      </c>
      <c r="T84" s="898">
        <f t="shared" si="15"/>
        <v>0</v>
      </c>
      <c r="U84" s="923">
        <f t="shared" si="19"/>
        <v>0</v>
      </c>
      <c r="V84" s="898">
        <f t="shared" si="16"/>
        <v>0</v>
      </c>
      <c r="W84" s="953"/>
      <c r="X84" s="899">
        <f t="shared" si="17"/>
        <v>0</v>
      </c>
      <c r="Y84" s="438"/>
      <c r="Z84" s="482"/>
      <c r="AA84" s="465"/>
      <c r="AB84" s="438"/>
      <c r="AC84" s="438"/>
    </row>
    <row r="85" spans="1:29" s="433" customFormat="1" ht="15.75">
      <c r="A85" s="581"/>
      <c r="B85" s="581">
        <v>8</v>
      </c>
      <c r="C85" s="581" t="s">
        <v>632</v>
      </c>
      <c r="D85" s="581" t="s">
        <v>43</v>
      </c>
      <c r="E85" s="435" t="s">
        <v>58</v>
      </c>
      <c r="F85" s="429"/>
      <c r="G85" s="464"/>
      <c r="H85" s="464">
        <f>IFERROR(#REF!*G85,0)</f>
        <v>0</v>
      </c>
      <c r="I85" s="429"/>
      <c r="J85" s="429"/>
      <c r="K85" s="464"/>
      <c r="L85" s="438"/>
      <c r="M85" s="900">
        <f t="shared" si="14"/>
        <v>0</v>
      </c>
      <c r="N85" s="901">
        <f t="shared" si="18"/>
        <v>0</v>
      </c>
      <c r="O85" s="438">
        <f>IFERROR(LOOKUP(1,0/((印刷機資料庫!$F$80:$F$157=F85)*(印刷機資料庫!$G$80:$G$157=J85)),印刷機資料庫!$J$80:$J$157),0)</f>
        <v>0</v>
      </c>
      <c r="P85" s="462"/>
      <c r="Q85" s="442">
        <f t="shared" si="13"/>
        <v>0</v>
      </c>
      <c r="R85" s="482">
        <f>IFERROR(LOOKUP(1,0/((印刷機資料庫!$F$80:$F$157=F85)*(印刷機資料庫!$G$80:$G$157=J85)),印刷機資料庫!$I$80:$I$157),0)</f>
        <v>0</v>
      </c>
      <c r="S85" s="900">
        <f>IFERROR(LOOKUP(1,0/((印刷機資料庫!$F$80:$F$157=F85)*(印刷機資料庫!$G$80:$G$157=J85)),印刷機資料庫!$K$80:$K$157),0)</f>
        <v>0</v>
      </c>
      <c r="T85" s="898">
        <f>IFERROR(L85/S85,0)</f>
        <v>0</v>
      </c>
      <c r="U85" s="923">
        <f t="shared" si="19"/>
        <v>0</v>
      </c>
      <c r="V85" s="898">
        <f>IFERROR(L85/U85,0)</f>
        <v>0</v>
      </c>
      <c r="W85" s="953"/>
      <c r="X85" s="899">
        <f t="shared" si="17"/>
        <v>0</v>
      </c>
      <c r="Y85" s="438"/>
      <c r="Z85" s="482"/>
      <c r="AA85" s="465"/>
      <c r="AB85" s="438"/>
      <c r="AC85" s="438"/>
    </row>
    <row r="86" spans="1:29" s="433" customFormat="1" ht="15.75">
      <c r="A86" s="581"/>
      <c r="B86" s="581">
        <v>9</v>
      </c>
      <c r="C86" s="581" t="s">
        <v>667</v>
      </c>
      <c r="D86" s="581" t="s">
        <v>43</v>
      </c>
      <c r="E86" s="435" t="s">
        <v>58</v>
      </c>
      <c r="F86" s="429"/>
      <c r="G86" s="464"/>
      <c r="H86" s="464">
        <f>IFERROR(#REF!*G86,0)</f>
        <v>0</v>
      </c>
      <c r="I86" s="429"/>
      <c r="J86" s="429"/>
      <c r="K86" s="464"/>
      <c r="L86" s="438"/>
      <c r="M86" s="900">
        <f t="shared" si="14"/>
        <v>0</v>
      </c>
      <c r="N86" s="901">
        <f t="shared" si="18"/>
        <v>0</v>
      </c>
      <c r="O86" s="438">
        <f>IFERROR(LOOKUP(1,0/((印刷機資料庫!$F$80:$F$157=F86)*(印刷機資料庫!$G$80:$G$157=J86)),印刷機資料庫!$J$80:$J$157),0)</f>
        <v>0</v>
      </c>
      <c r="P86" s="462"/>
      <c r="Q86" s="442">
        <f t="shared" si="13"/>
        <v>0</v>
      </c>
      <c r="R86" s="482">
        <f>IFERROR(LOOKUP(1,0/((印刷機資料庫!$F$80:$F$157=F86)*(印刷機資料庫!$G$80:$G$157=J86)),印刷機資料庫!$I$80:$I$157),0)</f>
        <v>0</v>
      </c>
      <c r="S86" s="900">
        <f>IFERROR(LOOKUP(1,0/((印刷機資料庫!$F$80:$F$157=F86)*(印刷機資料庫!$G$80:$G$157=J86)),印刷機資料庫!$K$80:$K$157),0)</f>
        <v>0</v>
      </c>
      <c r="T86" s="898">
        <f>IFERROR(L86/S86,0)</f>
        <v>0</v>
      </c>
      <c r="U86" s="923">
        <f t="shared" si="19"/>
        <v>0</v>
      </c>
      <c r="V86" s="898">
        <f t="shared" ref="V86:V108" si="20">IFERROR(L86/U86,0)</f>
        <v>0</v>
      </c>
      <c r="W86" s="953"/>
      <c r="X86" s="899">
        <f t="shared" si="17"/>
        <v>0</v>
      </c>
      <c r="Y86" s="438"/>
      <c r="Z86" s="482"/>
      <c r="AA86" s="465"/>
      <c r="AB86" s="438"/>
      <c r="AC86" s="438"/>
    </row>
    <row r="87" spans="1:29" s="433" customFormat="1" ht="15.75">
      <c r="A87" s="581"/>
      <c r="B87" s="581">
        <v>10</v>
      </c>
      <c r="C87" s="581" t="s">
        <v>669</v>
      </c>
      <c r="D87" s="581" t="s">
        <v>43</v>
      </c>
      <c r="E87" s="435" t="s">
        <v>58</v>
      </c>
      <c r="F87" s="429"/>
      <c r="G87" s="464"/>
      <c r="H87" s="464">
        <f>IFERROR(#REF!*G87,0)</f>
        <v>0</v>
      </c>
      <c r="I87" s="429"/>
      <c r="J87" s="429"/>
      <c r="K87" s="464"/>
      <c r="L87" s="438"/>
      <c r="M87" s="900">
        <f t="shared" si="14"/>
        <v>0</v>
      </c>
      <c r="N87" s="901">
        <f t="shared" si="18"/>
        <v>0</v>
      </c>
      <c r="O87" s="438">
        <f>IFERROR(LOOKUP(1,0/((印刷機資料庫!$F$80:$F$157=F87)*(印刷機資料庫!$G$80:$G$157=J87)),印刷機資料庫!$J$80:$J$157),0)</f>
        <v>0</v>
      </c>
      <c r="P87" s="462"/>
      <c r="Q87" s="442">
        <f t="shared" si="13"/>
        <v>0</v>
      </c>
      <c r="R87" s="482">
        <f>IFERROR(LOOKUP(1,0/((印刷機資料庫!$F$80:$F$157=F87)*(印刷機資料庫!$G$80:$G$157=J87)),印刷機資料庫!$I$80:$I$157),0)</f>
        <v>0</v>
      </c>
      <c r="S87" s="900">
        <f>IFERROR(LOOKUP(1,0/((印刷機資料庫!$F$80:$F$157=F87)*(印刷機資料庫!$G$80:$G$157=J87)),印刷機資料庫!$K$80:$K$157),0)</f>
        <v>0</v>
      </c>
      <c r="T87" s="898">
        <f t="shared" ref="T87:T106" si="21">IFERROR(L87/S87,0)</f>
        <v>0</v>
      </c>
      <c r="U87" s="923">
        <f t="shared" si="19"/>
        <v>0</v>
      </c>
      <c r="V87" s="898">
        <f t="shared" si="20"/>
        <v>0</v>
      </c>
      <c r="W87" s="953"/>
      <c r="X87" s="899">
        <f t="shared" si="17"/>
        <v>0</v>
      </c>
      <c r="Y87" s="438"/>
      <c r="Z87" s="482"/>
      <c r="AA87" s="465"/>
      <c r="AB87" s="438"/>
      <c r="AC87" s="438"/>
    </row>
    <row r="88" spans="1:29" s="433" customFormat="1" ht="15.75">
      <c r="A88" s="581"/>
      <c r="B88" s="581">
        <v>11</v>
      </c>
      <c r="C88" s="581" t="s">
        <v>670</v>
      </c>
      <c r="D88" s="581" t="s">
        <v>43</v>
      </c>
      <c r="E88" s="435" t="s">
        <v>58</v>
      </c>
      <c r="F88" s="429"/>
      <c r="G88" s="464"/>
      <c r="H88" s="464">
        <f>IFERROR(#REF!*G88,0)</f>
        <v>0</v>
      </c>
      <c r="I88" s="429"/>
      <c r="J88" s="429"/>
      <c r="K88" s="464"/>
      <c r="L88" s="438"/>
      <c r="M88" s="900">
        <f t="shared" si="14"/>
        <v>0</v>
      </c>
      <c r="N88" s="901">
        <f t="shared" si="18"/>
        <v>0</v>
      </c>
      <c r="O88" s="438">
        <f>IFERROR(LOOKUP(1,0/((印刷機資料庫!$F$80:$F$157=F88)*(印刷機資料庫!$G$80:$G$157=J88)),印刷機資料庫!$J$80:$J$157),0)</f>
        <v>0</v>
      </c>
      <c r="P88" s="462"/>
      <c r="Q88" s="442">
        <f t="shared" si="13"/>
        <v>0</v>
      </c>
      <c r="R88" s="482">
        <f>IFERROR(LOOKUP(1,0/((印刷機資料庫!$F$80:$F$157=F88)*(印刷機資料庫!$G$80:$G$157=J88)),印刷機資料庫!$I$80:$I$157),0)</f>
        <v>0</v>
      </c>
      <c r="S88" s="900">
        <f>IFERROR(LOOKUP(1,0/((印刷機資料庫!$F$80:$F$157=F88)*(印刷機資料庫!$G$80:$G$157=J88)),印刷機資料庫!$K$80:$K$157),0)</f>
        <v>0</v>
      </c>
      <c r="T88" s="898">
        <f t="shared" si="21"/>
        <v>0</v>
      </c>
      <c r="U88" s="923">
        <f t="shared" si="19"/>
        <v>0</v>
      </c>
      <c r="V88" s="898">
        <f t="shared" si="20"/>
        <v>0</v>
      </c>
      <c r="W88" s="953"/>
      <c r="X88" s="899">
        <f t="shared" si="17"/>
        <v>0</v>
      </c>
      <c r="Y88" s="438"/>
      <c r="Z88" s="482"/>
      <c r="AA88" s="465"/>
      <c r="AB88" s="438"/>
      <c r="AC88" s="438"/>
    </row>
    <row r="89" spans="1:29" s="433" customFormat="1" ht="15.75">
      <c r="A89" s="581"/>
      <c r="B89" s="581">
        <v>12</v>
      </c>
      <c r="C89" s="581" t="s">
        <v>671</v>
      </c>
      <c r="D89" s="581" t="s">
        <v>43</v>
      </c>
      <c r="E89" s="435" t="s">
        <v>58</v>
      </c>
      <c r="F89" s="429"/>
      <c r="G89" s="464"/>
      <c r="H89" s="464">
        <f>IFERROR(#REF!*G89,0)</f>
        <v>0</v>
      </c>
      <c r="I89" s="429"/>
      <c r="J89" s="429"/>
      <c r="K89" s="464"/>
      <c r="L89" s="438"/>
      <c r="M89" s="900">
        <f t="shared" si="14"/>
        <v>0</v>
      </c>
      <c r="N89" s="901">
        <f t="shared" si="18"/>
        <v>0</v>
      </c>
      <c r="O89" s="438">
        <f>IFERROR(LOOKUP(1,0/((印刷機資料庫!$F$80:$F$157=F89)*(印刷機資料庫!$G$80:$G$157=J89)),印刷機資料庫!$J$80:$J$157),0)</f>
        <v>0</v>
      </c>
      <c r="P89" s="462"/>
      <c r="Q89" s="442">
        <f t="shared" si="13"/>
        <v>0</v>
      </c>
      <c r="R89" s="482">
        <f>IFERROR(LOOKUP(1,0/((印刷機資料庫!$F$80:$F$157=F89)*(印刷機資料庫!$G$80:$G$157=J89)),印刷機資料庫!$I$80:$I$157),0)</f>
        <v>0</v>
      </c>
      <c r="S89" s="900">
        <f>IFERROR(LOOKUP(1,0/((印刷機資料庫!$F$80:$F$157=F89)*(印刷機資料庫!$G$80:$G$157=J89)),印刷機資料庫!$K$80:$K$157),0)</f>
        <v>0</v>
      </c>
      <c r="T89" s="898">
        <f t="shared" si="21"/>
        <v>0</v>
      </c>
      <c r="U89" s="923">
        <f t="shared" si="19"/>
        <v>0</v>
      </c>
      <c r="V89" s="898">
        <f t="shared" si="20"/>
        <v>0</v>
      </c>
      <c r="W89" s="953"/>
      <c r="X89" s="899">
        <f t="shared" si="17"/>
        <v>0</v>
      </c>
      <c r="Y89" s="438"/>
      <c r="Z89" s="482"/>
      <c r="AA89" s="465"/>
      <c r="AB89" s="438"/>
      <c r="AC89" s="438"/>
    </row>
    <row r="90" spans="1:29" s="433" customFormat="1" ht="15.75">
      <c r="A90" s="581"/>
      <c r="B90" s="581">
        <v>13</v>
      </c>
      <c r="C90" s="581" t="s">
        <v>672</v>
      </c>
      <c r="D90" s="581" t="s">
        <v>43</v>
      </c>
      <c r="E90" s="435" t="s">
        <v>58</v>
      </c>
      <c r="F90" s="429"/>
      <c r="G90" s="464"/>
      <c r="H90" s="464">
        <f>IFERROR(#REF!*G90,0)</f>
        <v>0</v>
      </c>
      <c r="I90" s="429"/>
      <c r="J90" s="429"/>
      <c r="K90" s="464"/>
      <c r="L90" s="438"/>
      <c r="M90" s="900">
        <f t="shared" si="14"/>
        <v>0</v>
      </c>
      <c r="N90" s="901">
        <f t="shared" si="18"/>
        <v>0</v>
      </c>
      <c r="O90" s="438">
        <f>IFERROR(LOOKUP(1,0/((印刷機資料庫!$F$80:$F$157=F90)*(印刷機資料庫!$G$80:$G$157=J90)),印刷機資料庫!$J$80:$J$157),0)</f>
        <v>0</v>
      </c>
      <c r="P90" s="462"/>
      <c r="Q90" s="442">
        <f t="shared" si="13"/>
        <v>0</v>
      </c>
      <c r="R90" s="482">
        <f>IFERROR(LOOKUP(1,0/((印刷機資料庫!$F$80:$F$157=F90)*(印刷機資料庫!$G$80:$G$157=J90)),印刷機資料庫!$I$80:$I$157),0)</f>
        <v>0</v>
      </c>
      <c r="S90" s="900">
        <f>IFERROR(LOOKUP(1,0/((印刷機資料庫!$F$80:$F$157=F90)*(印刷機資料庫!$G$80:$G$157=J90)),印刷機資料庫!$K$80:$K$157),0)</f>
        <v>0</v>
      </c>
      <c r="T90" s="898">
        <f t="shared" si="21"/>
        <v>0</v>
      </c>
      <c r="U90" s="923">
        <f t="shared" si="19"/>
        <v>0</v>
      </c>
      <c r="V90" s="898">
        <f t="shared" si="20"/>
        <v>0</v>
      </c>
      <c r="W90" s="953"/>
      <c r="X90" s="899">
        <f t="shared" si="17"/>
        <v>0</v>
      </c>
      <c r="Y90" s="438"/>
      <c r="Z90" s="482"/>
      <c r="AA90" s="465"/>
      <c r="AB90" s="438"/>
      <c r="AC90" s="438"/>
    </row>
    <row r="91" spans="1:29" s="433" customFormat="1" ht="15.75">
      <c r="A91" s="581"/>
      <c r="B91" s="581">
        <v>14</v>
      </c>
      <c r="C91" s="581" t="s">
        <v>673</v>
      </c>
      <c r="D91" s="581" t="s">
        <v>43</v>
      </c>
      <c r="E91" s="435" t="s">
        <v>58</v>
      </c>
      <c r="F91" s="429"/>
      <c r="G91" s="464"/>
      <c r="H91" s="464">
        <f>IFERROR(#REF!*G91,0)</f>
        <v>0</v>
      </c>
      <c r="I91" s="429"/>
      <c r="J91" s="429"/>
      <c r="K91" s="464"/>
      <c r="L91" s="438"/>
      <c r="M91" s="900">
        <f t="shared" si="14"/>
        <v>0</v>
      </c>
      <c r="N91" s="901">
        <f t="shared" si="18"/>
        <v>0</v>
      </c>
      <c r="O91" s="438">
        <f>IFERROR(LOOKUP(1,0/((印刷機資料庫!$F$80:$F$157=F91)*(印刷機資料庫!$G$80:$G$157=J91)),印刷機資料庫!$J$80:$J$157),0)</f>
        <v>0</v>
      </c>
      <c r="P91" s="462"/>
      <c r="Q91" s="442">
        <f t="shared" si="13"/>
        <v>0</v>
      </c>
      <c r="R91" s="482">
        <f>IFERROR(LOOKUP(1,0/((印刷機資料庫!$F$80:$F$157=F91)*(印刷機資料庫!$G$80:$G$157=J91)),印刷機資料庫!$I$80:$I$157),0)</f>
        <v>0</v>
      </c>
      <c r="S91" s="900">
        <f>IFERROR(LOOKUP(1,0/((印刷機資料庫!$F$80:$F$157=F91)*(印刷機資料庫!$G$80:$G$157=J91)),印刷機資料庫!$K$80:$K$157),0)</f>
        <v>0</v>
      </c>
      <c r="T91" s="898">
        <f t="shared" si="21"/>
        <v>0</v>
      </c>
      <c r="U91" s="923">
        <f t="shared" si="19"/>
        <v>0</v>
      </c>
      <c r="V91" s="898">
        <f t="shared" si="20"/>
        <v>0</v>
      </c>
      <c r="W91" s="953"/>
      <c r="X91" s="899">
        <f t="shared" si="17"/>
        <v>0</v>
      </c>
      <c r="Y91" s="438"/>
      <c r="Z91" s="482"/>
      <c r="AA91" s="465"/>
      <c r="AB91" s="438"/>
      <c r="AC91" s="438"/>
    </row>
    <row r="92" spans="1:29" s="433" customFormat="1" ht="15.75">
      <c r="A92" s="581"/>
      <c r="B92" s="581">
        <v>15</v>
      </c>
      <c r="C92" s="581" t="s">
        <v>632</v>
      </c>
      <c r="D92" s="581" t="s">
        <v>43</v>
      </c>
      <c r="E92" s="435" t="s">
        <v>58</v>
      </c>
      <c r="F92" s="429"/>
      <c r="G92" s="464"/>
      <c r="H92" s="464">
        <f>IFERROR(#REF!*G92,0)</f>
        <v>0</v>
      </c>
      <c r="I92" s="429"/>
      <c r="J92" s="429"/>
      <c r="K92" s="464"/>
      <c r="L92" s="438"/>
      <c r="M92" s="900">
        <f t="shared" si="14"/>
        <v>0</v>
      </c>
      <c r="N92" s="901">
        <f t="shared" si="18"/>
        <v>0</v>
      </c>
      <c r="O92" s="438">
        <f>IFERROR(LOOKUP(1,0/((印刷機資料庫!$F$80:$F$157=F92)*(印刷機資料庫!$G$80:$G$157=J92)),印刷機資料庫!$J$80:$J$157),0)</f>
        <v>0</v>
      </c>
      <c r="P92" s="462"/>
      <c r="Q92" s="442">
        <f t="shared" si="13"/>
        <v>0</v>
      </c>
      <c r="R92" s="482">
        <f>IFERROR(LOOKUP(1,0/((印刷機資料庫!$F$80:$F$157=F92)*(印刷機資料庫!$G$80:$G$157=J92)),印刷機資料庫!$I$80:$I$157),0)</f>
        <v>0</v>
      </c>
      <c r="S92" s="900">
        <f>IFERROR(LOOKUP(1,0/((印刷機資料庫!$F$80:$F$157=F92)*(印刷機資料庫!$G$80:$G$157=J92)),印刷機資料庫!$K$80:$K$157),0)</f>
        <v>0</v>
      </c>
      <c r="T92" s="898">
        <f t="shared" si="21"/>
        <v>0</v>
      </c>
      <c r="U92" s="923">
        <f t="shared" si="19"/>
        <v>0</v>
      </c>
      <c r="V92" s="898">
        <f t="shared" si="20"/>
        <v>0</v>
      </c>
      <c r="W92" s="953"/>
      <c r="X92" s="899">
        <f t="shared" si="17"/>
        <v>0</v>
      </c>
      <c r="Y92" s="438"/>
      <c r="Z92" s="482"/>
      <c r="AA92" s="465"/>
      <c r="AB92" s="438"/>
      <c r="AC92" s="438"/>
    </row>
    <row r="93" spans="1:29" s="433" customFormat="1" ht="15.75">
      <c r="A93" s="581"/>
      <c r="B93" s="581">
        <v>16</v>
      </c>
      <c r="C93" s="581" t="s">
        <v>667</v>
      </c>
      <c r="D93" s="581" t="s">
        <v>43</v>
      </c>
      <c r="E93" s="435" t="s">
        <v>58</v>
      </c>
      <c r="F93" s="429"/>
      <c r="G93" s="464"/>
      <c r="H93" s="464">
        <f>IFERROR(#REF!*G93,0)</f>
        <v>0</v>
      </c>
      <c r="I93" s="429"/>
      <c r="J93" s="429"/>
      <c r="K93" s="464"/>
      <c r="L93" s="438"/>
      <c r="M93" s="900">
        <f t="shared" si="14"/>
        <v>0</v>
      </c>
      <c r="N93" s="901">
        <f t="shared" si="18"/>
        <v>0</v>
      </c>
      <c r="O93" s="438">
        <f>IFERROR(LOOKUP(1,0/((印刷機資料庫!$F$80:$F$157=F93)*(印刷機資料庫!$G$80:$G$157=J93)),印刷機資料庫!$J$80:$J$157),0)</f>
        <v>0</v>
      </c>
      <c r="P93" s="462"/>
      <c r="Q93" s="442">
        <f t="shared" si="13"/>
        <v>0</v>
      </c>
      <c r="R93" s="482">
        <f>IFERROR(LOOKUP(1,0/((印刷機資料庫!$F$80:$F$157=F93)*(印刷機資料庫!$G$80:$G$157=J93)),印刷機資料庫!$I$80:$I$157),0)</f>
        <v>0</v>
      </c>
      <c r="S93" s="900">
        <f>IFERROR(LOOKUP(1,0/((印刷機資料庫!$F$80:$F$157=F93)*(印刷機資料庫!$G$80:$G$157=J93)),印刷機資料庫!$K$80:$K$157),0)</f>
        <v>0</v>
      </c>
      <c r="T93" s="898">
        <f t="shared" si="21"/>
        <v>0</v>
      </c>
      <c r="U93" s="923">
        <f t="shared" si="19"/>
        <v>0</v>
      </c>
      <c r="V93" s="898">
        <f t="shared" si="20"/>
        <v>0</v>
      </c>
      <c r="W93" s="953"/>
      <c r="X93" s="899">
        <f t="shared" si="17"/>
        <v>0</v>
      </c>
      <c r="Y93" s="438"/>
      <c r="Z93" s="482"/>
      <c r="AA93" s="465"/>
      <c r="AB93" s="438"/>
      <c r="AC93" s="438"/>
    </row>
    <row r="94" spans="1:29" s="433" customFormat="1" ht="15.75">
      <c r="A94" s="581"/>
      <c r="B94" s="581">
        <v>17</v>
      </c>
      <c r="C94" s="581" t="s">
        <v>669</v>
      </c>
      <c r="D94" s="581" t="s">
        <v>43</v>
      </c>
      <c r="E94" s="435" t="s">
        <v>44</v>
      </c>
      <c r="F94" s="429"/>
      <c r="G94" s="464"/>
      <c r="H94" s="464">
        <f>IFERROR(#REF!*G94,0)</f>
        <v>0</v>
      </c>
      <c r="I94" s="429"/>
      <c r="J94" s="429"/>
      <c r="K94" s="464"/>
      <c r="L94" s="438"/>
      <c r="M94" s="900">
        <f t="shared" si="14"/>
        <v>0</v>
      </c>
      <c r="N94" s="901">
        <f t="shared" si="18"/>
        <v>0</v>
      </c>
      <c r="O94" s="438">
        <f>IFERROR(LOOKUP(1,0/((印刷機資料庫!$F$80:$F$157=F94)*(印刷機資料庫!$G$80:$G$157=J94)),印刷機資料庫!$J$80:$J$157),0)</f>
        <v>0</v>
      </c>
      <c r="P94" s="462"/>
      <c r="Q94" s="442">
        <f t="shared" si="13"/>
        <v>0</v>
      </c>
      <c r="R94" s="482">
        <f>IFERROR(LOOKUP(1,0/((印刷機資料庫!$F$80:$F$157=F94)*(印刷機資料庫!$G$80:$G$157=J94)),印刷機資料庫!$I$80:$I$157),0)</f>
        <v>0</v>
      </c>
      <c r="S94" s="900">
        <f>IFERROR(LOOKUP(1,0/((印刷機資料庫!$F$80:$F$157=F94)*(印刷機資料庫!$G$80:$G$157=J94)),印刷機資料庫!$K$80:$K$157),0)</f>
        <v>0</v>
      </c>
      <c r="T94" s="898">
        <f t="shared" si="21"/>
        <v>0</v>
      </c>
      <c r="U94" s="923">
        <f t="shared" si="19"/>
        <v>0</v>
      </c>
      <c r="V94" s="898">
        <f t="shared" si="20"/>
        <v>0</v>
      </c>
      <c r="W94" s="953"/>
      <c r="X94" s="899">
        <f t="shared" si="17"/>
        <v>0</v>
      </c>
      <c r="Y94" s="438"/>
      <c r="Z94" s="482"/>
      <c r="AA94" s="465"/>
      <c r="AB94" s="438"/>
      <c r="AC94" s="438"/>
    </row>
    <row r="95" spans="1:29" s="433" customFormat="1" ht="15.75">
      <c r="A95" s="581"/>
      <c r="B95" s="581">
        <v>18</v>
      </c>
      <c r="C95" s="581" t="s">
        <v>670</v>
      </c>
      <c r="D95" s="581" t="s">
        <v>43</v>
      </c>
      <c r="E95" s="435" t="s">
        <v>44</v>
      </c>
      <c r="F95" s="429"/>
      <c r="G95" s="464"/>
      <c r="H95" s="464">
        <f>IFERROR(#REF!*G95,0)</f>
        <v>0</v>
      </c>
      <c r="I95" s="429"/>
      <c r="J95" s="429"/>
      <c r="K95" s="464"/>
      <c r="L95" s="438"/>
      <c r="M95" s="900">
        <f t="shared" si="14"/>
        <v>0</v>
      </c>
      <c r="N95" s="901">
        <f t="shared" si="18"/>
        <v>0</v>
      </c>
      <c r="O95" s="438">
        <f>IFERROR(LOOKUP(1,0/((印刷機資料庫!$F$80:$F$157=F95)*(印刷機資料庫!$G$80:$G$157=J95)),印刷機資料庫!$J$80:$J$157),0)</f>
        <v>0</v>
      </c>
      <c r="P95" s="462"/>
      <c r="Q95" s="442">
        <f t="shared" si="13"/>
        <v>0</v>
      </c>
      <c r="R95" s="482">
        <f>IFERROR(LOOKUP(1,0/((印刷機資料庫!$F$80:$F$157=F95)*(印刷機資料庫!$G$80:$G$157=J95)),印刷機資料庫!$I$80:$I$157),0)</f>
        <v>0</v>
      </c>
      <c r="S95" s="900">
        <f>IFERROR(LOOKUP(1,0/((印刷機資料庫!$F$80:$F$157=F95)*(印刷機資料庫!$G$80:$G$157=J95)),印刷機資料庫!$K$80:$K$157),0)</f>
        <v>0</v>
      </c>
      <c r="T95" s="898">
        <f t="shared" si="21"/>
        <v>0</v>
      </c>
      <c r="U95" s="923">
        <f t="shared" si="19"/>
        <v>0</v>
      </c>
      <c r="V95" s="898">
        <f t="shared" si="20"/>
        <v>0</v>
      </c>
      <c r="W95" s="953"/>
      <c r="X95" s="899">
        <f t="shared" si="17"/>
        <v>0</v>
      </c>
      <c r="Y95" s="438"/>
      <c r="Z95" s="482"/>
      <c r="AA95" s="465"/>
      <c r="AB95" s="438"/>
      <c r="AC95" s="438"/>
    </row>
    <row r="96" spans="1:29" s="433" customFormat="1" ht="15.75">
      <c r="A96" s="581"/>
      <c r="B96" s="581">
        <v>19</v>
      </c>
      <c r="C96" s="581" t="s">
        <v>671</v>
      </c>
      <c r="D96" s="581" t="s">
        <v>43</v>
      </c>
      <c r="E96" s="435" t="s">
        <v>44</v>
      </c>
      <c r="F96" s="429"/>
      <c r="G96" s="464"/>
      <c r="H96" s="464">
        <f>IFERROR(#REF!*G96,0)</f>
        <v>0</v>
      </c>
      <c r="I96" s="429"/>
      <c r="J96" s="429"/>
      <c r="K96" s="464"/>
      <c r="L96" s="438"/>
      <c r="M96" s="900">
        <f t="shared" si="14"/>
        <v>0</v>
      </c>
      <c r="N96" s="901">
        <f t="shared" si="18"/>
        <v>0</v>
      </c>
      <c r="O96" s="438">
        <f>IFERROR(LOOKUP(1,0/((印刷機資料庫!$F$80:$F$157=F96)*(印刷機資料庫!$G$80:$G$157=J96)),印刷機資料庫!$J$80:$J$157),0)</f>
        <v>0</v>
      </c>
      <c r="P96" s="462"/>
      <c r="Q96" s="442">
        <f t="shared" si="13"/>
        <v>0</v>
      </c>
      <c r="R96" s="482">
        <f>IFERROR(LOOKUP(1,0/((印刷機資料庫!$F$80:$F$157=F96)*(印刷機資料庫!$G$80:$G$157=J96)),印刷機資料庫!$I$80:$I$157),0)</f>
        <v>0</v>
      </c>
      <c r="S96" s="900">
        <f>IFERROR(LOOKUP(1,0/((印刷機資料庫!$F$80:$F$157=F96)*(印刷機資料庫!$G$80:$G$157=J96)),印刷機資料庫!$K$80:$K$157),0)</f>
        <v>0</v>
      </c>
      <c r="T96" s="898">
        <f t="shared" si="21"/>
        <v>0</v>
      </c>
      <c r="U96" s="923">
        <f t="shared" si="19"/>
        <v>0</v>
      </c>
      <c r="V96" s="898">
        <f t="shared" si="20"/>
        <v>0</v>
      </c>
      <c r="W96" s="953"/>
      <c r="X96" s="899">
        <f t="shared" si="17"/>
        <v>0</v>
      </c>
      <c r="Y96" s="438"/>
      <c r="Z96" s="482"/>
      <c r="AA96" s="465"/>
      <c r="AB96" s="438"/>
      <c r="AC96" s="438"/>
    </row>
    <row r="97" spans="1:29" s="433" customFormat="1" ht="15.75">
      <c r="A97" s="434"/>
      <c r="B97" s="434">
        <v>20</v>
      </c>
      <c r="C97" s="581" t="s">
        <v>672</v>
      </c>
      <c r="D97" s="581" t="s">
        <v>43</v>
      </c>
      <c r="E97" s="435" t="s">
        <v>44</v>
      </c>
      <c r="F97" s="429"/>
      <c r="G97" s="464"/>
      <c r="H97" s="464">
        <f>IFERROR(#REF!*G97,0)</f>
        <v>0</v>
      </c>
      <c r="I97" s="429"/>
      <c r="J97" s="429"/>
      <c r="K97" s="464"/>
      <c r="L97" s="438"/>
      <c r="M97" s="900">
        <f t="shared" si="14"/>
        <v>0</v>
      </c>
      <c r="N97" s="901">
        <f t="shared" si="18"/>
        <v>0</v>
      </c>
      <c r="O97" s="438">
        <f>IFERROR(LOOKUP(1,0/((印刷機資料庫!$F$80:$F$157=F97)*(印刷機資料庫!$G$80:$G$157=J97)),印刷機資料庫!$J$80:$J$157),0)</f>
        <v>0</v>
      </c>
      <c r="P97" s="462"/>
      <c r="Q97" s="442">
        <f t="shared" si="13"/>
        <v>0</v>
      </c>
      <c r="R97" s="482">
        <f>IFERROR(LOOKUP(1,0/((印刷機資料庫!$F$80:$F$157=F97)*(印刷機資料庫!$G$80:$G$157=J97)),印刷機資料庫!$I$80:$I$157),0)</f>
        <v>0</v>
      </c>
      <c r="S97" s="900">
        <f>IFERROR(LOOKUP(1,0/((印刷機資料庫!$F$80:$F$157=F97)*(印刷機資料庫!$G$80:$G$157=J97)),印刷機資料庫!$K$80:$K$157),0)</f>
        <v>0</v>
      </c>
      <c r="T97" s="898">
        <f t="shared" si="21"/>
        <v>0</v>
      </c>
      <c r="U97" s="923">
        <f t="shared" si="19"/>
        <v>0</v>
      </c>
      <c r="V97" s="898">
        <f t="shared" si="20"/>
        <v>0</v>
      </c>
      <c r="W97" s="953"/>
      <c r="X97" s="899">
        <f t="shared" si="17"/>
        <v>0</v>
      </c>
      <c r="Y97" s="438"/>
      <c r="Z97" s="482"/>
      <c r="AA97" s="465"/>
      <c r="AB97" s="438"/>
      <c r="AC97" s="438"/>
    </row>
    <row r="98" spans="1:29" s="433" customFormat="1" ht="15.75">
      <c r="A98" s="434"/>
      <c r="B98" s="434">
        <v>21</v>
      </c>
      <c r="C98" s="581" t="s">
        <v>673</v>
      </c>
      <c r="D98" s="581" t="s">
        <v>43</v>
      </c>
      <c r="E98" s="435" t="s">
        <v>44</v>
      </c>
      <c r="F98" s="429"/>
      <c r="G98" s="464"/>
      <c r="H98" s="464">
        <f>IFERROR(#REF!*G98,0)</f>
        <v>0</v>
      </c>
      <c r="I98" s="429"/>
      <c r="J98" s="429"/>
      <c r="K98" s="464"/>
      <c r="L98" s="438"/>
      <c r="M98" s="900">
        <f t="shared" si="14"/>
        <v>0</v>
      </c>
      <c r="N98" s="901">
        <f t="shared" si="18"/>
        <v>0</v>
      </c>
      <c r="O98" s="438">
        <f>IFERROR(LOOKUP(1,0/((印刷機資料庫!$F$80:$F$157=F98)*(印刷機資料庫!$G$80:$G$157=J98)),印刷機資料庫!$J$80:$J$157),0)</f>
        <v>0</v>
      </c>
      <c r="P98" s="462"/>
      <c r="Q98" s="442">
        <f>IFERROR(P98/(M98+P98),0)</f>
        <v>0</v>
      </c>
      <c r="R98" s="482">
        <f>IFERROR(LOOKUP(1,0/((印刷機資料庫!$F$80:$F$157=F98)*(印刷機資料庫!$G$80:$G$157=J98)),印刷機資料庫!$I$80:$I$157),0)</f>
        <v>0</v>
      </c>
      <c r="S98" s="900">
        <f>IFERROR(LOOKUP(1,0/((印刷機資料庫!$F$80:$F$157=F98)*(印刷機資料庫!$G$80:$G$157=J98)),印刷機資料庫!$K$80:$K$157),0)</f>
        <v>0</v>
      </c>
      <c r="T98" s="898">
        <f t="shared" si="21"/>
        <v>0</v>
      </c>
      <c r="U98" s="923">
        <f t="shared" si="19"/>
        <v>0</v>
      </c>
      <c r="V98" s="898">
        <f t="shared" si="20"/>
        <v>0</v>
      </c>
      <c r="W98" s="953"/>
      <c r="X98" s="899">
        <f t="shared" si="17"/>
        <v>0</v>
      </c>
      <c r="Y98" s="438"/>
      <c r="Z98" s="482"/>
      <c r="AA98" s="465"/>
      <c r="AB98" s="438"/>
      <c r="AC98" s="438"/>
    </row>
    <row r="99" spans="1:29" s="433" customFormat="1" ht="15.75">
      <c r="A99" s="434"/>
      <c r="B99" s="434">
        <v>22</v>
      </c>
      <c r="C99" s="581" t="s">
        <v>632</v>
      </c>
      <c r="D99" s="581" t="s">
        <v>43</v>
      </c>
      <c r="E99" s="435" t="s">
        <v>44</v>
      </c>
      <c r="F99" s="429"/>
      <c r="G99" s="464"/>
      <c r="H99" s="464">
        <f>IFERROR(#REF!*G99,0)</f>
        <v>0</v>
      </c>
      <c r="I99" s="429"/>
      <c r="J99" s="429"/>
      <c r="K99" s="464"/>
      <c r="L99" s="438"/>
      <c r="M99" s="900">
        <f t="shared" si="14"/>
        <v>0</v>
      </c>
      <c r="N99" s="901">
        <f t="shared" si="18"/>
        <v>0</v>
      </c>
      <c r="O99" s="438">
        <f>IFERROR(LOOKUP(1,0/((印刷機資料庫!$F$80:$F$157=F99)*(印刷機資料庫!$G$80:$G$157=J99)),印刷機資料庫!$J$80:$J$157),0)</f>
        <v>0</v>
      </c>
      <c r="P99" s="462"/>
      <c r="Q99" s="442">
        <f t="shared" ref="Q99:Q108" si="22">IFERROR(P99/(M99+P99),0)</f>
        <v>0</v>
      </c>
      <c r="R99" s="482">
        <f>IFERROR(LOOKUP(1,0/((印刷機資料庫!$F$80:$F$157=F99)*(印刷機資料庫!$G$80:$G$157=J99)),印刷機資料庫!$I$80:$I$157),0)</f>
        <v>0</v>
      </c>
      <c r="S99" s="900">
        <f>IFERROR(LOOKUP(1,0/((印刷機資料庫!$F$80:$F$157=F99)*(印刷機資料庫!$G$80:$G$157=J99)),印刷機資料庫!$K$80:$K$157),0)</f>
        <v>0</v>
      </c>
      <c r="T99" s="898">
        <f t="shared" si="21"/>
        <v>0</v>
      </c>
      <c r="U99" s="923">
        <f t="shared" si="19"/>
        <v>0</v>
      </c>
      <c r="V99" s="898">
        <f t="shared" si="20"/>
        <v>0</v>
      </c>
      <c r="W99" s="953"/>
      <c r="X99" s="899">
        <f t="shared" si="17"/>
        <v>0</v>
      </c>
      <c r="Y99" s="438"/>
      <c r="Z99" s="482"/>
      <c r="AA99" s="465"/>
      <c r="AB99" s="438"/>
      <c r="AC99" s="438"/>
    </row>
    <row r="100" spans="1:29" s="433" customFormat="1" ht="15.75">
      <c r="A100" s="434"/>
      <c r="B100" s="434">
        <v>23</v>
      </c>
      <c r="C100" s="581" t="s">
        <v>667</v>
      </c>
      <c r="D100" s="581" t="s">
        <v>43</v>
      </c>
      <c r="E100" s="435" t="s">
        <v>42</v>
      </c>
      <c r="F100" s="429"/>
      <c r="G100" s="464"/>
      <c r="H100" s="464">
        <f>IFERROR(#REF!*G100,0)</f>
        <v>0</v>
      </c>
      <c r="I100" s="429"/>
      <c r="J100" s="429"/>
      <c r="K100" s="464"/>
      <c r="L100" s="438"/>
      <c r="M100" s="900">
        <f t="shared" si="14"/>
        <v>0</v>
      </c>
      <c r="N100" s="901">
        <f t="shared" si="18"/>
        <v>0</v>
      </c>
      <c r="O100" s="438">
        <f>IFERROR(LOOKUP(1,0/((印刷機資料庫!$F$80:$F$157=F100)*(印刷機資料庫!$G$80:$G$157=J100)),印刷機資料庫!$J$80:$J$157),0)</f>
        <v>0</v>
      </c>
      <c r="P100" s="462"/>
      <c r="Q100" s="442">
        <f t="shared" si="22"/>
        <v>0</v>
      </c>
      <c r="R100" s="482">
        <f>IFERROR(LOOKUP(1,0/((印刷機資料庫!$F$80:$F$157=F100)*(印刷機資料庫!$G$80:$G$157=J100)),印刷機資料庫!$I$80:$I$157),0)</f>
        <v>0</v>
      </c>
      <c r="S100" s="900">
        <f>IFERROR(LOOKUP(1,0/((印刷機資料庫!$F$80:$F$157=F100)*(印刷機資料庫!$G$80:$G$157=J100)),印刷機資料庫!$K$80:$K$157),0)</f>
        <v>0</v>
      </c>
      <c r="T100" s="898">
        <f t="shared" si="21"/>
        <v>0</v>
      </c>
      <c r="U100" s="923">
        <f t="shared" si="19"/>
        <v>0</v>
      </c>
      <c r="V100" s="898">
        <f t="shared" si="20"/>
        <v>0</v>
      </c>
      <c r="W100" s="953"/>
      <c r="X100" s="899">
        <f t="shared" si="17"/>
        <v>0</v>
      </c>
      <c r="Y100" s="438"/>
      <c r="Z100" s="482"/>
      <c r="AA100" s="465"/>
      <c r="AB100" s="438"/>
      <c r="AC100" s="438"/>
    </row>
    <row r="101" spans="1:29" s="433" customFormat="1" ht="15.75">
      <c r="A101" s="434"/>
      <c r="B101" s="434">
        <v>24</v>
      </c>
      <c r="C101" s="581" t="s">
        <v>669</v>
      </c>
      <c r="D101" s="581" t="s">
        <v>43</v>
      </c>
      <c r="E101" s="435" t="s">
        <v>42</v>
      </c>
      <c r="F101" s="429"/>
      <c r="G101" s="464"/>
      <c r="H101" s="464">
        <f>IFERROR(#REF!*G101,0)</f>
        <v>0</v>
      </c>
      <c r="I101" s="429"/>
      <c r="J101" s="429"/>
      <c r="K101" s="464"/>
      <c r="L101" s="438"/>
      <c r="M101" s="900">
        <f t="shared" si="14"/>
        <v>0</v>
      </c>
      <c r="N101" s="901">
        <f t="shared" si="18"/>
        <v>0</v>
      </c>
      <c r="O101" s="438">
        <f>IFERROR(LOOKUP(1,0/((印刷機資料庫!$F$80:$F$157=F101)*(印刷機資料庫!$G$80:$G$157=J101)),印刷機資料庫!$J$80:$J$157),0)</f>
        <v>0</v>
      </c>
      <c r="P101" s="462"/>
      <c r="Q101" s="442">
        <f t="shared" si="22"/>
        <v>0</v>
      </c>
      <c r="R101" s="482">
        <f>IFERROR(LOOKUP(1,0/((印刷機資料庫!$F$80:$F$157=F101)*(印刷機資料庫!$G$80:$G$157=J101)),印刷機資料庫!$I$80:$I$157),0)</f>
        <v>0</v>
      </c>
      <c r="S101" s="900">
        <f>IFERROR(LOOKUP(1,0/((印刷機資料庫!$F$80:$F$157=F101)*(印刷機資料庫!$G$80:$G$157=J101)),印刷機資料庫!$K$80:$K$157),0)</f>
        <v>0</v>
      </c>
      <c r="T101" s="898">
        <f t="shared" si="21"/>
        <v>0</v>
      </c>
      <c r="U101" s="923">
        <f t="shared" si="19"/>
        <v>0</v>
      </c>
      <c r="V101" s="898">
        <f t="shared" si="20"/>
        <v>0</v>
      </c>
      <c r="W101" s="953"/>
      <c r="X101" s="899">
        <f t="shared" si="17"/>
        <v>0</v>
      </c>
      <c r="Y101" s="438"/>
      <c r="Z101" s="482"/>
      <c r="AA101" s="465"/>
      <c r="AB101" s="438"/>
      <c r="AC101" s="438"/>
    </row>
    <row r="102" spans="1:29" s="433" customFormat="1" ht="15.75">
      <c r="A102" s="434"/>
      <c r="B102" s="434">
        <v>25</v>
      </c>
      <c r="C102" s="581" t="s">
        <v>670</v>
      </c>
      <c r="D102" s="581" t="s">
        <v>43</v>
      </c>
      <c r="E102" s="435" t="s">
        <v>42</v>
      </c>
      <c r="F102" s="429"/>
      <c r="G102" s="464"/>
      <c r="H102" s="464">
        <f>IFERROR(#REF!*G102,0)</f>
        <v>0</v>
      </c>
      <c r="I102" s="429"/>
      <c r="J102" s="429"/>
      <c r="K102" s="464"/>
      <c r="L102" s="438"/>
      <c r="M102" s="900">
        <f t="shared" si="14"/>
        <v>0</v>
      </c>
      <c r="N102" s="901">
        <f t="shared" si="18"/>
        <v>0</v>
      </c>
      <c r="O102" s="438">
        <f>IFERROR(LOOKUP(1,0/((印刷機資料庫!$F$80:$F$157=F102)*(印刷機資料庫!$G$80:$G$157=J102)),印刷機資料庫!$J$80:$J$157),0)</f>
        <v>0</v>
      </c>
      <c r="P102" s="462"/>
      <c r="Q102" s="442">
        <f t="shared" si="22"/>
        <v>0</v>
      </c>
      <c r="R102" s="482">
        <f>IFERROR(LOOKUP(1,0/((印刷機資料庫!$F$80:$F$157=F102)*(印刷機資料庫!$G$80:$G$157=J102)),印刷機資料庫!$I$80:$I$157),0)</f>
        <v>0</v>
      </c>
      <c r="S102" s="900">
        <f>IFERROR(LOOKUP(1,0/((印刷機資料庫!$F$80:$F$157=F102)*(印刷機資料庫!$G$80:$G$157=J102)),印刷機資料庫!$K$80:$K$157),0)</f>
        <v>0</v>
      </c>
      <c r="T102" s="898">
        <f t="shared" si="21"/>
        <v>0</v>
      </c>
      <c r="U102" s="923">
        <f t="shared" si="19"/>
        <v>0</v>
      </c>
      <c r="V102" s="898">
        <f t="shared" si="20"/>
        <v>0</v>
      </c>
      <c r="W102" s="953"/>
      <c r="X102" s="899">
        <f t="shared" si="17"/>
        <v>0</v>
      </c>
      <c r="Y102" s="438"/>
      <c r="Z102" s="482"/>
      <c r="AA102" s="465"/>
      <c r="AB102" s="438"/>
      <c r="AC102" s="438"/>
    </row>
    <row r="103" spans="1:29" s="433" customFormat="1" ht="15.75">
      <c r="A103" s="434"/>
      <c r="B103" s="434">
        <v>26</v>
      </c>
      <c r="C103" s="581" t="s">
        <v>671</v>
      </c>
      <c r="D103" s="581" t="s">
        <v>43</v>
      </c>
      <c r="E103" s="435" t="s">
        <v>42</v>
      </c>
      <c r="F103" s="429"/>
      <c r="G103" s="464"/>
      <c r="H103" s="464">
        <f>IFERROR(#REF!*G103,0)</f>
        <v>0</v>
      </c>
      <c r="I103" s="429"/>
      <c r="J103" s="429"/>
      <c r="K103" s="464"/>
      <c r="L103" s="438"/>
      <c r="M103" s="900">
        <f t="shared" si="14"/>
        <v>0</v>
      </c>
      <c r="N103" s="901">
        <f t="shared" si="18"/>
        <v>0</v>
      </c>
      <c r="O103" s="438">
        <f>IFERROR(LOOKUP(1,0/((印刷機資料庫!$F$80:$F$157=F103)*(印刷機資料庫!$G$80:$G$157=J103)),印刷機資料庫!$J$80:$J$157),0)</f>
        <v>0</v>
      </c>
      <c r="P103" s="462"/>
      <c r="Q103" s="444">
        <f t="shared" si="22"/>
        <v>0</v>
      </c>
      <c r="R103" s="482">
        <f>IFERROR(LOOKUP(1,0/((印刷機資料庫!$F$80:$F$157=F103)*(印刷機資料庫!$G$80:$G$157=J103)),印刷機資料庫!$I$80:$I$157),0)</f>
        <v>0</v>
      </c>
      <c r="S103" s="900">
        <f>IFERROR(LOOKUP(1,0/((印刷機資料庫!$F$80:$F$157=F103)*(印刷機資料庫!$G$80:$G$157=J103)),印刷機資料庫!$K$80:$K$157),0)</f>
        <v>0</v>
      </c>
      <c r="T103" s="898">
        <f t="shared" si="21"/>
        <v>0</v>
      </c>
      <c r="U103" s="923">
        <f t="shared" si="19"/>
        <v>0</v>
      </c>
      <c r="V103" s="898">
        <f t="shared" si="20"/>
        <v>0</v>
      </c>
      <c r="W103" s="953"/>
      <c r="X103" s="899">
        <f t="shared" si="17"/>
        <v>0</v>
      </c>
      <c r="Y103" s="438"/>
      <c r="Z103" s="482"/>
      <c r="AA103" s="465"/>
      <c r="AB103" s="438"/>
      <c r="AC103" s="438"/>
    </row>
    <row r="104" spans="1:29" s="433" customFormat="1" ht="15.75">
      <c r="A104" s="434"/>
      <c r="B104" s="434">
        <v>27</v>
      </c>
      <c r="C104" s="581" t="s">
        <v>672</v>
      </c>
      <c r="D104" s="581" t="s">
        <v>43</v>
      </c>
      <c r="E104" s="435" t="s">
        <v>44</v>
      </c>
      <c r="F104" s="429"/>
      <c r="G104" s="464"/>
      <c r="H104" s="464">
        <f>IFERROR(#REF!*G104,0)</f>
        <v>0</v>
      </c>
      <c r="I104" s="429"/>
      <c r="J104" s="429"/>
      <c r="K104" s="464"/>
      <c r="L104" s="438"/>
      <c r="M104" s="900">
        <f t="shared" si="14"/>
        <v>0</v>
      </c>
      <c r="N104" s="901">
        <f t="shared" si="18"/>
        <v>0</v>
      </c>
      <c r="O104" s="438">
        <f>IFERROR(LOOKUP(1,0/((印刷機資料庫!$F$80:$F$157=F104)*(印刷機資料庫!$G$80:$G$157=J104)),印刷機資料庫!$J$80:$J$157),0)</f>
        <v>0</v>
      </c>
      <c r="P104" s="462"/>
      <c r="Q104" s="442">
        <f t="shared" si="22"/>
        <v>0</v>
      </c>
      <c r="R104" s="482">
        <f>IFERROR(LOOKUP(1,0/((印刷機資料庫!$F$80:$F$157=F104)*(印刷機資料庫!$G$80:$G$157=J104)),印刷機資料庫!$I$80:$I$157),0)</f>
        <v>0</v>
      </c>
      <c r="S104" s="900">
        <f>IFERROR(LOOKUP(1,0/((印刷機資料庫!$F$80:$F$157=F104)*(印刷機資料庫!$G$80:$G$157=J104)),印刷機資料庫!$K$80:$K$157),0)</f>
        <v>0</v>
      </c>
      <c r="T104" s="898">
        <f t="shared" si="21"/>
        <v>0</v>
      </c>
      <c r="U104" s="923">
        <f t="shared" si="19"/>
        <v>0</v>
      </c>
      <c r="V104" s="898">
        <f t="shared" si="20"/>
        <v>0</v>
      </c>
      <c r="W104" s="953"/>
      <c r="X104" s="899">
        <f t="shared" si="17"/>
        <v>0</v>
      </c>
      <c r="Y104" s="438"/>
      <c r="Z104" s="482"/>
      <c r="AA104" s="465"/>
      <c r="AB104" s="438"/>
      <c r="AC104" s="438"/>
    </row>
    <row r="105" spans="1:29" s="433" customFormat="1" ht="15.75">
      <c r="A105" s="434"/>
      <c r="B105" s="434">
        <v>28</v>
      </c>
      <c r="C105" s="581" t="s">
        <v>673</v>
      </c>
      <c r="D105" s="581" t="s">
        <v>43</v>
      </c>
      <c r="E105" s="435" t="s">
        <v>44</v>
      </c>
      <c r="F105" s="429"/>
      <c r="G105" s="464"/>
      <c r="H105" s="464">
        <f>IFERROR(#REF!*G105,0)</f>
        <v>0</v>
      </c>
      <c r="I105" s="429"/>
      <c r="J105" s="429"/>
      <c r="K105" s="464"/>
      <c r="L105" s="438"/>
      <c r="M105" s="900">
        <f t="shared" si="14"/>
        <v>0</v>
      </c>
      <c r="N105" s="901">
        <f t="shared" si="18"/>
        <v>0</v>
      </c>
      <c r="O105" s="438">
        <f>IFERROR(LOOKUP(1,0/((印刷機資料庫!$F$80:$F$157=F105)*(印刷機資料庫!$G$80:$G$157=J105)),印刷機資料庫!$J$80:$J$157),0)</f>
        <v>0</v>
      </c>
      <c r="P105" s="462"/>
      <c r="Q105" s="442">
        <f t="shared" si="22"/>
        <v>0</v>
      </c>
      <c r="R105" s="482">
        <f>IFERROR(LOOKUP(1,0/((印刷機資料庫!$F$80:$F$157=F105)*(印刷機資料庫!$G$80:$G$157=J105)),印刷機資料庫!$I$80:$I$157),0)</f>
        <v>0</v>
      </c>
      <c r="S105" s="900">
        <f>IFERROR(LOOKUP(1,0/((印刷機資料庫!$F$80:$F$157=F105)*(印刷機資料庫!$G$80:$G$157=J105)),印刷機資料庫!$K$80:$K$157),0)</f>
        <v>0</v>
      </c>
      <c r="T105" s="898">
        <f t="shared" si="21"/>
        <v>0</v>
      </c>
      <c r="U105" s="923">
        <f t="shared" si="19"/>
        <v>0</v>
      </c>
      <c r="V105" s="898">
        <f t="shared" si="20"/>
        <v>0</v>
      </c>
      <c r="W105" s="953"/>
      <c r="X105" s="899">
        <f t="shared" si="17"/>
        <v>0</v>
      </c>
      <c r="Y105" s="438"/>
      <c r="Z105" s="482"/>
      <c r="AA105" s="465"/>
      <c r="AB105" s="438"/>
      <c r="AC105" s="438"/>
    </row>
    <row r="106" spans="1:29" s="433" customFormat="1" ht="15.75">
      <c r="A106" s="434"/>
      <c r="B106" s="434">
        <v>29</v>
      </c>
      <c r="C106" s="581" t="s">
        <v>632</v>
      </c>
      <c r="D106" s="581" t="s">
        <v>43</v>
      </c>
      <c r="E106" s="435" t="s">
        <v>58</v>
      </c>
      <c r="F106" s="429"/>
      <c r="G106" s="464"/>
      <c r="H106" s="464">
        <f>IFERROR(#REF!*G106,0)</f>
        <v>0</v>
      </c>
      <c r="I106" s="429"/>
      <c r="J106" s="429"/>
      <c r="K106" s="464"/>
      <c r="L106" s="438"/>
      <c r="M106" s="900">
        <f t="shared" si="14"/>
        <v>0</v>
      </c>
      <c r="N106" s="901">
        <f t="shared" si="18"/>
        <v>0</v>
      </c>
      <c r="O106" s="438">
        <f>IFERROR(LOOKUP(1,0/((印刷機資料庫!$F$80:$F$157=F106)*(印刷機資料庫!$G$80:$G$157=J106)),印刷機資料庫!$J$80:$J$157),0)</f>
        <v>0</v>
      </c>
      <c r="P106" s="462"/>
      <c r="Q106" s="442">
        <f t="shared" si="22"/>
        <v>0</v>
      </c>
      <c r="R106" s="482">
        <f>IFERROR(LOOKUP(1,0/((印刷機資料庫!$F$80:$F$157=F106)*(印刷機資料庫!$G$80:$G$157=J106)),印刷機資料庫!$I$80:$I$157),0)</f>
        <v>0</v>
      </c>
      <c r="S106" s="900">
        <f>IFERROR(LOOKUP(1,0/((印刷機資料庫!$F$80:$F$157=F106)*(印刷機資料庫!$G$80:$G$157=J106)),印刷機資料庫!$K$80:$K$157),0)</f>
        <v>0</v>
      </c>
      <c r="T106" s="898">
        <f t="shared" si="21"/>
        <v>0</v>
      </c>
      <c r="U106" s="923">
        <f t="shared" si="19"/>
        <v>0</v>
      </c>
      <c r="V106" s="898">
        <f t="shared" si="20"/>
        <v>0</v>
      </c>
      <c r="W106" s="953"/>
      <c r="X106" s="899">
        <f t="shared" si="17"/>
        <v>0</v>
      </c>
      <c r="Y106" s="438"/>
      <c r="Z106" s="482"/>
      <c r="AA106" s="465"/>
      <c r="AB106" s="438"/>
      <c r="AC106" s="438"/>
    </row>
    <row r="107" spans="1:29" s="433" customFormat="1" ht="15.75">
      <c r="A107" s="434"/>
      <c r="B107" s="434">
        <v>30</v>
      </c>
      <c r="C107" s="581" t="s">
        <v>667</v>
      </c>
      <c r="D107" s="581" t="s">
        <v>43</v>
      </c>
      <c r="E107" s="435" t="s">
        <v>58</v>
      </c>
      <c r="F107" s="429"/>
      <c r="G107" s="464"/>
      <c r="H107" s="464">
        <f>IFERROR(#REF!*G107,0)</f>
        <v>0</v>
      </c>
      <c r="I107" s="429"/>
      <c r="J107" s="429"/>
      <c r="K107" s="464"/>
      <c r="L107" s="438"/>
      <c r="M107" s="900">
        <f t="shared" si="14"/>
        <v>0</v>
      </c>
      <c r="N107" s="901">
        <f t="shared" si="18"/>
        <v>0</v>
      </c>
      <c r="O107" s="438">
        <f>IFERROR(LOOKUP(1,0/((印刷機資料庫!$F$80:$F$157=F107)*(印刷機資料庫!$G$80:$G$157=J107)),印刷機資料庫!$J$80:$J$157),0)</f>
        <v>0</v>
      </c>
      <c r="P107" s="462"/>
      <c r="Q107" s="442">
        <f t="shared" si="22"/>
        <v>0</v>
      </c>
      <c r="R107" s="482">
        <f>IFERROR(LOOKUP(1,0/((印刷機資料庫!$F$80:$F$157=F107)*(印刷機資料庫!$G$80:$G$157=J107)),印刷機資料庫!$I$80:$I$157),0)</f>
        <v>0</v>
      </c>
      <c r="S107" s="900">
        <f>IFERROR(LOOKUP(1,0/((印刷機資料庫!$F$80:$F$157=F107)*(印刷機資料庫!$G$80:$G$157=J107)),印刷機資料庫!$K$80:$K$157),0)</f>
        <v>0</v>
      </c>
      <c r="T107" s="898">
        <f>IFERROR(L107/S107,0)</f>
        <v>0</v>
      </c>
      <c r="U107" s="923">
        <f t="shared" si="19"/>
        <v>0</v>
      </c>
      <c r="V107" s="898">
        <f t="shared" si="20"/>
        <v>0</v>
      </c>
      <c r="W107" s="953"/>
      <c r="X107" s="899">
        <f t="shared" si="17"/>
        <v>0</v>
      </c>
      <c r="Y107" s="438"/>
      <c r="Z107" s="482"/>
      <c r="AA107" s="465"/>
      <c r="AB107" s="438"/>
      <c r="AC107" s="539"/>
    </row>
    <row r="108" spans="1:29" s="433" customFormat="1" ht="15.75">
      <c r="A108" s="434"/>
      <c r="B108" s="434"/>
      <c r="C108" s="581"/>
      <c r="D108" s="581"/>
      <c r="E108" s="435"/>
      <c r="F108" s="429"/>
      <c r="G108" s="464"/>
      <c r="H108" s="464">
        <f>IFERROR(#REF!*G108,0)</f>
        <v>0</v>
      </c>
      <c r="I108" s="429"/>
      <c r="J108" s="429"/>
      <c r="K108" s="464"/>
      <c r="L108" s="438"/>
      <c r="M108" s="900">
        <f t="shared" si="14"/>
        <v>0</v>
      </c>
      <c r="N108" s="901">
        <f t="shared" si="18"/>
        <v>0</v>
      </c>
      <c r="O108" s="438">
        <f>IFERROR(LOOKUP(1,0/((印刷機資料庫!$F$80:$F$157=F108)*(印刷機資料庫!$G$80:$G$157=J108)),印刷機資料庫!$J$80:$J$157),0)</f>
        <v>0</v>
      </c>
      <c r="P108" s="462"/>
      <c r="Q108" s="442">
        <f t="shared" si="22"/>
        <v>0</v>
      </c>
      <c r="R108" s="482">
        <f>IFERROR(LOOKUP(1,0/((印刷機資料庫!$F$80:$F$157=F108)*(印刷機資料庫!$G$80:$G$157=J108)),印刷機資料庫!$I$80:$I$157),0)</f>
        <v>0</v>
      </c>
      <c r="S108" s="900">
        <f>IFERROR(LOOKUP(1,0/((印刷機資料庫!$F$80:$F$157=F108)*(印刷機資料庫!$G$80:$G$157=J108)),印刷機資料庫!$K$80:$K$157),0)</f>
        <v>0</v>
      </c>
      <c r="T108" s="898">
        <f>IFERROR(L108/S108,0)</f>
        <v>0</v>
      </c>
      <c r="U108" s="923">
        <f t="shared" si="19"/>
        <v>0</v>
      </c>
      <c r="V108" s="898">
        <f t="shared" si="20"/>
        <v>0</v>
      </c>
      <c r="W108" s="953"/>
      <c r="X108" s="899">
        <f t="shared" si="17"/>
        <v>0</v>
      </c>
      <c r="Y108" s="438"/>
      <c r="Z108" s="482"/>
      <c r="AA108" s="465"/>
      <c r="AB108" s="438"/>
      <c r="AC108" s="539"/>
    </row>
    <row r="109" spans="1:29" s="433" customFormat="1" ht="15.75">
      <c r="A109" s="446"/>
      <c r="B109" s="446"/>
      <c r="C109" s="456"/>
      <c r="D109" s="456"/>
      <c r="E109" s="448"/>
      <c r="F109" s="452"/>
      <c r="G109" s="452"/>
      <c r="H109" s="430"/>
      <c r="I109" s="469"/>
      <c r="J109" s="518"/>
      <c r="K109" s="452"/>
      <c r="L109" s="439"/>
      <c r="M109" s="945"/>
      <c r="N109" s="946"/>
      <c r="O109" s="467"/>
      <c r="P109" s="467"/>
      <c r="Q109" s="869"/>
      <c r="R109" s="470"/>
      <c r="S109" s="945"/>
      <c r="T109" s="869"/>
      <c r="U109" s="869"/>
      <c r="V109" s="869"/>
      <c r="W109" s="957"/>
      <c r="X109" s="869"/>
      <c r="Y109" s="869"/>
      <c r="Z109" s="869"/>
      <c r="AA109" s="869"/>
      <c r="AB109" s="869"/>
      <c r="AC109" s="869"/>
    </row>
    <row r="110" spans="1:29" s="433" customFormat="1" ht="15.75">
      <c r="A110" s="446"/>
      <c r="B110" s="446"/>
      <c r="C110" s="456"/>
      <c r="D110" s="456"/>
      <c r="E110" s="448"/>
      <c r="F110" s="452"/>
      <c r="G110" s="452"/>
      <c r="H110" s="430"/>
      <c r="I110" s="469"/>
      <c r="J110" s="518"/>
      <c r="K110" s="452"/>
      <c r="L110" s="439"/>
      <c r="M110" s="945"/>
      <c r="N110" s="946"/>
      <c r="O110" s="467"/>
      <c r="P110" s="467"/>
      <c r="Q110" s="869"/>
      <c r="R110" s="470"/>
      <c r="S110" s="945"/>
      <c r="T110" s="869"/>
      <c r="U110" s="869"/>
      <c r="V110" s="869"/>
      <c r="W110" s="957"/>
      <c r="X110" s="869"/>
      <c r="Y110" s="869"/>
      <c r="Z110" s="869"/>
      <c r="AA110" s="869"/>
      <c r="AB110" s="869"/>
      <c r="AC110" s="869"/>
    </row>
    <row r="111" spans="1:29" s="433" customFormat="1" thickBot="1">
      <c r="A111" s="446"/>
      <c r="B111" s="446"/>
      <c r="C111" s="446"/>
      <c r="D111" s="446"/>
      <c r="E111" s="448"/>
      <c r="F111" s="430"/>
      <c r="G111" s="430"/>
      <c r="H111" s="430"/>
      <c r="I111" s="469"/>
      <c r="J111" s="518"/>
      <c r="K111" s="439"/>
      <c r="L111" s="439"/>
      <c r="M111" s="452"/>
      <c r="N111" s="457"/>
      <c r="O111" s="467"/>
      <c r="P111" s="467"/>
      <c r="Q111" s="457"/>
      <c r="R111" s="470"/>
      <c r="S111" s="458"/>
      <c r="T111" s="487">
        <f>SUM(T78:T108)</f>
        <v>0</v>
      </c>
      <c r="U111" s="925"/>
      <c r="V111" s="487"/>
      <c r="W111" s="956"/>
      <c r="X111" s="487"/>
      <c r="Y111" s="489"/>
      <c r="Z111" s="489"/>
      <c r="AA111" s="469" t="s">
        <v>46</v>
      </c>
      <c r="AB111" s="439"/>
      <c r="AC111" s="439"/>
    </row>
    <row r="112" spans="1:29" s="469" customFormat="1" ht="15.75">
      <c r="A112" s="479"/>
      <c r="B112" s="479"/>
      <c r="C112" s="479"/>
      <c r="D112" s="479"/>
      <c r="E112" s="452"/>
      <c r="F112" s="517"/>
      <c r="G112" s="525" t="s">
        <v>631</v>
      </c>
      <c r="H112" s="518"/>
      <c r="J112" s="518"/>
      <c r="K112" s="1842" t="s">
        <v>1349</v>
      </c>
      <c r="L112" s="525" t="s">
        <v>536</v>
      </c>
      <c r="M112" s="525" t="s">
        <v>630</v>
      </c>
      <c r="N112" s="526" t="s">
        <v>458</v>
      </c>
      <c r="O112" s="521"/>
      <c r="P112" s="524" t="s">
        <v>537</v>
      </c>
      <c r="Q112" s="524" t="s">
        <v>455</v>
      </c>
      <c r="R112" s="520"/>
      <c r="S112" s="524" t="s">
        <v>1284</v>
      </c>
      <c r="T112" s="524" t="s">
        <v>459</v>
      </c>
      <c r="U112" s="520"/>
      <c r="V112" s="524" t="s">
        <v>1345</v>
      </c>
      <c r="W112" s="524" t="s">
        <v>1350</v>
      </c>
      <c r="X112" s="524" t="s">
        <v>1351</v>
      </c>
      <c r="Y112" s="524" t="s">
        <v>1353</v>
      </c>
      <c r="Z112" s="524" t="s">
        <v>1352</v>
      </c>
      <c r="AA112" s="469" t="s">
        <v>253</v>
      </c>
      <c r="AB112" s="452"/>
      <c r="AC112" s="452"/>
    </row>
    <row r="113" spans="7:26" thickBot="1">
      <c r="G113" s="522">
        <f>SUM(H78:H107)</f>
        <v>0</v>
      </c>
      <c r="H113" s="431"/>
      <c r="I113" s="431"/>
      <c r="J113" s="431"/>
      <c r="K113" s="1843"/>
      <c r="L113" s="522">
        <f>SUM(L78:L108)</f>
        <v>0</v>
      </c>
      <c r="M113" s="522">
        <f>SUM(M78:M108)</f>
        <v>0</v>
      </c>
      <c r="N113" s="523">
        <f>SUM(N78:N108)</f>
        <v>0</v>
      </c>
      <c r="P113" s="523">
        <f>SUM(P78:P108)</f>
        <v>0</v>
      </c>
      <c r="Q113" s="897" t="e">
        <f>P113/(M113+P113)</f>
        <v>#DIV/0!</v>
      </c>
      <c r="S113" s="686" t="e">
        <f>L113/T113</f>
        <v>#DIV/0!</v>
      </c>
      <c r="T113" s="898" t="e">
        <f>T111/W113</f>
        <v>#DIV/0!</v>
      </c>
      <c r="U113" s="455"/>
      <c r="V113" s="516">
        <v>21</v>
      </c>
      <c r="W113" s="958">
        <f>SUM(W78:W108)</f>
        <v>0</v>
      </c>
      <c r="X113" s="516">
        <f>SUM(X78:X108)</f>
        <v>0</v>
      </c>
      <c r="Y113" s="516">
        <f>W113-X113</f>
        <v>0</v>
      </c>
      <c r="Z113" s="896" t="e">
        <f>X113/W113</f>
        <v>#DIV/0!</v>
      </c>
    </row>
    <row r="114" spans="7:26" ht="21">
      <c r="N114" s="472"/>
      <c r="T114" s="941"/>
    </row>
  </sheetData>
  <sheetProtection formatCells="0" formatColumns="0" formatRows="0" insertColumns="0" insertRows="0" insertHyperlinks="0" deleteColumns="0" deleteRows="0" sort="0" autoFilter="0" pivotTables="0"/>
  <mergeCells count="59">
    <mergeCell ref="P76:P77"/>
    <mergeCell ref="K112:K113"/>
    <mergeCell ref="W76:W77"/>
    <mergeCell ref="X76:X77"/>
    <mergeCell ref="Y76:Z76"/>
    <mergeCell ref="K76:K77"/>
    <mergeCell ref="L76:L77"/>
    <mergeCell ref="M76:M77"/>
    <mergeCell ref="N76:N77"/>
    <mergeCell ref="O76:O77"/>
    <mergeCell ref="G76:G77"/>
    <mergeCell ref="H76:H77"/>
    <mergeCell ref="I76:I77"/>
    <mergeCell ref="F76:F77"/>
    <mergeCell ref="J76:J77"/>
    <mergeCell ref="AC2:AC3"/>
    <mergeCell ref="K72:K73"/>
    <mergeCell ref="X2:X3"/>
    <mergeCell ref="Y2:Z2"/>
    <mergeCell ref="M2:M3"/>
    <mergeCell ref="T2:T3"/>
    <mergeCell ref="U2:U3"/>
    <mergeCell ref="V2:V3"/>
    <mergeCell ref="W2:W3"/>
    <mergeCell ref="N2:N3"/>
    <mergeCell ref="O2:O3"/>
    <mergeCell ref="P2:P3"/>
    <mergeCell ref="Q2:Q3"/>
    <mergeCell ref="R2:R3"/>
    <mergeCell ref="AC76:AC77"/>
    <mergeCell ref="Q76:Q77"/>
    <mergeCell ref="R76:R77"/>
    <mergeCell ref="S76:S77"/>
    <mergeCell ref="T76:T77"/>
    <mergeCell ref="U76:U77"/>
    <mergeCell ref="V76:V77"/>
    <mergeCell ref="AB76:AB77"/>
    <mergeCell ref="AA76:AA77"/>
    <mergeCell ref="A76:A77"/>
    <mergeCell ref="B76:B77"/>
    <mergeCell ref="C76:C77"/>
    <mergeCell ref="D76:D77"/>
    <mergeCell ref="E76:E77"/>
    <mergeCell ref="A1:AC1"/>
    <mergeCell ref="A2:A3"/>
    <mergeCell ref="B2:B3"/>
    <mergeCell ref="C2:C3"/>
    <mergeCell ref="D2:D3"/>
    <mergeCell ref="E2:E3"/>
    <mergeCell ref="G2:G3"/>
    <mergeCell ref="H2:H3"/>
    <mergeCell ref="S2:S3"/>
    <mergeCell ref="I2:I3"/>
    <mergeCell ref="F2:F3"/>
    <mergeCell ref="J2:J3"/>
    <mergeCell ref="K2:K3"/>
    <mergeCell ref="L2:L3"/>
    <mergeCell ref="AA2:AA3"/>
    <mergeCell ref="AB2:AB3"/>
  </mergeCells>
  <phoneticPr fontId="26" type="noConversion"/>
  <conditionalFormatting sqref="H26:H68 Q26:Q70 G69:G70 H78:H108 Q78:Q110 G109:G110 T109:AC110">
    <cfRule type="expression" dxfId="73" priority="50" stopIfTrue="1">
      <formula>G26=0</formula>
    </cfRule>
  </conditionalFormatting>
  <conditionalFormatting sqref="Q4:Q23">
    <cfRule type="expression" dxfId="72" priority="47" stopIfTrue="1">
      <formula>Q4=0</formula>
    </cfRule>
  </conditionalFormatting>
  <conditionalFormatting sqref="T26:T70">
    <cfRule type="expression" dxfId="71" priority="32" stopIfTrue="1">
      <formula>T26=0</formula>
    </cfRule>
  </conditionalFormatting>
  <conditionalFormatting sqref="T78:T108">
    <cfRule type="cellIs" dxfId="70" priority="8" stopIfTrue="1" operator="between">
      <formula>0.851</formula>
      <formula>1</formula>
    </cfRule>
    <cfRule type="cellIs" dxfId="69" priority="9" stopIfTrue="1" operator="between">
      <formula>0.7</formula>
      <formula>0.85</formula>
    </cfRule>
    <cfRule type="expression" dxfId="68" priority="6" stopIfTrue="1">
      <formula>T78=0</formula>
    </cfRule>
    <cfRule type="cellIs" dxfId="67" priority="7" stopIfTrue="1" operator="lessThan">
      <formula>0.7</formula>
    </cfRule>
  </conditionalFormatting>
  <conditionalFormatting sqref="T113">
    <cfRule type="cellIs" dxfId="66" priority="19" stopIfTrue="1" operator="between">
      <formula>0.7</formula>
      <formula>0.85</formula>
    </cfRule>
    <cfRule type="expression" dxfId="65" priority="20" stopIfTrue="1">
      <formula>T113=0</formula>
    </cfRule>
    <cfRule type="expression" dxfId="64" priority="16" stopIfTrue="1">
      <formula>T113=0</formula>
    </cfRule>
    <cfRule type="cellIs" dxfId="63" priority="17" stopIfTrue="1" operator="lessThan">
      <formula>0.7</formula>
    </cfRule>
    <cfRule type="cellIs" dxfId="62" priority="18" stopIfTrue="1" operator="between">
      <formula>0.851</formula>
      <formula>1</formula>
    </cfRule>
  </conditionalFormatting>
  <conditionalFormatting sqref="T26:U70">
    <cfRule type="cellIs" dxfId="61" priority="33" stopIfTrue="1" operator="lessThan">
      <formula>0.7</formula>
    </cfRule>
    <cfRule type="cellIs" dxfId="60" priority="34" stopIfTrue="1" operator="between">
      <formula>0.851</formula>
      <formula>1</formula>
    </cfRule>
    <cfRule type="cellIs" dxfId="59" priority="35" stopIfTrue="1" operator="between">
      <formula>0.7</formula>
      <formula>0.85</formula>
    </cfRule>
    <cfRule type="expression" dxfId="58" priority="41" stopIfTrue="1">
      <formula>T26=0</formula>
    </cfRule>
  </conditionalFormatting>
  <conditionalFormatting sqref="T78:U108">
    <cfRule type="expression" dxfId="57" priority="10" stopIfTrue="1">
      <formula>T78=0</formula>
    </cfRule>
  </conditionalFormatting>
  <conditionalFormatting sqref="T4:V23">
    <cfRule type="expression" dxfId="56" priority="42" stopIfTrue="1">
      <formula>T4=0</formula>
    </cfRule>
    <cfRule type="cellIs" dxfId="55" priority="43" stopIfTrue="1" operator="lessThan">
      <formula>0.7</formula>
    </cfRule>
    <cfRule type="cellIs" dxfId="54" priority="44" stopIfTrue="1" operator="between">
      <formula>0.851</formula>
      <formula>1</formula>
    </cfRule>
    <cfRule type="cellIs" dxfId="53" priority="45" stopIfTrue="1" operator="between">
      <formula>0.7</formula>
      <formula>0.85</formula>
    </cfRule>
    <cfRule type="expression" dxfId="52" priority="46" stopIfTrue="1">
      <formula>T4=0</formula>
    </cfRule>
  </conditionalFormatting>
  <conditionalFormatting sqref="U78:U108">
    <cfRule type="cellIs" dxfId="51" priority="12" stopIfTrue="1" operator="lessThan">
      <formula>0.7</formula>
    </cfRule>
    <cfRule type="cellIs" dxfId="50" priority="13" stopIfTrue="1" operator="between">
      <formula>0.851</formula>
      <formula>1</formula>
    </cfRule>
    <cfRule type="expression" dxfId="49" priority="15" stopIfTrue="1">
      <formula>U78=0</formula>
    </cfRule>
    <cfRule type="cellIs" dxfId="48" priority="14" stopIfTrue="1" operator="between">
      <formula>0.7</formula>
      <formula>0.85</formula>
    </cfRule>
  </conditionalFormatting>
  <conditionalFormatting sqref="V26:V70 T73">
    <cfRule type="expression" dxfId="47" priority="21" stopIfTrue="1">
      <formula>T26=0</formula>
    </cfRule>
    <cfRule type="cellIs" dxfId="46" priority="22" stopIfTrue="1" operator="lessThan">
      <formula>0.7</formula>
    </cfRule>
    <cfRule type="cellIs" dxfId="45" priority="23" stopIfTrue="1" operator="between">
      <formula>0.851</formula>
      <formula>1</formula>
    </cfRule>
    <cfRule type="cellIs" dxfId="44" priority="24" stopIfTrue="1" operator="between">
      <formula>0.7</formula>
      <formula>0.85</formula>
    </cfRule>
    <cfRule type="expression" dxfId="43" priority="25" stopIfTrue="1">
      <formula>T26=0</formula>
    </cfRule>
  </conditionalFormatting>
  <conditionalFormatting sqref="V26:V70 V78:V108">
    <cfRule type="cellIs" dxfId="42" priority="26" stopIfTrue="1" operator="greaterThan">
      <formula>1</formula>
    </cfRule>
  </conditionalFormatting>
  <conditionalFormatting sqref="V78:V108">
    <cfRule type="cellIs" dxfId="41" priority="2" stopIfTrue="1" operator="lessThan">
      <formula>0.7</formula>
    </cfRule>
    <cfRule type="cellIs" dxfId="40" priority="3" stopIfTrue="1" operator="between">
      <formula>0.851</formula>
      <formula>1</formula>
    </cfRule>
    <cfRule type="cellIs" dxfId="39" priority="4" stopIfTrue="1" operator="between">
      <formula>0.7</formula>
      <formula>0.85</formula>
    </cfRule>
    <cfRule type="expression" dxfId="38" priority="5" stopIfTrue="1">
      <formula>V78=0</formula>
    </cfRule>
    <cfRule type="expression" dxfId="37" priority="1" stopIfTrue="1">
      <formula>V78=0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29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B183C0A-A79C-484C-9C99-AA3888FF4837}">
          <x14:formula1>
            <xm:f>規格清單!$C$62:$C$87</xm:f>
          </x14:formula1>
          <xm:sqref>F4:F68 F78:F108</xm:sqref>
        </x14:dataValidation>
        <x14:dataValidation type="list" allowBlank="1" showInputMessage="1" showErrorMessage="1" xr:uid="{EE33E07E-D241-44DA-A3A9-34407BD46B79}">
          <x14:formula1>
            <xm:f>印刷機資料庫!$A$9:$A$11</xm:f>
          </x14:formula1>
          <xm:sqref>J78:J108 J4:J68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A105"/>
  <sheetViews>
    <sheetView tabSelected="1" zoomScale="70" zoomScaleNormal="70" workbookViewId="0">
      <pane xSplit="4" ySplit="3" topLeftCell="E4" activePane="bottomRight" state="frozen"/>
      <selection pane="topRight"/>
      <selection pane="bottomLeft"/>
      <selection pane="bottomRight" sqref="A1:AC1"/>
    </sheetView>
  </sheetViews>
  <sheetFormatPr defaultRowHeight="16.5"/>
  <cols>
    <col min="1" max="2" width="4.25" style="446" bestFit="1" customWidth="1"/>
    <col min="3" max="4" width="4" style="446" bestFit="1" customWidth="1"/>
    <col min="5" max="5" width="6" style="433" bestFit="1" customWidth="1"/>
    <col min="6" max="6" width="19.75" style="449" bestFit="1" customWidth="1"/>
    <col min="7" max="7" width="20.5" style="449" bestFit="1" customWidth="1"/>
    <col min="8" max="8" width="15.875" style="450" bestFit="1" customWidth="1"/>
    <col min="9" max="9" width="19.75" style="450" bestFit="1" customWidth="1"/>
    <col min="10" max="10" width="10" style="450" bestFit="1" customWidth="1"/>
    <col min="11" max="11" width="14" style="446" bestFit="1" customWidth="1"/>
    <col min="12" max="12" width="14.625" style="446" bestFit="1" customWidth="1"/>
    <col min="13" max="13" width="20.5" style="446" bestFit="1" customWidth="1"/>
    <col min="14" max="14" width="10.625" style="456" bestFit="1" customWidth="1"/>
    <col min="15" max="15" width="6.375" style="446" bestFit="1" customWidth="1"/>
    <col min="16" max="16" width="14.625" style="446" bestFit="1" customWidth="1"/>
    <col min="17" max="17" width="10" style="440" bestFit="1" customWidth="1"/>
    <col min="18" max="18" width="18.5" style="455" bestFit="1" customWidth="1"/>
    <col min="19" max="19" width="14.625" style="456" bestFit="1" customWidth="1"/>
    <col min="20" max="20" width="12.25" bestFit="1" customWidth="1"/>
    <col min="21" max="22" width="10" bestFit="1" customWidth="1"/>
    <col min="23" max="23" width="12.25" style="76" bestFit="1" customWidth="1"/>
    <col min="24" max="24" width="12.25" bestFit="1" customWidth="1"/>
    <col min="25" max="25" width="12.25" style="432" bestFit="1" customWidth="1"/>
    <col min="26" max="26" width="9.125" style="432" bestFit="1" customWidth="1"/>
    <col min="27" max="27" width="10.625" style="451" bestFit="1" customWidth="1"/>
    <col min="28" max="28" width="10.625" style="433" bestFit="1" customWidth="1"/>
    <col min="29" max="29" width="6.5" style="433" bestFit="1" customWidth="1"/>
    <col min="30" max="125" width="8.875" style="446" customWidth="1"/>
    <col min="126" max="16384" width="9" style="446"/>
  </cols>
  <sheetData>
    <row r="1" spans="1:53" ht="21.75" thickBot="1">
      <c r="A1" s="1882" t="s">
        <v>1329</v>
      </c>
      <c r="B1" s="1882"/>
      <c r="C1" s="1882"/>
      <c r="D1" s="1882"/>
      <c r="E1" s="1882"/>
      <c r="F1" s="1882"/>
      <c r="G1" s="1882"/>
      <c r="H1" s="1882"/>
      <c r="I1" s="1882"/>
      <c r="J1" s="1882"/>
      <c r="K1" s="1882"/>
      <c r="L1" s="1882"/>
      <c r="M1" s="1882"/>
      <c r="N1" s="1882"/>
      <c r="O1" s="1882"/>
      <c r="P1" s="1882"/>
      <c r="Q1" s="1882"/>
      <c r="R1" s="1882"/>
      <c r="S1" s="1882"/>
      <c r="T1" s="1882"/>
      <c r="U1" s="1882"/>
      <c r="V1" s="1882"/>
      <c r="W1" s="1882"/>
      <c r="X1" s="1882"/>
      <c r="Y1" s="1882"/>
      <c r="Z1" s="1882"/>
      <c r="AA1" s="1882"/>
      <c r="AB1" s="1882"/>
      <c r="AC1" s="1882"/>
    </row>
    <row r="2" spans="1:53" ht="15.75">
      <c r="A2" s="1824" t="s">
        <v>330</v>
      </c>
      <c r="B2" s="1826" t="s">
        <v>311</v>
      </c>
      <c r="C2" s="1828" t="s">
        <v>331</v>
      </c>
      <c r="D2" s="1828" t="s">
        <v>332</v>
      </c>
      <c r="E2" s="1830" t="s">
        <v>194</v>
      </c>
      <c r="F2" s="1832" t="s">
        <v>510</v>
      </c>
      <c r="G2" s="1872" t="s">
        <v>628</v>
      </c>
      <c r="H2" s="1874" t="s">
        <v>629</v>
      </c>
      <c r="I2" s="1832" t="s">
        <v>361</v>
      </c>
      <c r="J2" s="1832" t="s">
        <v>1320</v>
      </c>
      <c r="K2" s="1828" t="s">
        <v>362</v>
      </c>
      <c r="L2" s="1828" t="s">
        <v>514</v>
      </c>
      <c r="M2" s="1856" t="s">
        <v>511</v>
      </c>
      <c r="N2" s="1858" t="s">
        <v>457</v>
      </c>
      <c r="O2" s="1828" t="s">
        <v>380</v>
      </c>
      <c r="P2" s="1876" t="s">
        <v>515</v>
      </c>
      <c r="Q2" s="1854" t="s">
        <v>3</v>
      </c>
      <c r="R2" s="1836" t="s">
        <v>512</v>
      </c>
      <c r="S2" s="1844" t="s">
        <v>1286</v>
      </c>
      <c r="T2" s="1846" t="s">
        <v>201</v>
      </c>
      <c r="U2" s="1846" t="s">
        <v>1318</v>
      </c>
      <c r="V2" s="1846" t="s">
        <v>1319</v>
      </c>
      <c r="W2" s="1849" t="s">
        <v>1285</v>
      </c>
      <c r="X2" s="1866" t="s">
        <v>1297</v>
      </c>
      <c r="Y2" s="1860" t="s">
        <v>340</v>
      </c>
      <c r="Z2" s="1861"/>
      <c r="AA2" s="1867" t="s">
        <v>371</v>
      </c>
      <c r="AB2" s="1867" t="s">
        <v>383</v>
      </c>
      <c r="AC2" s="1864" t="s">
        <v>29</v>
      </c>
    </row>
    <row r="3" spans="1:53" s="447" customFormat="1" thickBot="1">
      <c r="A3" s="1879"/>
      <c r="B3" s="1880"/>
      <c r="C3" s="1839"/>
      <c r="D3" s="1839"/>
      <c r="E3" s="1881"/>
      <c r="F3" s="1838"/>
      <c r="G3" s="1873"/>
      <c r="H3" s="1875"/>
      <c r="I3" s="1838"/>
      <c r="J3" s="1838"/>
      <c r="K3" s="1839"/>
      <c r="L3" s="1839"/>
      <c r="M3" s="1857"/>
      <c r="N3" s="1871"/>
      <c r="O3" s="1839"/>
      <c r="P3" s="1877"/>
      <c r="Q3" s="1869"/>
      <c r="R3" s="1870"/>
      <c r="S3" s="1878"/>
      <c r="T3" s="1848"/>
      <c r="U3" s="1848"/>
      <c r="V3" s="1848"/>
      <c r="W3" s="1850"/>
      <c r="X3" s="1850"/>
      <c r="Y3" s="491" t="s">
        <v>350</v>
      </c>
      <c r="Z3" s="491" t="s">
        <v>351</v>
      </c>
      <c r="AA3" s="1868"/>
      <c r="AB3" s="1868"/>
      <c r="AC3" s="1865"/>
      <c r="AD3" s="446"/>
      <c r="AE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</row>
    <row r="4" spans="1:53" s="439" customFormat="1" ht="15.75">
      <c r="A4" s="434"/>
      <c r="B4" s="434"/>
      <c r="C4" s="434"/>
      <c r="D4" s="434"/>
      <c r="E4" s="435" t="s">
        <v>58</v>
      </c>
      <c r="F4" s="429" t="s">
        <v>522</v>
      </c>
      <c r="G4" s="464"/>
      <c r="H4" s="464"/>
      <c r="I4" s="429" t="s">
        <v>522</v>
      </c>
      <c r="J4" s="429" t="s">
        <v>1301</v>
      </c>
      <c r="K4" s="464"/>
      <c r="L4" s="464"/>
      <c r="M4" s="900"/>
      <c r="N4" s="443">
        <f t="shared" ref="N4:N15" si="0">K4*L4</f>
        <v>0</v>
      </c>
      <c r="O4" s="438">
        <f>IFERROR(LOOKUP(1,0/((印刷機資料庫!$F$158:$F$169=F4)*(印刷機資料庫!$G$158:$G$169=J4)),印刷機資料庫!$J$158:$J$169),0)</f>
        <v>1000</v>
      </c>
      <c r="P4" s="438"/>
      <c r="Q4" s="442">
        <f t="shared" ref="Q4:Q15" si="1">IFERROR(P4/(M4+P4),0)</f>
        <v>0</v>
      </c>
      <c r="R4" s="438">
        <f>IFERROR(LOOKUP(1,0/((印刷機資料庫!$F$158:$F$169=F4)*(印刷機資料庫!$G$158:$G$169=J4)),印刷機資料庫!$I$158:$I$169),0)</f>
        <v>350</v>
      </c>
      <c r="S4" s="900">
        <f>IFERROR(LOOKUP(1,0/((印刷機資料庫!$F$158:$F$169=F4)*(印刷機資料庫!$G$158:$G$169=J4)),印刷機資料庫!$K$158:$K$169),0)</f>
        <v>231</v>
      </c>
      <c r="T4" s="898">
        <f t="shared" ref="T4:T15" si="2">IFERROR(L4/S4,0)</f>
        <v>0</v>
      </c>
      <c r="U4" s="923">
        <f t="shared" ref="U4:U15" si="3">IFERROR(R4*X4*60/O4,0)</f>
        <v>0</v>
      </c>
      <c r="V4" s="898">
        <f t="shared" ref="V4:V15" si="4">IFERROR(L4/U4,0)</f>
        <v>0</v>
      </c>
      <c r="W4" s="953"/>
      <c r="X4" s="478"/>
      <c r="Y4" s="438">
        <v>0</v>
      </c>
      <c r="Z4" s="482">
        <v>0</v>
      </c>
      <c r="AA4" s="536"/>
      <c r="AB4" s="438"/>
      <c r="AC4" s="438"/>
    </row>
    <row r="5" spans="1:53" s="439" customFormat="1" ht="15.75">
      <c r="A5" s="434"/>
      <c r="B5" s="434"/>
      <c r="C5" s="434"/>
      <c r="D5" s="434"/>
      <c r="E5" s="435" t="s">
        <v>58</v>
      </c>
      <c r="F5" s="429" t="s">
        <v>523</v>
      </c>
      <c r="G5" s="464"/>
      <c r="H5" s="464"/>
      <c r="I5" s="429" t="s">
        <v>523</v>
      </c>
      <c r="J5" s="429" t="s">
        <v>1301</v>
      </c>
      <c r="K5" s="464"/>
      <c r="L5" s="464"/>
      <c r="M5" s="900"/>
      <c r="N5" s="443">
        <f t="shared" si="0"/>
        <v>0</v>
      </c>
      <c r="O5" s="438">
        <f>IFERROR(LOOKUP(1,0/((印刷機資料庫!$F$158:$F$169=F5)*(印刷機資料庫!$G$158:$G$169=J5)),印刷機資料庫!$J$158:$J$169),0)</f>
        <v>1000</v>
      </c>
      <c r="P5" s="438"/>
      <c r="Q5" s="442">
        <f t="shared" si="1"/>
        <v>0</v>
      </c>
      <c r="R5" s="438">
        <f>IFERROR(LOOKUP(1,0/((印刷機資料庫!$F$158:$F$169=F5)*(印刷機資料庫!$G$158:$G$169=J5)),印刷機資料庫!$I$158:$I$169),0)</f>
        <v>350</v>
      </c>
      <c r="S5" s="900">
        <f>IFERROR(LOOKUP(1,0/((印刷機資料庫!$F$158:$F$169=F5)*(印刷機資料庫!$G$158:$G$169=J5)),印刷機資料庫!$K$158:$K$169),0)</f>
        <v>231</v>
      </c>
      <c r="T5" s="898">
        <f t="shared" si="2"/>
        <v>0</v>
      </c>
      <c r="U5" s="923">
        <f t="shared" si="3"/>
        <v>0</v>
      </c>
      <c r="V5" s="898">
        <f t="shared" si="4"/>
        <v>0</v>
      </c>
      <c r="W5" s="953"/>
      <c r="X5" s="478"/>
      <c r="Y5" s="438">
        <v>0</v>
      </c>
      <c r="Z5" s="482">
        <v>0</v>
      </c>
      <c r="AA5" s="536"/>
      <c r="AB5" s="438"/>
      <c r="AC5" s="438"/>
    </row>
    <row r="6" spans="1:53" s="439" customFormat="1" ht="15.75">
      <c r="A6" s="434"/>
      <c r="B6" s="434"/>
      <c r="C6" s="434"/>
      <c r="D6" s="434"/>
      <c r="E6" s="435" t="s">
        <v>58</v>
      </c>
      <c r="F6" s="429" t="s">
        <v>524</v>
      </c>
      <c r="G6" s="464"/>
      <c r="H6" s="464"/>
      <c r="I6" s="429" t="s">
        <v>524</v>
      </c>
      <c r="J6" s="429" t="s">
        <v>1301</v>
      </c>
      <c r="K6" s="464"/>
      <c r="L6" s="464"/>
      <c r="M6" s="900"/>
      <c r="N6" s="443">
        <f t="shared" si="0"/>
        <v>0</v>
      </c>
      <c r="O6" s="438">
        <f>IFERROR(LOOKUP(1,0/((印刷機資料庫!$F$158:$F$169=F6)*(印刷機資料庫!$G$158:$G$169=J6)),印刷機資料庫!$J$158:$J$169),0)</f>
        <v>1000</v>
      </c>
      <c r="P6" s="438"/>
      <c r="Q6" s="442">
        <f t="shared" si="1"/>
        <v>0</v>
      </c>
      <c r="R6" s="438">
        <f>IFERROR(LOOKUP(1,0/((印刷機資料庫!$F$158:$F$169=F6)*(印刷機資料庫!$G$158:$G$169=J6)),印刷機資料庫!$I$158:$I$169),0)</f>
        <v>350</v>
      </c>
      <c r="S6" s="900">
        <f>IFERROR(LOOKUP(1,0/((印刷機資料庫!$F$158:$F$169=F6)*(印刷機資料庫!$G$158:$G$169=J6)),印刷機資料庫!$K$158:$K$169),0)</f>
        <v>231</v>
      </c>
      <c r="T6" s="898">
        <f t="shared" si="2"/>
        <v>0</v>
      </c>
      <c r="U6" s="923">
        <f t="shared" si="3"/>
        <v>0</v>
      </c>
      <c r="V6" s="898">
        <f t="shared" si="4"/>
        <v>0</v>
      </c>
      <c r="W6" s="953"/>
      <c r="X6" s="478"/>
      <c r="Y6" s="438">
        <v>0</v>
      </c>
      <c r="Z6" s="482">
        <v>0</v>
      </c>
      <c r="AA6" s="536"/>
      <c r="AB6" s="438"/>
      <c r="AC6" s="438"/>
    </row>
    <row r="7" spans="1:53" s="439" customFormat="1" ht="15.75">
      <c r="A7" s="434"/>
      <c r="B7" s="434"/>
      <c r="C7" s="434"/>
      <c r="D7" s="434"/>
      <c r="E7" s="435" t="s">
        <v>58</v>
      </c>
      <c r="F7" s="429" t="s">
        <v>550</v>
      </c>
      <c r="G7" s="464"/>
      <c r="H7" s="464"/>
      <c r="I7" s="429" t="s">
        <v>550</v>
      </c>
      <c r="J7" s="429" t="s">
        <v>1301</v>
      </c>
      <c r="K7" s="464"/>
      <c r="L7" s="464"/>
      <c r="M7" s="900"/>
      <c r="N7" s="443">
        <f t="shared" si="0"/>
        <v>0</v>
      </c>
      <c r="O7" s="438">
        <f>IFERROR(LOOKUP(1,0/((印刷機資料庫!$F$158:$F$169=F7)*(印刷機資料庫!$G$158:$G$169=J7)),印刷機資料庫!$J$158:$J$169),0)</f>
        <v>600</v>
      </c>
      <c r="P7" s="438"/>
      <c r="Q7" s="442">
        <f t="shared" si="1"/>
        <v>0</v>
      </c>
      <c r="R7" s="438">
        <f>IFERROR(LOOKUP(1,0/((印刷機資料庫!$F$158:$F$169=F7)*(印刷機資料庫!$G$158:$G$169=J7)),印刷機資料庫!$I$158:$I$169),0)</f>
        <v>300</v>
      </c>
      <c r="S7" s="900">
        <f>IFERROR(LOOKUP(1,0/((印刷機資料庫!$F$158:$F$169=F7)*(印刷機資料庫!$G$158:$G$169=J7)),印刷機資料庫!$K$158:$K$169),0)</f>
        <v>330</v>
      </c>
      <c r="T7" s="898">
        <f t="shared" si="2"/>
        <v>0</v>
      </c>
      <c r="U7" s="923">
        <f t="shared" si="3"/>
        <v>0</v>
      </c>
      <c r="V7" s="898">
        <f t="shared" si="4"/>
        <v>0</v>
      </c>
      <c r="W7" s="953"/>
      <c r="X7" s="478"/>
      <c r="Y7" s="438">
        <v>0</v>
      </c>
      <c r="Z7" s="482">
        <v>0</v>
      </c>
      <c r="AA7" s="536"/>
      <c r="AB7" s="438"/>
      <c r="AC7" s="438"/>
    </row>
    <row r="8" spans="1:53" s="439" customFormat="1" ht="15.75">
      <c r="A8" s="434"/>
      <c r="B8" s="434"/>
      <c r="C8" s="434"/>
      <c r="D8" s="434"/>
      <c r="E8" s="435"/>
      <c r="F8" s="464"/>
      <c r="G8" s="464"/>
      <c r="H8" s="464"/>
      <c r="I8" s="429"/>
      <c r="J8" s="429"/>
      <c r="K8" s="464"/>
      <c r="L8" s="464"/>
      <c r="M8" s="900"/>
      <c r="N8" s="443">
        <f t="shared" si="0"/>
        <v>0</v>
      </c>
      <c r="O8" s="438">
        <f>IFERROR(LOOKUP(1,0/((印刷機資料庫!$F$158:$F$169=F8)*(印刷機資料庫!$G$158:$G$169=J8)),印刷機資料庫!$J$158:$J$169),0)</f>
        <v>0</v>
      </c>
      <c r="P8" s="438"/>
      <c r="Q8" s="442">
        <f t="shared" si="1"/>
        <v>0</v>
      </c>
      <c r="R8" s="438">
        <f>IFERROR(LOOKUP(1,0/((印刷機資料庫!$F$158:$F$169=F8)*(印刷機資料庫!$G$158:$G$169=J8)),印刷機資料庫!$I$158:$I$169),0)</f>
        <v>0</v>
      </c>
      <c r="S8" s="900">
        <f>IFERROR(LOOKUP(1,0/((印刷機資料庫!$F$158:$F$169=F8)*(印刷機資料庫!$G$158:$G$169=J8)),印刷機資料庫!$K$158:$K$169),0)</f>
        <v>0</v>
      </c>
      <c r="T8" s="898">
        <f t="shared" si="2"/>
        <v>0</v>
      </c>
      <c r="U8" s="923">
        <f t="shared" si="3"/>
        <v>0</v>
      </c>
      <c r="V8" s="898">
        <f t="shared" si="4"/>
        <v>0</v>
      </c>
      <c r="W8" s="953"/>
      <c r="X8" s="478"/>
      <c r="Y8" s="438">
        <v>0</v>
      </c>
      <c r="Z8" s="482">
        <v>0</v>
      </c>
      <c r="AA8" s="536"/>
      <c r="AB8" s="438"/>
      <c r="AC8" s="438"/>
    </row>
    <row r="9" spans="1:53" s="439" customFormat="1" ht="15.75">
      <c r="A9" s="434"/>
      <c r="B9" s="434"/>
      <c r="C9" s="434"/>
      <c r="D9" s="434"/>
      <c r="E9" s="435"/>
      <c r="F9" s="464"/>
      <c r="G9" s="464"/>
      <c r="H9" s="464"/>
      <c r="I9" s="429"/>
      <c r="J9" s="429"/>
      <c r="K9" s="464"/>
      <c r="L9" s="464"/>
      <c r="M9" s="900"/>
      <c r="N9" s="443">
        <f t="shared" si="0"/>
        <v>0</v>
      </c>
      <c r="O9" s="438">
        <f>IFERROR(LOOKUP(1,0/((印刷機資料庫!$F$158:$F$169=F9)*(印刷機資料庫!$G$158:$G$169=J9)),印刷機資料庫!$J$158:$J$169),0)</f>
        <v>0</v>
      </c>
      <c r="P9" s="438"/>
      <c r="Q9" s="442">
        <f t="shared" si="1"/>
        <v>0</v>
      </c>
      <c r="R9" s="438">
        <f>IFERROR(LOOKUP(1,0/((印刷機資料庫!$F$158:$F$169=F9)*(印刷機資料庫!$G$158:$G$169=J9)),印刷機資料庫!$I$158:$I$169),0)</f>
        <v>0</v>
      </c>
      <c r="S9" s="900">
        <f>IFERROR(LOOKUP(1,0/((印刷機資料庫!$F$158:$F$169=F9)*(印刷機資料庫!$G$158:$G$169=J9)),印刷機資料庫!$K$158:$K$169),0)</f>
        <v>0</v>
      </c>
      <c r="T9" s="898">
        <f t="shared" si="2"/>
        <v>0</v>
      </c>
      <c r="U9" s="923">
        <f t="shared" si="3"/>
        <v>0</v>
      </c>
      <c r="V9" s="898">
        <f t="shared" si="4"/>
        <v>0</v>
      </c>
      <c r="W9" s="953"/>
      <c r="X9" s="478"/>
      <c r="Y9" s="438">
        <v>0</v>
      </c>
      <c r="Z9" s="482">
        <v>0</v>
      </c>
      <c r="AA9" s="536"/>
      <c r="AB9" s="438"/>
      <c r="AC9" s="438"/>
    </row>
    <row r="10" spans="1:53" s="439" customFormat="1" ht="15.75">
      <c r="A10" s="434"/>
      <c r="B10" s="434"/>
      <c r="C10" s="434"/>
      <c r="D10" s="434"/>
      <c r="E10" s="435"/>
      <c r="F10" s="464"/>
      <c r="G10" s="464"/>
      <c r="H10" s="464"/>
      <c r="I10" s="429"/>
      <c r="J10" s="429"/>
      <c r="K10" s="464"/>
      <c r="L10" s="464"/>
      <c r="M10" s="900"/>
      <c r="N10" s="443">
        <f t="shared" si="0"/>
        <v>0</v>
      </c>
      <c r="O10" s="438">
        <f>IFERROR(LOOKUP(1,0/((印刷機資料庫!$F$158:$F$169=F10)*(印刷機資料庫!$G$158:$G$169=J10)),印刷機資料庫!$J$158:$J$169),0)</f>
        <v>0</v>
      </c>
      <c r="P10" s="438"/>
      <c r="Q10" s="442">
        <f t="shared" si="1"/>
        <v>0</v>
      </c>
      <c r="R10" s="438">
        <f>IFERROR(LOOKUP(1,0/((印刷機資料庫!$F$158:$F$169=F10)*(印刷機資料庫!$G$158:$G$169=J10)),印刷機資料庫!$I$158:$I$169),0)</f>
        <v>0</v>
      </c>
      <c r="S10" s="900">
        <f>IFERROR(LOOKUP(1,0/((印刷機資料庫!$F$158:$F$169=F10)*(印刷機資料庫!$G$158:$G$169=J10)),印刷機資料庫!$K$158:$K$169),0)</f>
        <v>0</v>
      </c>
      <c r="T10" s="898">
        <f t="shared" si="2"/>
        <v>0</v>
      </c>
      <c r="U10" s="923">
        <f t="shared" si="3"/>
        <v>0</v>
      </c>
      <c r="V10" s="898">
        <f t="shared" si="4"/>
        <v>0</v>
      </c>
      <c r="W10" s="953"/>
      <c r="X10" s="478"/>
      <c r="Y10" s="438">
        <v>0</v>
      </c>
      <c r="Z10" s="482">
        <v>0</v>
      </c>
      <c r="AA10" s="536"/>
      <c r="AB10" s="438"/>
      <c r="AC10" s="438"/>
    </row>
    <row r="11" spans="1:53" s="439" customFormat="1" ht="15.75">
      <c r="A11" s="434"/>
      <c r="B11" s="434"/>
      <c r="C11" s="434"/>
      <c r="D11" s="434"/>
      <c r="E11" s="435"/>
      <c r="F11" s="464"/>
      <c r="G11" s="464"/>
      <c r="H11" s="464"/>
      <c r="I11" s="429"/>
      <c r="J11" s="429"/>
      <c r="K11" s="464"/>
      <c r="L11" s="464"/>
      <c r="M11" s="900"/>
      <c r="N11" s="443">
        <f t="shared" si="0"/>
        <v>0</v>
      </c>
      <c r="O11" s="438">
        <f>IFERROR(LOOKUP(1,0/((印刷機資料庫!$F$158:$F$169=F11)*(印刷機資料庫!$G$158:$G$169=J11)),印刷機資料庫!$J$158:$J$169),0)</f>
        <v>0</v>
      </c>
      <c r="P11" s="438"/>
      <c r="Q11" s="442">
        <f t="shared" si="1"/>
        <v>0</v>
      </c>
      <c r="R11" s="438">
        <f>IFERROR(LOOKUP(1,0/((印刷機資料庫!$F$158:$F$169=F11)*(印刷機資料庫!$G$158:$G$169=J11)),印刷機資料庫!$I$158:$I$169),0)</f>
        <v>0</v>
      </c>
      <c r="S11" s="900">
        <f>IFERROR(LOOKUP(1,0/((印刷機資料庫!$F$158:$F$169=F11)*(印刷機資料庫!$G$158:$G$169=J11)),印刷機資料庫!$K$158:$K$169),0)</f>
        <v>0</v>
      </c>
      <c r="T11" s="898">
        <f t="shared" si="2"/>
        <v>0</v>
      </c>
      <c r="U11" s="923">
        <f t="shared" si="3"/>
        <v>0</v>
      </c>
      <c r="V11" s="898">
        <f t="shared" si="4"/>
        <v>0</v>
      </c>
      <c r="W11" s="953"/>
      <c r="X11" s="478"/>
      <c r="Y11" s="438">
        <v>0</v>
      </c>
      <c r="Z11" s="482">
        <v>0</v>
      </c>
      <c r="AA11" s="536"/>
      <c r="AB11" s="438"/>
      <c r="AC11" s="438"/>
    </row>
    <row r="12" spans="1:53" s="439" customFormat="1" ht="15.75">
      <c r="A12" s="434"/>
      <c r="B12" s="434"/>
      <c r="C12" s="434"/>
      <c r="D12" s="434"/>
      <c r="E12" s="435"/>
      <c r="F12" s="464"/>
      <c r="G12" s="464"/>
      <c r="H12" s="464"/>
      <c r="I12" s="429"/>
      <c r="J12" s="429"/>
      <c r="K12" s="464"/>
      <c r="L12" s="464"/>
      <c r="M12" s="900"/>
      <c r="N12" s="443">
        <f t="shared" si="0"/>
        <v>0</v>
      </c>
      <c r="O12" s="438">
        <f>IFERROR(LOOKUP(1,0/((印刷機資料庫!$F$158:$F$169=F12)*(印刷機資料庫!$G$158:$G$169=J12)),印刷機資料庫!$J$158:$J$169),0)</f>
        <v>0</v>
      </c>
      <c r="P12" s="438"/>
      <c r="Q12" s="442">
        <f t="shared" si="1"/>
        <v>0</v>
      </c>
      <c r="R12" s="438">
        <f>IFERROR(LOOKUP(1,0/((印刷機資料庫!$F$158:$F$169=F12)*(印刷機資料庫!$G$158:$G$169=J12)),印刷機資料庫!$I$158:$I$169),0)</f>
        <v>0</v>
      </c>
      <c r="S12" s="900">
        <f>IFERROR(LOOKUP(1,0/((印刷機資料庫!$F$158:$F$169=F12)*(印刷機資料庫!$G$158:$G$169=J12)),印刷機資料庫!$K$158:$K$169),0)</f>
        <v>0</v>
      </c>
      <c r="T12" s="898">
        <f>IFERROR(L12/S12,0)</f>
        <v>0</v>
      </c>
      <c r="U12" s="923">
        <f t="shared" si="3"/>
        <v>0</v>
      </c>
      <c r="V12" s="898">
        <f t="shared" si="4"/>
        <v>0</v>
      </c>
      <c r="W12" s="953"/>
      <c r="X12" s="478"/>
      <c r="Y12" s="438">
        <v>0</v>
      </c>
      <c r="Z12" s="482">
        <v>0</v>
      </c>
      <c r="AA12" s="536"/>
      <c r="AB12" s="438"/>
      <c r="AC12" s="438"/>
    </row>
    <row r="13" spans="1:53" s="439" customFormat="1" ht="15.75">
      <c r="A13" s="434"/>
      <c r="B13" s="434"/>
      <c r="C13" s="434"/>
      <c r="D13" s="434"/>
      <c r="E13" s="435"/>
      <c r="F13" s="464"/>
      <c r="G13" s="464"/>
      <c r="H13" s="464"/>
      <c r="I13" s="429"/>
      <c r="J13" s="429"/>
      <c r="K13" s="464"/>
      <c r="L13" s="464"/>
      <c r="M13" s="900"/>
      <c r="N13" s="443">
        <f t="shared" si="0"/>
        <v>0</v>
      </c>
      <c r="O13" s="438">
        <f>IFERROR(LOOKUP(1,0/((印刷機資料庫!$F$158:$F$169=F13)*(印刷機資料庫!$G$158:$G$169=J13)),印刷機資料庫!$J$158:$J$169),0)</f>
        <v>0</v>
      </c>
      <c r="P13" s="438"/>
      <c r="Q13" s="442">
        <f t="shared" si="1"/>
        <v>0</v>
      </c>
      <c r="R13" s="438">
        <f>IFERROR(LOOKUP(1,0/((印刷機資料庫!$F$158:$F$169=F13)*(印刷機資料庫!$G$158:$G$169=J13)),印刷機資料庫!$I$158:$I$169),0)</f>
        <v>0</v>
      </c>
      <c r="S13" s="900">
        <f>IFERROR(LOOKUP(1,0/((印刷機資料庫!$F$158:$F$169=F13)*(印刷機資料庫!$G$158:$G$169=J13)),印刷機資料庫!$K$158:$K$169),0)</f>
        <v>0</v>
      </c>
      <c r="T13" s="898">
        <f t="shared" si="2"/>
        <v>0</v>
      </c>
      <c r="U13" s="923">
        <f t="shared" si="3"/>
        <v>0</v>
      </c>
      <c r="V13" s="898">
        <f t="shared" si="4"/>
        <v>0</v>
      </c>
      <c r="W13" s="953"/>
      <c r="X13" s="478"/>
      <c r="Y13" s="438">
        <v>0</v>
      </c>
      <c r="Z13" s="482">
        <v>0</v>
      </c>
      <c r="AA13" s="536"/>
      <c r="AB13" s="438"/>
      <c r="AC13" s="438"/>
    </row>
    <row r="14" spans="1:53" s="439" customFormat="1" ht="15.75">
      <c r="A14" s="434"/>
      <c r="B14" s="434"/>
      <c r="C14" s="434"/>
      <c r="D14" s="434"/>
      <c r="E14" s="435"/>
      <c r="F14" s="464"/>
      <c r="G14" s="464"/>
      <c r="H14" s="464"/>
      <c r="I14" s="429"/>
      <c r="J14" s="429"/>
      <c r="K14" s="464"/>
      <c r="L14" s="464"/>
      <c r="M14" s="900"/>
      <c r="N14" s="443">
        <f t="shared" si="0"/>
        <v>0</v>
      </c>
      <c r="O14" s="438">
        <f>IFERROR(LOOKUP(1,0/((印刷機資料庫!$F$158:$F$169=F14)*(印刷機資料庫!$G$158:$G$169=J14)),印刷機資料庫!$J$158:$J$169),0)</f>
        <v>0</v>
      </c>
      <c r="P14" s="438"/>
      <c r="Q14" s="442">
        <f t="shared" si="1"/>
        <v>0</v>
      </c>
      <c r="R14" s="438">
        <f>IFERROR(LOOKUP(1,0/((印刷機資料庫!$F$158:$F$169=F14)*(印刷機資料庫!$G$158:$G$169=J14)),印刷機資料庫!$I$158:$I$169),0)</f>
        <v>0</v>
      </c>
      <c r="S14" s="900">
        <f>IFERROR(LOOKUP(1,0/((印刷機資料庫!$F$158:$F$169=F14)*(印刷機資料庫!$G$158:$G$169=J14)),印刷機資料庫!$K$158:$K$169),0)</f>
        <v>0</v>
      </c>
      <c r="T14" s="898">
        <f t="shared" si="2"/>
        <v>0</v>
      </c>
      <c r="U14" s="923">
        <f t="shared" si="3"/>
        <v>0</v>
      </c>
      <c r="V14" s="898">
        <f t="shared" si="4"/>
        <v>0</v>
      </c>
      <c r="W14" s="953"/>
      <c r="X14" s="478"/>
      <c r="Y14" s="438">
        <v>0</v>
      </c>
      <c r="Z14" s="482">
        <v>0</v>
      </c>
      <c r="AA14" s="536"/>
      <c r="AB14" s="438"/>
      <c r="AC14" s="438"/>
    </row>
    <row r="15" spans="1:53" s="439" customFormat="1" ht="15.75">
      <c r="A15" s="434"/>
      <c r="B15" s="434"/>
      <c r="C15" s="434"/>
      <c r="D15" s="434"/>
      <c r="E15" s="435"/>
      <c r="F15" s="464"/>
      <c r="G15" s="464"/>
      <c r="H15" s="464"/>
      <c r="I15" s="429"/>
      <c r="J15" s="429"/>
      <c r="K15" s="464"/>
      <c r="L15" s="464"/>
      <c r="M15" s="900"/>
      <c r="N15" s="443">
        <f t="shared" si="0"/>
        <v>0</v>
      </c>
      <c r="O15" s="438">
        <f>IFERROR(LOOKUP(1,0/((印刷機資料庫!$F$158:$F$169=F15)*(印刷機資料庫!$G$158:$G$169=J15)),印刷機資料庫!$J$158:$J$169),0)</f>
        <v>0</v>
      </c>
      <c r="P15" s="438"/>
      <c r="Q15" s="442">
        <f t="shared" si="1"/>
        <v>0</v>
      </c>
      <c r="R15" s="438">
        <f>IFERROR(LOOKUP(1,0/((印刷機資料庫!$F$158:$F$169=F15)*(印刷機資料庫!$G$158:$G$169=J15)),印刷機資料庫!$I$158:$I$169),0)</f>
        <v>0</v>
      </c>
      <c r="S15" s="900">
        <f>IFERROR(LOOKUP(1,0/((印刷機資料庫!$F$158:$F$169=F15)*(印刷機資料庫!$G$158:$G$169=J15)),印刷機資料庫!$K$158:$K$169),0)</f>
        <v>0</v>
      </c>
      <c r="T15" s="898">
        <f t="shared" si="2"/>
        <v>0</v>
      </c>
      <c r="U15" s="923">
        <f t="shared" si="3"/>
        <v>0</v>
      </c>
      <c r="V15" s="898">
        <f t="shared" si="4"/>
        <v>0</v>
      </c>
      <c r="W15" s="953"/>
      <c r="X15" s="478"/>
      <c r="Y15" s="438">
        <v>0</v>
      </c>
      <c r="Z15" s="482">
        <v>0</v>
      </c>
      <c r="AA15" s="536"/>
      <c r="AB15" s="438"/>
      <c r="AC15" s="438"/>
    </row>
    <row r="16" spans="1:53" s="439" customFormat="1" thickBot="1">
      <c r="A16" s="496"/>
      <c r="B16" s="496"/>
      <c r="C16" s="496"/>
      <c r="D16" s="496"/>
      <c r="E16" s="497"/>
      <c r="F16" s="994"/>
      <c r="G16" s="500"/>
      <c r="H16" s="500"/>
      <c r="I16" s="498"/>
      <c r="J16" s="498"/>
      <c r="K16" s="500"/>
      <c r="L16" s="500"/>
      <c r="M16" s="991"/>
      <c r="N16" s="501"/>
      <c r="O16" s="499">
        <f>IFERROR(LOOKUP(1,0/((印刷機資料庫!$F$158:$F$169=F16)*(印刷機資料庫!$G$158:$G$169=J16)),印刷機資料庫!$J$158:$J$169),0)</f>
        <v>0</v>
      </c>
      <c r="P16" s="499"/>
      <c r="Q16" s="503"/>
      <c r="R16" s="499">
        <f>IFERROR(LOOKUP(1,0/((印刷機資料庫!$F$158:$F$169=F16)*(印刷機資料庫!$G$158:$G$169=J16)),印刷機資料庫!$I$158:$I$169),0)</f>
        <v>0</v>
      </c>
      <c r="S16" s="991">
        <f>IFERROR(LOOKUP(1,0/((印刷機資料庫!$F$158:$F$169=F16)*(印刷機資料庫!$G$158:$G$169=J16)),印刷機資料庫!$K$158:$K$169),0)</f>
        <v>0</v>
      </c>
      <c r="T16" s="551"/>
      <c r="U16" s="551"/>
      <c r="V16" s="551"/>
      <c r="W16" s="954"/>
      <c r="X16" s="508"/>
      <c r="Y16" s="499"/>
      <c r="Z16" s="509"/>
      <c r="AA16" s="529"/>
      <c r="AB16" s="499"/>
      <c r="AC16" s="499"/>
    </row>
    <row r="17" spans="1:29" s="433" customFormat="1" ht="15.75">
      <c r="A17" s="889">
        <v>11</v>
      </c>
      <c r="B17" s="889">
        <v>1</v>
      </c>
      <c r="C17" s="889" t="s">
        <v>632</v>
      </c>
      <c r="D17" s="889" t="s">
        <v>0</v>
      </c>
      <c r="E17" s="963" t="s">
        <v>42</v>
      </c>
      <c r="F17" s="993"/>
      <c r="G17" s="532"/>
      <c r="H17" s="532">
        <f>IFERROR(#REF!*G17,0)</f>
        <v>0</v>
      </c>
      <c r="I17" s="964"/>
      <c r="J17" s="964"/>
      <c r="K17" s="532"/>
      <c r="L17" s="480"/>
      <c r="M17" s="927">
        <f>L17*O17</f>
        <v>0</v>
      </c>
      <c r="N17" s="995">
        <f t="shared" ref="N17:N26" si="5">K17*L17</f>
        <v>0</v>
      </c>
      <c r="O17" s="480">
        <f>IFERROR(LOOKUP(1,0/((印刷機資料庫!$F$158:$F$169=F17)*(印刷機資料庫!$G$158:$G$169=J17)),印刷機資料庫!$J$158:$J$169),0)</f>
        <v>0</v>
      </c>
      <c r="P17" s="965"/>
      <c r="Q17" s="493"/>
      <c r="R17" s="480">
        <f>IFERROR(LOOKUP(1,0/((印刷機資料庫!$F$158:$F$169=F17)*(印刷機資料庫!$G$158:$G$169=J17)),印刷機資料庫!$I$158:$I$169),0)</f>
        <v>0</v>
      </c>
      <c r="S17" s="927">
        <f>IFERROR(LOOKUP(1,0/((印刷機資料庫!$F$158:$F$169=F17)*(印刷機資料庫!$G$158:$G$169=J17)),印刷機資料庫!$K$158:$K$169),0)</f>
        <v>0</v>
      </c>
      <c r="T17" s="996">
        <f>IFERROR(L17/S17,0)</f>
        <v>0</v>
      </c>
      <c r="U17" s="987">
        <f>IFERROR(R17*X17*60/O17,0)</f>
        <v>0</v>
      </c>
      <c r="V17" s="996">
        <f>IFERROR(L17/U17,0)</f>
        <v>0</v>
      </c>
      <c r="W17" s="971"/>
      <c r="X17" s="997">
        <f>Y17+Z17/60</f>
        <v>0</v>
      </c>
      <c r="Y17" s="480"/>
      <c r="Z17" s="968"/>
      <c r="AA17" s="998"/>
      <c r="AB17" s="480"/>
      <c r="AC17" s="480"/>
    </row>
    <row r="18" spans="1:29" s="433" customFormat="1" ht="15.75">
      <c r="A18" s="581">
        <v>11</v>
      </c>
      <c r="B18" s="581">
        <v>1</v>
      </c>
      <c r="C18" s="581" t="s">
        <v>632</v>
      </c>
      <c r="D18" s="581" t="s">
        <v>0</v>
      </c>
      <c r="E18" s="435" t="s">
        <v>42</v>
      </c>
      <c r="F18" s="992"/>
      <c r="G18" s="464"/>
      <c r="H18" s="464">
        <f>IFERROR(#REF!*G18,0)</f>
        <v>0</v>
      </c>
      <c r="I18" s="429"/>
      <c r="J18" s="429"/>
      <c r="K18" s="464"/>
      <c r="L18" s="438"/>
      <c r="M18" s="900">
        <f>L18*O18</f>
        <v>0</v>
      </c>
      <c r="N18" s="901">
        <f>K18*L18</f>
        <v>0</v>
      </c>
      <c r="O18" s="438">
        <f>IFERROR(LOOKUP(1,0/((印刷機資料庫!$F$158:$F$169=F18)*(印刷機資料庫!$G$158:$G$169=J18)),印刷機資料庫!$J$158:$J$169),0)</f>
        <v>0</v>
      </c>
      <c r="P18" s="462"/>
      <c r="Q18" s="442"/>
      <c r="R18" s="438">
        <f>IFERROR(LOOKUP(1,0/((印刷機資料庫!$F$158:$F$169=F18)*(印刷機資料庫!$G$158:$G$169=J18)),印刷機資料庫!$I$158:$I$169),0)</f>
        <v>0</v>
      </c>
      <c r="S18" s="900">
        <f>IFERROR(LOOKUP(1,0/((印刷機資料庫!$F$158:$F$169=F18)*(印刷機資料庫!$G$158:$G$169=J18)),印刷機資料庫!$K$158:$K$169),0)</f>
        <v>0</v>
      </c>
      <c r="T18" s="898">
        <f t="shared" ref="T18:T54" si="6">IFERROR(L18/S18,0)</f>
        <v>0</v>
      </c>
      <c r="U18" s="923">
        <f t="shared" ref="U18:U54" si="7">IFERROR(R18*X18*60/O18,0)</f>
        <v>0</v>
      </c>
      <c r="V18" s="898">
        <f t="shared" ref="V18:V54" si="8">IFERROR(L18/U18,0)</f>
        <v>0</v>
      </c>
      <c r="W18" s="952"/>
      <c r="X18" s="899">
        <f t="shared" ref="X18:X54" si="9">Y18+Z18/60</f>
        <v>0</v>
      </c>
      <c r="Y18" s="438"/>
      <c r="Z18" s="482"/>
      <c r="AA18" s="465"/>
      <c r="AB18" s="438"/>
      <c r="AC18" s="438"/>
    </row>
    <row r="19" spans="1:29" s="433" customFormat="1" ht="15.75">
      <c r="A19" s="581">
        <v>11</v>
      </c>
      <c r="B19" s="581">
        <v>2</v>
      </c>
      <c r="C19" s="581" t="s">
        <v>667</v>
      </c>
      <c r="D19" s="581" t="s">
        <v>0</v>
      </c>
      <c r="E19" s="435" t="s">
        <v>42</v>
      </c>
      <c r="F19" s="992"/>
      <c r="G19" s="464"/>
      <c r="H19" s="464">
        <f>IFERROR(#REF!*G19,0)</f>
        <v>0</v>
      </c>
      <c r="I19" s="429"/>
      <c r="J19" s="429"/>
      <c r="K19" s="464"/>
      <c r="L19" s="438"/>
      <c r="M19" s="900">
        <f t="shared" ref="M19:M55" si="10">L19*O19</f>
        <v>0</v>
      </c>
      <c r="N19" s="901">
        <f t="shared" si="5"/>
        <v>0</v>
      </c>
      <c r="O19" s="438">
        <f>IFERROR(LOOKUP(1,0/((印刷機資料庫!$F$158:$F$169=F19)*(印刷機資料庫!$G$158:$G$169=J19)),印刷機資料庫!$J$158:$J$169),0)</f>
        <v>0</v>
      </c>
      <c r="P19" s="462"/>
      <c r="Q19" s="442"/>
      <c r="R19" s="438">
        <f>IFERROR(LOOKUP(1,0/((印刷機資料庫!$F$158:$F$169=F19)*(印刷機資料庫!$G$158:$G$169=J19)),印刷機資料庫!$I$158:$I$169),0)</f>
        <v>0</v>
      </c>
      <c r="S19" s="900">
        <f>IFERROR(LOOKUP(1,0/((印刷機資料庫!$F$158:$F$169=F19)*(印刷機資料庫!$G$158:$G$169=J19)),印刷機資料庫!$K$158:$K$169),0)</f>
        <v>0</v>
      </c>
      <c r="T19" s="898">
        <f t="shared" si="6"/>
        <v>0</v>
      </c>
      <c r="U19" s="923">
        <f>IFERROR(R19*X19*60/O19,0)</f>
        <v>0</v>
      </c>
      <c r="V19" s="898">
        <f t="shared" si="8"/>
        <v>0</v>
      </c>
      <c r="W19" s="952"/>
      <c r="X19" s="899">
        <f t="shared" si="9"/>
        <v>0</v>
      </c>
      <c r="Y19" s="438"/>
      <c r="Z19" s="482"/>
      <c r="AA19" s="465"/>
      <c r="AB19" s="438"/>
      <c r="AC19" s="438"/>
    </row>
    <row r="20" spans="1:29" s="433" customFormat="1" ht="15.75">
      <c r="A20" s="581">
        <v>11</v>
      </c>
      <c r="B20" s="581">
        <v>3</v>
      </c>
      <c r="C20" s="581" t="s">
        <v>669</v>
      </c>
      <c r="D20" s="581" t="s">
        <v>0</v>
      </c>
      <c r="E20" s="435" t="s">
        <v>42</v>
      </c>
      <c r="F20" s="992"/>
      <c r="G20" s="464"/>
      <c r="H20" s="464">
        <f>IFERROR(#REF!*G20,0)</f>
        <v>0</v>
      </c>
      <c r="I20" s="429"/>
      <c r="J20" s="429"/>
      <c r="K20" s="464"/>
      <c r="L20" s="438"/>
      <c r="M20" s="900">
        <f t="shared" si="10"/>
        <v>0</v>
      </c>
      <c r="N20" s="901">
        <f>K20*L20</f>
        <v>0</v>
      </c>
      <c r="O20" s="438">
        <f>IFERROR(LOOKUP(1,0/((印刷機資料庫!$F$158:$F$169=F20)*(印刷機資料庫!$G$158:$G$169=J20)),印刷機資料庫!$J$158:$J$169),0)</f>
        <v>0</v>
      </c>
      <c r="P20" s="462"/>
      <c r="Q20" s="442"/>
      <c r="R20" s="438">
        <f>IFERROR(LOOKUP(1,0/((印刷機資料庫!$F$158:$F$169=F20)*(印刷機資料庫!$G$158:$G$169=J20)),印刷機資料庫!$I$158:$I$169),0)</f>
        <v>0</v>
      </c>
      <c r="S20" s="900">
        <f>IFERROR(LOOKUP(1,0/((印刷機資料庫!$F$158:$F$169=F20)*(印刷機資料庫!$G$158:$G$169=J20)),印刷機資料庫!$K$158:$K$169),0)</f>
        <v>0</v>
      </c>
      <c r="T20" s="898">
        <f t="shared" si="6"/>
        <v>0</v>
      </c>
      <c r="U20" s="923">
        <f>IFERROR(R20*X20*60/O20,0)</f>
        <v>0</v>
      </c>
      <c r="V20" s="898">
        <f t="shared" si="8"/>
        <v>0</v>
      </c>
      <c r="W20" s="952"/>
      <c r="X20" s="899">
        <f t="shared" si="9"/>
        <v>0</v>
      </c>
      <c r="Y20" s="438"/>
      <c r="Z20" s="482"/>
      <c r="AA20" s="465"/>
      <c r="AB20" s="438"/>
      <c r="AC20" s="438"/>
    </row>
    <row r="21" spans="1:29" s="433" customFormat="1" ht="15.75">
      <c r="A21" s="581">
        <v>11</v>
      </c>
      <c r="B21" s="581">
        <v>4</v>
      </c>
      <c r="C21" s="581" t="s">
        <v>670</v>
      </c>
      <c r="D21" s="581" t="s">
        <v>0</v>
      </c>
      <c r="E21" s="435" t="s">
        <v>42</v>
      </c>
      <c r="F21" s="992"/>
      <c r="G21" s="464"/>
      <c r="H21" s="464">
        <f>IFERROR(#REF!*G21,0)</f>
        <v>0</v>
      </c>
      <c r="I21" s="429"/>
      <c r="J21" s="429"/>
      <c r="K21" s="464"/>
      <c r="L21" s="438"/>
      <c r="M21" s="900">
        <f t="shared" si="10"/>
        <v>0</v>
      </c>
      <c r="N21" s="901">
        <f t="shared" si="5"/>
        <v>0</v>
      </c>
      <c r="O21" s="438">
        <f>IFERROR(LOOKUP(1,0/((印刷機資料庫!$F$158:$F$169=F21)*(印刷機資料庫!$G$158:$G$169=J21)),印刷機資料庫!$J$158:$J$169),0)</f>
        <v>0</v>
      </c>
      <c r="P21" s="462"/>
      <c r="Q21" s="442"/>
      <c r="R21" s="438">
        <f>IFERROR(LOOKUP(1,0/((印刷機資料庫!$F$158:$F$169=F21)*(印刷機資料庫!$G$158:$G$169=J21)),印刷機資料庫!$I$158:$I$169),0)</f>
        <v>0</v>
      </c>
      <c r="S21" s="900">
        <f>IFERROR(LOOKUP(1,0/((印刷機資料庫!$F$158:$F$169=F21)*(印刷機資料庫!$G$158:$G$169=J21)),印刷機資料庫!$K$158:$K$169),0)</f>
        <v>0</v>
      </c>
      <c r="T21" s="898">
        <f t="shared" si="6"/>
        <v>0</v>
      </c>
      <c r="U21" s="923">
        <f t="shared" si="7"/>
        <v>0</v>
      </c>
      <c r="V21" s="898">
        <f t="shared" si="8"/>
        <v>0</v>
      </c>
      <c r="W21" s="952"/>
      <c r="X21" s="899">
        <f t="shared" si="9"/>
        <v>0</v>
      </c>
      <c r="Y21" s="438"/>
      <c r="Z21" s="482"/>
      <c r="AA21" s="465"/>
      <c r="AB21" s="438"/>
      <c r="AC21" s="438"/>
    </row>
    <row r="22" spans="1:29" s="433" customFormat="1" ht="15.75">
      <c r="A22" s="581">
        <v>11</v>
      </c>
      <c r="B22" s="581">
        <v>5</v>
      </c>
      <c r="C22" s="581" t="s">
        <v>671</v>
      </c>
      <c r="D22" s="889" t="s">
        <v>0</v>
      </c>
      <c r="E22" s="435" t="s">
        <v>42</v>
      </c>
      <c r="F22" s="992"/>
      <c r="G22" s="464"/>
      <c r="H22" s="464">
        <f>IFERROR(#REF!*G22,0)</f>
        <v>0</v>
      </c>
      <c r="I22" s="429"/>
      <c r="J22" s="429"/>
      <c r="K22" s="464"/>
      <c r="L22" s="438"/>
      <c r="M22" s="900">
        <f t="shared" si="10"/>
        <v>0</v>
      </c>
      <c r="N22" s="901">
        <f t="shared" si="5"/>
        <v>0</v>
      </c>
      <c r="O22" s="438">
        <f>IFERROR(LOOKUP(1,0/((印刷機資料庫!$F$158:$F$169=F22)*(印刷機資料庫!$G$158:$G$169=J22)),印刷機資料庫!$J$158:$J$169),0)</f>
        <v>0</v>
      </c>
      <c r="P22" s="462"/>
      <c r="Q22" s="442"/>
      <c r="R22" s="438">
        <f>IFERROR(LOOKUP(1,0/((印刷機資料庫!$F$158:$F$169=F22)*(印刷機資料庫!$G$158:$G$169=J22)),印刷機資料庫!$I$158:$I$169),0)</f>
        <v>0</v>
      </c>
      <c r="S22" s="900">
        <f>IFERROR(LOOKUP(1,0/((印刷機資料庫!$F$158:$F$169=F22)*(印刷機資料庫!$G$158:$G$169=J22)),印刷機資料庫!$K$158:$K$169),0)</f>
        <v>0</v>
      </c>
      <c r="T22" s="898">
        <f t="shared" si="6"/>
        <v>0</v>
      </c>
      <c r="U22" s="923">
        <f t="shared" si="7"/>
        <v>0</v>
      </c>
      <c r="V22" s="898">
        <f t="shared" si="8"/>
        <v>0</v>
      </c>
      <c r="W22" s="952"/>
      <c r="X22" s="899">
        <f t="shared" si="9"/>
        <v>0</v>
      </c>
      <c r="Y22" s="438"/>
      <c r="Z22" s="482"/>
      <c r="AA22" s="465"/>
      <c r="AB22" s="438"/>
      <c r="AC22" s="438"/>
    </row>
    <row r="23" spans="1:29" s="433" customFormat="1" ht="15.75">
      <c r="A23" s="581">
        <v>11</v>
      </c>
      <c r="B23" s="581">
        <v>6</v>
      </c>
      <c r="C23" s="581" t="s">
        <v>672</v>
      </c>
      <c r="D23" s="889" t="s">
        <v>0</v>
      </c>
      <c r="E23" s="435" t="s">
        <v>42</v>
      </c>
      <c r="F23" s="992"/>
      <c r="G23" s="464"/>
      <c r="H23" s="464">
        <f>IFERROR(#REF!*G23,0)</f>
        <v>0</v>
      </c>
      <c r="I23" s="429"/>
      <c r="J23" s="429"/>
      <c r="K23" s="464"/>
      <c r="L23" s="438"/>
      <c r="M23" s="900">
        <f t="shared" si="10"/>
        <v>0</v>
      </c>
      <c r="N23" s="901">
        <f t="shared" si="5"/>
        <v>0</v>
      </c>
      <c r="O23" s="438">
        <f>IFERROR(LOOKUP(1,0/((印刷機資料庫!$F$158:$F$169=F23)*(印刷機資料庫!$G$158:$G$169=J23)),印刷機資料庫!$J$158:$J$169),0)</f>
        <v>0</v>
      </c>
      <c r="P23" s="462"/>
      <c r="Q23" s="442"/>
      <c r="R23" s="438">
        <f>IFERROR(LOOKUP(1,0/((印刷機資料庫!$F$158:$F$169=F23)*(印刷機資料庫!$G$158:$G$169=J23)),印刷機資料庫!$I$158:$I$169),0)</f>
        <v>0</v>
      </c>
      <c r="S23" s="900">
        <f>IFERROR(LOOKUP(1,0/((印刷機資料庫!$F$158:$F$169=F23)*(印刷機資料庫!$G$158:$G$169=J23)),印刷機資料庫!$K$158:$K$169),0)</f>
        <v>0</v>
      </c>
      <c r="T23" s="898">
        <f t="shared" si="6"/>
        <v>0</v>
      </c>
      <c r="U23" s="923">
        <f t="shared" si="7"/>
        <v>0</v>
      </c>
      <c r="V23" s="898">
        <f t="shared" si="8"/>
        <v>0</v>
      </c>
      <c r="W23" s="952"/>
      <c r="X23" s="899">
        <f t="shared" si="9"/>
        <v>0</v>
      </c>
      <c r="Y23" s="438"/>
      <c r="Z23" s="482"/>
      <c r="AA23" s="465"/>
      <c r="AB23" s="438"/>
      <c r="AC23" s="438"/>
    </row>
    <row r="24" spans="1:29" s="433" customFormat="1" ht="15.75">
      <c r="A24" s="581">
        <v>11</v>
      </c>
      <c r="B24" s="581">
        <v>6</v>
      </c>
      <c r="C24" s="581" t="s">
        <v>672</v>
      </c>
      <c r="D24" s="889" t="s">
        <v>0</v>
      </c>
      <c r="E24" s="435" t="s">
        <v>42</v>
      </c>
      <c r="F24" s="992"/>
      <c r="G24" s="464"/>
      <c r="H24" s="464">
        <f>IFERROR(#REF!*G24,0)</f>
        <v>0</v>
      </c>
      <c r="I24" s="429"/>
      <c r="J24" s="429"/>
      <c r="K24" s="464"/>
      <c r="L24" s="438"/>
      <c r="M24" s="900">
        <f t="shared" si="10"/>
        <v>0</v>
      </c>
      <c r="N24" s="901">
        <f t="shared" si="5"/>
        <v>0</v>
      </c>
      <c r="O24" s="438">
        <f>IFERROR(LOOKUP(1,0/((印刷機資料庫!$F$158:$F$169=F24)*(印刷機資料庫!$G$158:$G$169=J24)),印刷機資料庫!$J$158:$J$169),0)</f>
        <v>0</v>
      </c>
      <c r="P24" s="462"/>
      <c r="Q24" s="442"/>
      <c r="R24" s="438">
        <f>IFERROR(LOOKUP(1,0/((印刷機資料庫!$F$158:$F$169=F24)*(印刷機資料庫!$G$158:$G$169=J24)),印刷機資料庫!$I$158:$I$169),0)</f>
        <v>0</v>
      </c>
      <c r="S24" s="900">
        <f>IFERROR(LOOKUP(1,0/((印刷機資料庫!$F$158:$F$169=F24)*(印刷機資料庫!$G$158:$G$169=J24)),印刷機資料庫!$K$158:$K$169),0)</f>
        <v>0</v>
      </c>
      <c r="T24" s="898">
        <f t="shared" si="6"/>
        <v>0</v>
      </c>
      <c r="U24" s="923">
        <f t="shared" si="7"/>
        <v>0</v>
      </c>
      <c r="V24" s="898">
        <f t="shared" si="8"/>
        <v>0</v>
      </c>
      <c r="W24" s="952"/>
      <c r="X24" s="899">
        <f t="shared" si="9"/>
        <v>0</v>
      </c>
      <c r="Y24" s="438"/>
      <c r="Z24" s="482"/>
      <c r="AA24" s="465"/>
      <c r="AB24" s="438"/>
      <c r="AC24" s="438"/>
    </row>
    <row r="25" spans="1:29" s="433" customFormat="1" ht="15.75">
      <c r="A25" s="581">
        <v>11</v>
      </c>
      <c r="B25" s="581">
        <v>7</v>
      </c>
      <c r="C25" s="581" t="s">
        <v>673</v>
      </c>
      <c r="D25" s="889" t="s">
        <v>0</v>
      </c>
      <c r="E25" s="435" t="s">
        <v>42</v>
      </c>
      <c r="F25" s="992"/>
      <c r="G25" s="464"/>
      <c r="H25" s="464">
        <f>IFERROR(#REF!*G25,0)</f>
        <v>0</v>
      </c>
      <c r="I25" s="429"/>
      <c r="J25" s="429"/>
      <c r="K25" s="464"/>
      <c r="L25" s="438"/>
      <c r="M25" s="900">
        <f t="shared" si="10"/>
        <v>0</v>
      </c>
      <c r="N25" s="901">
        <f t="shared" si="5"/>
        <v>0</v>
      </c>
      <c r="O25" s="438">
        <f>IFERROR(LOOKUP(1,0/((印刷機資料庫!$F$158:$F$169=F25)*(印刷機資料庫!$G$158:$G$169=J25)),印刷機資料庫!$J$158:$J$169),0)</f>
        <v>0</v>
      </c>
      <c r="P25" s="462"/>
      <c r="Q25" s="442"/>
      <c r="R25" s="438">
        <f>IFERROR(LOOKUP(1,0/((印刷機資料庫!$F$158:$F$169=F25)*(印刷機資料庫!$G$158:$G$169=J25)),印刷機資料庫!$I$158:$I$169),0)</f>
        <v>0</v>
      </c>
      <c r="S25" s="900">
        <f>IFERROR(LOOKUP(1,0/((印刷機資料庫!$F$158:$F$169=F25)*(印刷機資料庫!$G$158:$G$169=J25)),印刷機資料庫!$K$158:$K$169),0)</f>
        <v>0</v>
      </c>
      <c r="T25" s="898">
        <f t="shared" si="6"/>
        <v>0</v>
      </c>
      <c r="U25" s="923">
        <f t="shared" si="7"/>
        <v>0</v>
      </c>
      <c r="V25" s="898">
        <f t="shared" si="8"/>
        <v>0</v>
      </c>
      <c r="W25" s="952"/>
      <c r="X25" s="899">
        <f t="shared" si="9"/>
        <v>0</v>
      </c>
      <c r="Y25" s="438"/>
      <c r="Z25" s="482"/>
      <c r="AA25" s="465"/>
      <c r="AB25" s="438"/>
      <c r="AC25" s="438"/>
    </row>
    <row r="26" spans="1:29" s="433" customFormat="1" ht="15.75">
      <c r="A26" s="581">
        <v>11</v>
      </c>
      <c r="B26" s="581">
        <v>7</v>
      </c>
      <c r="C26" s="581" t="s">
        <v>673</v>
      </c>
      <c r="D26" s="889" t="s">
        <v>0</v>
      </c>
      <c r="E26" s="435" t="s">
        <v>42</v>
      </c>
      <c r="F26" s="992"/>
      <c r="G26" s="464"/>
      <c r="H26" s="464">
        <f>IFERROR(#REF!*G26,0)</f>
        <v>0</v>
      </c>
      <c r="I26" s="429"/>
      <c r="J26" s="429"/>
      <c r="K26" s="464"/>
      <c r="L26" s="438"/>
      <c r="M26" s="900">
        <f t="shared" si="10"/>
        <v>0</v>
      </c>
      <c r="N26" s="901">
        <f t="shared" si="5"/>
        <v>0</v>
      </c>
      <c r="O26" s="438">
        <f>IFERROR(LOOKUP(1,0/((印刷機資料庫!$F$158:$F$169=F26)*(印刷機資料庫!$G$158:$G$169=J26)),印刷機資料庫!$J$158:$J$169),0)</f>
        <v>0</v>
      </c>
      <c r="P26" s="462"/>
      <c r="Q26" s="442"/>
      <c r="R26" s="438">
        <f>IFERROR(LOOKUP(1,0/((印刷機資料庫!$F$158:$F$169=F26)*(印刷機資料庫!$G$158:$G$169=J26)),印刷機資料庫!$I$158:$I$169),0)</f>
        <v>0</v>
      </c>
      <c r="S26" s="900">
        <f>IFERROR(LOOKUP(1,0/((印刷機資料庫!$F$158:$F$169=F26)*(印刷機資料庫!$G$158:$G$169=J26)),印刷機資料庫!$K$158:$K$169),0)</f>
        <v>0</v>
      </c>
      <c r="T26" s="898">
        <f t="shared" si="6"/>
        <v>0</v>
      </c>
      <c r="U26" s="923">
        <f t="shared" si="7"/>
        <v>0</v>
      </c>
      <c r="V26" s="898">
        <f t="shared" si="8"/>
        <v>0</v>
      </c>
      <c r="W26" s="952"/>
      <c r="X26" s="899">
        <f t="shared" si="9"/>
        <v>0</v>
      </c>
      <c r="Y26" s="438"/>
      <c r="Z26" s="482"/>
      <c r="AA26" s="465"/>
      <c r="AB26" s="438"/>
      <c r="AC26" s="438"/>
    </row>
    <row r="27" spans="1:29" s="433" customFormat="1" ht="15.75">
      <c r="A27" s="581">
        <v>11</v>
      </c>
      <c r="B27" s="581">
        <v>8</v>
      </c>
      <c r="C27" s="581" t="s">
        <v>632</v>
      </c>
      <c r="D27" s="889" t="s">
        <v>0</v>
      </c>
      <c r="E27" s="435" t="s">
        <v>42</v>
      </c>
      <c r="F27" s="992"/>
      <c r="G27" s="464"/>
      <c r="H27" s="464">
        <f>IFERROR(#REF!*G27,0)</f>
        <v>0</v>
      </c>
      <c r="I27" s="429"/>
      <c r="J27" s="429"/>
      <c r="K27" s="464"/>
      <c r="L27" s="438"/>
      <c r="M27" s="900">
        <f t="shared" si="10"/>
        <v>0</v>
      </c>
      <c r="N27" s="901">
        <f>K27*L27</f>
        <v>0</v>
      </c>
      <c r="O27" s="438">
        <f>IFERROR(LOOKUP(1,0/((印刷機資料庫!$F$158:$F$169=F27)*(印刷機資料庫!$G$158:$G$169=J27)),印刷機資料庫!$J$158:$J$169),0)</f>
        <v>0</v>
      </c>
      <c r="P27" s="462"/>
      <c r="Q27" s="442"/>
      <c r="R27" s="438">
        <f>IFERROR(LOOKUP(1,0/((印刷機資料庫!$F$158:$F$169=F27)*(印刷機資料庫!$G$158:$G$169=J27)),印刷機資料庫!$I$158:$I$169),0)</f>
        <v>0</v>
      </c>
      <c r="S27" s="900">
        <f>IFERROR(LOOKUP(1,0/((印刷機資料庫!$F$158:$F$169=F27)*(印刷機資料庫!$G$158:$G$169=J27)),印刷機資料庫!$K$158:$K$169),0)</f>
        <v>0</v>
      </c>
      <c r="T27" s="898">
        <f>IFERROR(L27/S27,0)</f>
        <v>0</v>
      </c>
      <c r="U27" s="923">
        <f t="shared" si="7"/>
        <v>0</v>
      </c>
      <c r="V27" s="898">
        <f>IFERROR(L27/U27,0)</f>
        <v>0</v>
      </c>
      <c r="W27" s="952"/>
      <c r="X27" s="899">
        <f t="shared" si="9"/>
        <v>0</v>
      </c>
      <c r="Y27" s="438"/>
      <c r="Z27" s="482"/>
      <c r="AA27" s="465"/>
      <c r="AB27" s="438"/>
      <c r="AC27" s="438"/>
    </row>
    <row r="28" spans="1:29" s="433" customFormat="1" ht="15.75">
      <c r="A28" s="581">
        <v>11</v>
      </c>
      <c r="B28" s="581">
        <v>9</v>
      </c>
      <c r="C28" s="581" t="s">
        <v>667</v>
      </c>
      <c r="D28" s="889" t="s">
        <v>0</v>
      </c>
      <c r="E28" s="435" t="s">
        <v>42</v>
      </c>
      <c r="F28" s="992"/>
      <c r="G28" s="464"/>
      <c r="H28" s="464">
        <f>IFERROR(#REF!*G28,0)</f>
        <v>0</v>
      </c>
      <c r="I28" s="429"/>
      <c r="J28" s="429"/>
      <c r="K28" s="464"/>
      <c r="L28" s="438"/>
      <c r="M28" s="900">
        <f t="shared" si="10"/>
        <v>0</v>
      </c>
      <c r="N28" s="901">
        <f>K28*L28</f>
        <v>0</v>
      </c>
      <c r="O28" s="438">
        <f>IFERROR(LOOKUP(1,0/((印刷機資料庫!$F$158:$F$169=F28)*(印刷機資料庫!$G$158:$G$169=J28)),印刷機資料庫!$J$158:$J$169),0)</f>
        <v>0</v>
      </c>
      <c r="P28" s="462"/>
      <c r="Q28" s="442"/>
      <c r="R28" s="438">
        <f>IFERROR(LOOKUP(1,0/((印刷機資料庫!$F$158:$F$169=F28)*(印刷機資料庫!$G$158:$G$169=J28)),印刷機資料庫!$I$158:$I$169),0)</f>
        <v>0</v>
      </c>
      <c r="S28" s="900">
        <f>IFERROR(LOOKUP(1,0/((印刷機資料庫!$F$158:$F$169=F28)*(印刷機資料庫!$G$158:$G$169=J28)),印刷機資料庫!$K$158:$K$169),0)</f>
        <v>0</v>
      </c>
      <c r="T28" s="898">
        <f>IFERROR(L28/S28,0)</f>
        <v>0</v>
      </c>
      <c r="U28" s="923">
        <f t="shared" si="7"/>
        <v>0</v>
      </c>
      <c r="V28" s="898">
        <f t="shared" si="8"/>
        <v>0</v>
      </c>
      <c r="W28" s="952"/>
      <c r="X28" s="899">
        <f t="shared" si="9"/>
        <v>0</v>
      </c>
      <c r="Y28" s="438"/>
      <c r="Z28" s="482"/>
      <c r="AA28" s="465"/>
      <c r="AB28" s="438"/>
      <c r="AC28" s="438"/>
    </row>
    <row r="29" spans="1:29" s="433" customFormat="1" ht="15.75">
      <c r="A29" s="581">
        <v>11</v>
      </c>
      <c r="B29" s="581">
        <v>9</v>
      </c>
      <c r="C29" s="581" t="s">
        <v>667</v>
      </c>
      <c r="D29" s="889" t="s">
        <v>0</v>
      </c>
      <c r="E29" s="435" t="s">
        <v>42</v>
      </c>
      <c r="F29" s="992"/>
      <c r="G29" s="464"/>
      <c r="H29" s="464">
        <f>IFERROR(#REF!*G29,0)</f>
        <v>0</v>
      </c>
      <c r="I29" s="429"/>
      <c r="J29" s="429"/>
      <c r="K29" s="464"/>
      <c r="L29" s="438"/>
      <c r="M29" s="900">
        <f t="shared" si="10"/>
        <v>0</v>
      </c>
      <c r="N29" s="901">
        <f>K29*L29</f>
        <v>0</v>
      </c>
      <c r="O29" s="438">
        <f>IFERROR(LOOKUP(1,0/((印刷機資料庫!$F$158:$F$169=F29)*(印刷機資料庫!$G$158:$G$169=J29)),印刷機資料庫!$J$158:$J$169),0)</f>
        <v>0</v>
      </c>
      <c r="P29" s="462"/>
      <c r="Q29" s="442"/>
      <c r="R29" s="438">
        <f>IFERROR(LOOKUP(1,0/((印刷機資料庫!$F$158:$F$169=F29)*(印刷機資料庫!$G$158:$G$169=J29)),印刷機資料庫!$I$158:$I$169),0)</f>
        <v>0</v>
      </c>
      <c r="S29" s="900">
        <f>IFERROR(LOOKUP(1,0/((印刷機資料庫!$F$158:$F$169=F29)*(印刷機資料庫!$G$158:$G$169=J29)),印刷機資料庫!$K$158:$K$169),0)</f>
        <v>0</v>
      </c>
      <c r="T29" s="898">
        <f t="shared" si="6"/>
        <v>0</v>
      </c>
      <c r="U29" s="923">
        <f t="shared" si="7"/>
        <v>0</v>
      </c>
      <c r="V29" s="898">
        <f t="shared" si="8"/>
        <v>0</v>
      </c>
      <c r="W29" s="952"/>
      <c r="X29" s="899">
        <f t="shared" si="9"/>
        <v>0</v>
      </c>
      <c r="Y29" s="438"/>
      <c r="Z29" s="482"/>
      <c r="AA29" s="465"/>
      <c r="AB29" s="438"/>
      <c r="AC29" s="438"/>
    </row>
    <row r="30" spans="1:29" s="433" customFormat="1" ht="15.75">
      <c r="A30" s="581">
        <v>11</v>
      </c>
      <c r="B30" s="581">
        <v>10</v>
      </c>
      <c r="C30" s="581" t="s">
        <v>669</v>
      </c>
      <c r="D30" s="889" t="s">
        <v>0</v>
      </c>
      <c r="E30" s="435" t="s">
        <v>42</v>
      </c>
      <c r="F30" s="992"/>
      <c r="G30" s="464"/>
      <c r="H30" s="464">
        <f>IFERROR(#REF!*G30,0)</f>
        <v>0</v>
      </c>
      <c r="I30" s="429"/>
      <c r="J30" s="429"/>
      <c r="K30" s="464"/>
      <c r="L30" s="438"/>
      <c r="M30" s="900">
        <f t="shared" si="10"/>
        <v>0</v>
      </c>
      <c r="N30" s="901">
        <f>K30*L30</f>
        <v>0</v>
      </c>
      <c r="O30" s="438">
        <f>IFERROR(LOOKUP(1,0/((印刷機資料庫!$F$158:$F$169=F30)*(印刷機資料庫!$G$158:$G$169=J30)),印刷機資料庫!$J$158:$J$169),0)</f>
        <v>0</v>
      </c>
      <c r="P30" s="462"/>
      <c r="Q30" s="442"/>
      <c r="R30" s="438">
        <f>IFERROR(LOOKUP(1,0/((印刷機資料庫!$F$158:$F$169=F30)*(印刷機資料庫!$G$158:$G$169=J30)),印刷機資料庫!$I$158:$I$169),0)</f>
        <v>0</v>
      </c>
      <c r="S30" s="900">
        <f>IFERROR(LOOKUP(1,0/((印刷機資料庫!$F$158:$F$169=F30)*(印刷機資料庫!$G$158:$G$169=J30)),印刷機資料庫!$K$158:$K$169),0)</f>
        <v>0</v>
      </c>
      <c r="T30" s="898">
        <f t="shared" si="6"/>
        <v>0</v>
      </c>
      <c r="U30" s="923">
        <f t="shared" si="7"/>
        <v>0</v>
      </c>
      <c r="V30" s="898">
        <f t="shared" si="8"/>
        <v>0</v>
      </c>
      <c r="W30" s="952"/>
      <c r="X30" s="899">
        <f t="shared" si="9"/>
        <v>0</v>
      </c>
      <c r="Y30" s="438"/>
      <c r="Z30" s="482"/>
      <c r="AA30" s="465"/>
      <c r="AB30" s="438"/>
      <c r="AC30" s="438"/>
    </row>
    <row r="31" spans="1:29" s="433" customFormat="1" ht="15.75">
      <c r="A31" s="581">
        <v>11</v>
      </c>
      <c r="B31" s="581">
        <v>11</v>
      </c>
      <c r="C31" s="581" t="s">
        <v>670</v>
      </c>
      <c r="D31" s="889" t="s">
        <v>0</v>
      </c>
      <c r="E31" s="435" t="s">
        <v>42</v>
      </c>
      <c r="F31" s="992"/>
      <c r="G31" s="464"/>
      <c r="H31" s="464">
        <f>IFERROR(#REF!*G31,0)</f>
        <v>0</v>
      </c>
      <c r="I31" s="429"/>
      <c r="J31" s="429"/>
      <c r="K31" s="464"/>
      <c r="L31" s="438"/>
      <c r="M31" s="900">
        <f t="shared" si="10"/>
        <v>0</v>
      </c>
      <c r="N31" s="901">
        <f t="shared" ref="N31:N59" si="11">K31*L31</f>
        <v>0</v>
      </c>
      <c r="O31" s="438">
        <f>IFERROR(LOOKUP(1,0/((印刷機資料庫!$F$158:$F$169=F31)*(印刷機資料庫!$G$158:$G$169=J31)),印刷機資料庫!$J$158:$J$169),0)</f>
        <v>0</v>
      </c>
      <c r="P31" s="462"/>
      <c r="Q31" s="442"/>
      <c r="R31" s="438">
        <f>IFERROR(LOOKUP(1,0/((印刷機資料庫!$F$158:$F$169=F31)*(印刷機資料庫!$G$158:$G$169=J31)),印刷機資料庫!$I$158:$I$169),0)</f>
        <v>0</v>
      </c>
      <c r="S31" s="900">
        <f>IFERROR(LOOKUP(1,0/((印刷機資料庫!$F$158:$F$169=F31)*(印刷機資料庫!$G$158:$G$169=J31)),印刷機資料庫!$K$158:$K$169),0)</f>
        <v>0</v>
      </c>
      <c r="T31" s="898">
        <f t="shared" si="6"/>
        <v>0</v>
      </c>
      <c r="U31" s="923">
        <f t="shared" si="7"/>
        <v>0</v>
      </c>
      <c r="V31" s="898">
        <f t="shared" si="8"/>
        <v>0</v>
      </c>
      <c r="W31" s="952"/>
      <c r="X31" s="899">
        <f t="shared" si="9"/>
        <v>0</v>
      </c>
      <c r="Y31" s="438"/>
      <c r="Z31" s="482"/>
      <c r="AA31" s="465"/>
      <c r="AB31" s="438"/>
      <c r="AC31" s="438"/>
    </row>
    <row r="32" spans="1:29" s="433" customFormat="1" ht="15.75">
      <c r="A32" s="581">
        <v>11</v>
      </c>
      <c r="B32" s="581">
        <v>12</v>
      </c>
      <c r="C32" s="581" t="s">
        <v>671</v>
      </c>
      <c r="D32" s="889" t="s">
        <v>0</v>
      </c>
      <c r="E32" s="435" t="s">
        <v>42</v>
      </c>
      <c r="F32" s="992"/>
      <c r="G32" s="464"/>
      <c r="H32" s="464">
        <f>IFERROR(#REF!*G32,0)</f>
        <v>0</v>
      </c>
      <c r="I32" s="429"/>
      <c r="J32" s="429"/>
      <c r="K32" s="464"/>
      <c r="L32" s="438"/>
      <c r="M32" s="900">
        <f t="shared" si="10"/>
        <v>0</v>
      </c>
      <c r="N32" s="901">
        <f t="shared" si="11"/>
        <v>0</v>
      </c>
      <c r="O32" s="438">
        <f>IFERROR(LOOKUP(1,0/((印刷機資料庫!$F$158:$F$169=F32)*(印刷機資料庫!$G$158:$G$169=J32)),印刷機資料庫!$J$158:$J$169),0)</f>
        <v>0</v>
      </c>
      <c r="P32" s="462"/>
      <c r="Q32" s="442"/>
      <c r="R32" s="438">
        <f>IFERROR(LOOKUP(1,0/((印刷機資料庫!$F$158:$F$169=F32)*(印刷機資料庫!$G$158:$G$169=J32)),印刷機資料庫!$I$158:$I$169),0)</f>
        <v>0</v>
      </c>
      <c r="S32" s="900">
        <f>IFERROR(LOOKUP(1,0/((印刷機資料庫!$F$158:$F$169=F32)*(印刷機資料庫!$G$158:$G$169=J32)),印刷機資料庫!$K$158:$K$169),0)</f>
        <v>0</v>
      </c>
      <c r="T32" s="898">
        <f t="shared" si="6"/>
        <v>0</v>
      </c>
      <c r="U32" s="923">
        <f t="shared" si="7"/>
        <v>0</v>
      </c>
      <c r="V32" s="898">
        <f t="shared" si="8"/>
        <v>0</v>
      </c>
      <c r="W32" s="952"/>
      <c r="X32" s="899">
        <f t="shared" si="9"/>
        <v>0</v>
      </c>
      <c r="Y32" s="438"/>
      <c r="Z32" s="482"/>
      <c r="AA32" s="465"/>
      <c r="AB32" s="438"/>
      <c r="AC32" s="438"/>
    </row>
    <row r="33" spans="1:29" s="433" customFormat="1" ht="15.75">
      <c r="A33" s="581">
        <v>11</v>
      </c>
      <c r="B33" s="581">
        <v>13</v>
      </c>
      <c r="C33" s="581" t="s">
        <v>672</v>
      </c>
      <c r="D33" s="889" t="s">
        <v>0</v>
      </c>
      <c r="E33" s="435" t="s">
        <v>42</v>
      </c>
      <c r="F33" s="992"/>
      <c r="G33" s="464"/>
      <c r="H33" s="464">
        <f>IFERROR(#REF!*G33,0)</f>
        <v>0</v>
      </c>
      <c r="I33" s="429"/>
      <c r="J33" s="429"/>
      <c r="K33" s="464"/>
      <c r="L33" s="438"/>
      <c r="M33" s="900">
        <f t="shared" si="10"/>
        <v>0</v>
      </c>
      <c r="N33" s="901">
        <f t="shared" si="11"/>
        <v>0</v>
      </c>
      <c r="O33" s="438">
        <f>IFERROR(LOOKUP(1,0/((印刷機資料庫!$F$158:$F$169=F33)*(印刷機資料庫!$G$158:$G$169=J33)),印刷機資料庫!$J$158:$J$169),0)</f>
        <v>0</v>
      </c>
      <c r="P33" s="462"/>
      <c r="Q33" s="442"/>
      <c r="R33" s="438">
        <f>IFERROR(LOOKUP(1,0/((印刷機資料庫!$F$158:$F$169=F33)*(印刷機資料庫!$G$158:$G$169=J33)),印刷機資料庫!$I$158:$I$169),0)</f>
        <v>0</v>
      </c>
      <c r="S33" s="900">
        <f>IFERROR(LOOKUP(1,0/((印刷機資料庫!$F$158:$F$169=F33)*(印刷機資料庫!$G$158:$G$169=J33)),印刷機資料庫!$K$158:$K$169),0)</f>
        <v>0</v>
      </c>
      <c r="T33" s="898">
        <f t="shared" si="6"/>
        <v>0</v>
      </c>
      <c r="U33" s="923">
        <f t="shared" si="7"/>
        <v>0</v>
      </c>
      <c r="V33" s="898">
        <f t="shared" si="8"/>
        <v>0</v>
      </c>
      <c r="W33" s="952"/>
      <c r="X33" s="899">
        <f t="shared" si="9"/>
        <v>0</v>
      </c>
      <c r="Y33" s="438"/>
      <c r="Z33" s="482"/>
      <c r="AA33" s="465"/>
      <c r="AB33" s="438"/>
      <c r="AC33" s="438"/>
    </row>
    <row r="34" spans="1:29" s="433" customFormat="1" ht="15.75">
      <c r="A34" s="581">
        <v>11</v>
      </c>
      <c r="B34" s="581">
        <v>14</v>
      </c>
      <c r="C34" s="581" t="s">
        <v>673</v>
      </c>
      <c r="D34" s="889" t="s">
        <v>0</v>
      </c>
      <c r="E34" s="435" t="s">
        <v>42</v>
      </c>
      <c r="F34" s="992"/>
      <c r="G34" s="464"/>
      <c r="H34" s="464">
        <f>IFERROR(#REF!*G34,0)</f>
        <v>0</v>
      </c>
      <c r="I34" s="429"/>
      <c r="J34" s="429"/>
      <c r="K34" s="464"/>
      <c r="L34" s="438"/>
      <c r="M34" s="900">
        <f t="shared" si="10"/>
        <v>0</v>
      </c>
      <c r="N34" s="901">
        <f t="shared" si="11"/>
        <v>0</v>
      </c>
      <c r="O34" s="438">
        <f>IFERROR(LOOKUP(1,0/((印刷機資料庫!$F$158:$F$169=F34)*(印刷機資料庫!$G$158:$G$169=J34)),印刷機資料庫!$J$158:$J$169),0)</f>
        <v>0</v>
      </c>
      <c r="P34" s="462"/>
      <c r="Q34" s="442"/>
      <c r="R34" s="438">
        <f>IFERROR(LOOKUP(1,0/((印刷機資料庫!$F$158:$F$169=F34)*(印刷機資料庫!$G$158:$G$169=J34)),印刷機資料庫!$I$158:$I$169),0)</f>
        <v>0</v>
      </c>
      <c r="S34" s="900">
        <f>IFERROR(LOOKUP(1,0/((印刷機資料庫!$F$158:$F$169=F34)*(印刷機資料庫!$G$158:$G$169=J34)),印刷機資料庫!$K$158:$K$169),0)</f>
        <v>0</v>
      </c>
      <c r="T34" s="898">
        <f t="shared" si="6"/>
        <v>0</v>
      </c>
      <c r="U34" s="923">
        <f t="shared" si="7"/>
        <v>0</v>
      </c>
      <c r="V34" s="898">
        <f t="shared" si="8"/>
        <v>0</v>
      </c>
      <c r="W34" s="952"/>
      <c r="X34" s="899">
        <f t="shared" si="9"/>
        <v>0</v>
      </c>
      <c r="Y34" s="438"/>
      <c r="Z34" s="482"/>
      <c r="AA34" s="465"/>
      <c r="AB34" s="438"/>
      <c r="AC34" s="438"/>
    </row>
    <row r="35" spans="1:29" s="433" customFormat="1" ht="15.75">
      <c r="A35" s="581">
        <v>11</v>
      </c>
      <c r="B35" s="581">
        <v>15</v>
      </c>
      <c r="C35" s="581" t="s">
        <v>632</v>
      </c>
      <c r="D35" s="889" t="s">
        <v>0</v>
      </c>
      <c r="E35" s="435" t="s">
        <v>42</v>
      </c>
      <c r="F35" s="992"/>
      <c r="G35" s="464"/>
      <c r="H35" s="464">
        <f>IFERROR(#REF!*G35,0)</f>
        <v>0</v>
      </c>
      <c r="I35" s="429"/>
      <c r="J35" s="429"/>
      <c r="K35" s="464"/>
      <c r="L35" s="438"/>
      <c r="M35" s="900">
        <f t="shared" si="10"/>
        <v>0</v>
      </c>
      <c r="N35" s="901">
        <f t="shared" si="11"/>
        <v>0</v>
      </c>
      <c r="O35" s="438">
        <f>IFERROR(LOOKUP(1,0/((印刷機資料庫!$F$158:$F$169=F35)*(印刷機資料庫!$G$158:$G$169=J35)),印刷機資料庫!$J$158:$J$169),0)</f>
        <v>0</v>
      </c>
      <c r="P35" s="462"/>
      <c r="Q35" s="442"/>
      <c r="R35" s="438">
        <f>IFERROR(LOOKUP(1,0/((印刷機資料庫!$F$158:$F$169=F35)*(印刷機資料庫!$G$158:$G$169=J35)),印刷機資料庫!$I$158:$I$169),0)</f>
        <v>0</v>
      </c>
      <c r="S35" s="900">
        <f>IFERROR(LOOKUP(1,0/((印刷機資料庫!$F$158:$F$169=F35)*(印刷機資料庫!$G$158:$G$169=J35)),印刷機資料庫!$K$158:$K$169),0)</f>
        <v>0</v>
      </c>
      <c r="T35" s="898">
        <f t="shared" si="6"/>
        <v>0</v>
      </c>
      <c r="U35" s="923">
        <f t="shared" si="7"/>
        <v>0</v>
      </c>
      <c r="V35" s="898">
        <f t="shared" si="8"/>
        <v>0</v>
      </c>
      <c r="W35" s="952"/>
      <c r="X35" s="899">
        <f t="shared" si="9"/>
        <v>0</v>
      </c>
      <c r="Y35" s="438"/>
      <c r="Z35" s="482"/>
      <c r="AA35" s="465"/>
      <c r="AB35" s="438"/>
      <c r="AC35" s="438"/>
    </row>
    <row r="36" spans="1:29" s="433" customFormat="1" ht="15.75">
      <c r="A36" s="581">
        <v>11</v>
      </c>
      <c r="B36" s="581">
        <v>15</v>
      </c>
      <c r="C36" s="581" t="s">
        <v>632</v>
      </c>
      <c r="D36" s="889" t="s">
        <v>0</v>
      </c>
      <c r="E36" s="435" t="s">
        <v>42</v>
      </c>
      <c r="F36" s="992"/>
      <c r="G36" s="464"/>
      <c r="H36" s="464">
        <f>IFERROR(#REF!*G36,0)</f>
        <v>0</v>
      </c>
      <c r="I36" s="429"/>
      <c r="J36" s="429"/>
      <c r="K36" s="464"/>
      <c r="L36" s="438"/>
      <c r="M36" s="900">
        <f t="shared" si="10"/>
        <v>0</v>
      </c>
      <c r="N36" s="901">
        <f t="shared" si="11"/>
        <v>0</v>
      </c>
      <c r="O36" s="438">
        <f>IFERROR(LOOKUP(1,0/((印刷機資料庫!$F$158:$F$169=F36)*(印刷機資料庫!$G$158:$G$169=J36)),印刷機資料庫!$J$158:$J$169),0)</f>
        <v>0</v>
      </c>
      <c r="P36" s="462"/>
      <c r="Q36" s="442"/>
      <c r="R36" s="438">
        <f>IFERROR(LOOKUP(1,0/((印刷機資料庫!$F$158:$F$169=F36)*(印刷機資料庫!$G$158:$G$169=J36)),印刷機資料庫!$I$158:$I$169),0)</f>
        <v>0</v>
      </c>
      <c r="S36" s="900">
        <f>IFERROR(LOOKUP(1,0/((印刷機資料庫!$F$158:$F$169=F36)*(印刷機資料庫!$G$158:$G$169=J36)),印刷機資料庫!$K$158:$K$169),0)</f>
        <v>0</v>
      </c>
      <c r="T36" s="898">
        <f t="shared" si="6"/>
        <v>0</v>
      </c>
      <c r="U36" s="923">
        <f t="shared" si="7"/>
        <v>0</v>
      </c>
      <c r="V36" s="898">
        <f t="shared" si="8"/>
        <v>0</v>
      </c>
      <c r="W36" s="952"/>
      <c r="X36" s="899">
        <f t="shared" si="9"/>
        <v>0</v>
      </c>
      <c r="Y36" s="438"/>
      <c r="Z36" s="482"/>
      <c r="AA36" s="465"/>
      <c r="AB36" s="438"/>
      <c r="AC36" s="438"/>
    </row>
    <row r="37" spans="1:29" s="433" customFormat="1" ht="15.75">
      <c r="A37" s="581">
        <v>11</v>
      </c>
      <c r="B37" s="581">
        <v>15</v>
      </c>
      <c r="C37" s="581" t="s">
        <v>632</v>
      </c>
      <c r="D37" s="889" t="s">
        <v>0</v>
      </c>
      <c r="E37" s="435" t="s">
        <v>42</v>
      </c>
      <c r="F37" s="992"/>
      <c r="G37" s="464"/>
      <c r="H37" s="464">
        <f>IFERROR(#REF!*G37,0)</f>
        <v>0</v>
      </c>
      <c r="I37" s="429"/>
      <c r="J37" s="429"/>
      <c r="K37" s="464"/>
      <c r="L37" s="438"/>
      <c r="M37" s="900">
        <f t="shared" si="10"/>
        <v>0</v>
      </c>
      <c r="N37" s="901">
        <f t="shared" si="11"/>
        <v>0</v>
      </c>
      <c r="O37" s="438">
        <f>IFERROR(LOOKUP(1,0/((印刷機資料庫!$F$158:$F$169=F37)*(印刷機資料庫!$G$158:$G$169=J37)),印刷機資料庫!$J$158:$J$169),0)</f>
        <v>0</v>
      </c>
      <c r="P37" s="462"/>
      <c r="Q37" s="442"/>
      <c r="R37" s="438">
        <f>IFERROR(LOOKUP(1,0/((印刷機資料庫!$F$158:$F$169=F37)*(印刷機資料庫!$G$158:$G$169=J37)),印刷機資料庫!$I$158:$I$169),0)</f>
        <v>0</v>
      </c>
      <c r="S37" s="900">
        <f>IFERROR(LOOKUP(1,0/((印刷機資料庫!$F$158:$F$169=F37)*(印刷機資料庫!$G$158:$G$169=J37)),印刷機資料庫!$K$158:$K$169),0)</f>
        <v>0</v>
      </c>
      <c r="T37" s="898">
        <f t="shared" si="6"/>
        <v>0</v>
      </c>
      <c r="U37" s="923">
        <f t="shared" si="7"/>
        <v>0</v>
      </c>
      <c r="V37" s="898">
        <f t="shared" si="8"/>
        <v>0</v>
      </c>
      <c r="W37" s="952"/>
      <c r="X37" s="899">
        <f t="shared" si="9"/>
        <v>0</v>
      </c>
      <c r="Y37" s="438"/>
      <c r="Z37" s="482"/>
      <c r="AA37" s="465"/>
      <c r="AB37" s="438"/>
      <c r="AC37" s="438"/>
    </row>
    <row r="38" spans="1:29" s="433" customFormat="1" ht="15.75">
      <c r="A38" s="581">
        <v>11</v>
      </c>
      <c r="B38" s="581">
        <v>16</v>
      </c>
      <c r="C38" s="581" t="s">
        <v>667</v>
      </c>
      <c r="D38" s="889" t="s">
        <v>0</v>
      </c>
      <c r="E38" s="435" t="s">
        <v>42</v>
      </c>
      <c r="F38" s="992"/>
      <c r="G38" s="464"/>
      <c r="H38" s="464">
        <f>IFERROR(#REF!*G38,0)</f>
        <v>0</v>
      </c>
      <c r="I38" s="429"/>
      <c r="J38" s="429"/>
      <c r="K38" s="464"/>
      <c r="L38" s="438"/>
      <c r="M38" s="900">
        <f t="shared" si="10"/>
        <v>0</v>
      </c>
      <c r="N38" s="901">
        <f t="shared" si="11"/>
        <v>0</v>
      </c>
      <c r="O38" s="438">
        <f>IFERROR(LOOKUP(1,0/((印刷機資料庫!$F$158:$F$169=F38)*(印刷機資料庫!$G$158:$G$169=J38)),印刷機資料庫!$J$158:$J$169),0)</f>
        <v>0</v>
      </c>
      <c r="P38" s="462"/>
      <c r="Q38" s="442"/>
      <c r="R38" s="438">
        <f>IFERROR(LOOKUP(1,0/((印刷機資料庫!$F$158:$F$169=F38)*(印刷機資料庫!$G$158:$G$169=J38)),印刷機資料庫!$I$158:$I$169),0)</f>
        <v>0</v>
      </c>
      <c r="S38" s="900">
        <f>IFERROR(LOOKUP(1,0/((印刷機資料庫!$F$158:$F$169=F38)*(印刷機資料庫!$G$158:$G$169=J38)),印刷機資料庫!$K$158:$K$169),0)</f>
        <v>0</v>
      </c>
      <c r="T38" s="898">
        <f t="shared" si="6"/>
        <v>0</v>
      </c>
      <c r="U38" s="923">
        <f t="shared" si="7"/>
        <v>0</v>
      </c>
      <c r="V38" s="898">
        <f t="shared" si="8"/>
        <v>0</v>
      </c>
      <c r="W38" s="952"/>
      <c r="X38" s="899">
        <f t="shared" si="9"/>
        <v>0</v>
      </c>
      <c r="Y38" s="438"/>
      <c r="Z38" s="482"/>
      <c r="AA38" s="465"/>
      <c r="AB38" s="438"/>
      <c r="AC38" s="438"/>
    </row>
    <row r="39" spans="1:29" s="433" customFormat="1" ht="15.75">
      <c r="A39" s="581">
        <v>11</v>
      </c>
      <c r="B39" s="581">
        <v>16</v>
      </c>
      <c r="C39" s="581" t="s">
        <v>667</v>
      </c>
      <c r="D39" s="889" t="s">
        <v>0</v>
      </c>
      <c r="E39" s="435" t="s">
        <v>42</v>
      </c>
      <c r="F39" s="992"/>
      <c r="G39" s="464"/>
      <c r="H39" s="464">
        <f>IFERROR(#REF!*G39,0)</f>
        <v>0</v>
      </c>
      <c r="I39" s="429"/>
      <c r="J39" s="429"/>
      <c r="K39" s="464"/>
      <c r="L39" s="438"/>
      <c r="M39" s="900">
        <f t="shared" si="10"/>
        <v>0</v>
      </c>
      <c r="N39" s="901">
        <f t="shared" si="11"/>
        <v>0</v>
      </c>
      <c r="O39" s="438">
        <f>IFERROR(LOOKUP(1,0/((印刷機資料庫!$F$158:$F$169=F39)*(印刷機資料庫!$G$158:$G$169=J39)),印刷機資料庫!$J$158:$J$169),0)</f>
        <v>0</v>
      </c>
      <c r="P39" s="462"/>
      <c r="Q39" s="442"/>
      <c r="R39" s="438">
        <f>IFERROR(LOOKUP(1,0/((印刷機資料庫!$F$158:$F$169=F39)*(印刷機資料庫!$G$158:$G$169=J39)),印刷機資料庫!$I$158:$I$169),0)</f>
        <v>0</v>
      </c>
      <c r="S39" s="900">
        <f>IFERROR(LOOKUP(1,0/((印刷機資料庫!$F$158:$F$169=F39)*(印刷機資料庫!$G$158:$G$169=J39)),印刷機資料庫!$K$158:$K$169),0)</f>
        <v>0</v>
      </c>
      <c r="T39" s="898">
        <f>IFERROR(L39/S39,0)</f>
        <v>0</v>
      </c>
      <c r="U39" s="923">
        <f t="shared" si="7"/>
        <v>0</v>
      </c>
      <c r="V39" s="898">
        <f t="shared" si="8"/>
        <v>0</v>
      </c>
      <c r="W39" s="952"/>
      <c r="X39" s="899">
        <f t="shared" si="9"/>
        <v>0</v>
      </c>
      <c r="Y39" s="438"/>
      <c r="Z39" s="482"/>
      <c r="AA39" s="465"/>
      <c r="AB39" s="438"/>
      <c r="AC39" s="438"/>
    </row>
    <row r="40" spans="1:29" s="433" customFormat="1" ht="15.75">
      <c r="A40" s="581">
        <v>11</v>
      </c>
      <c r="B40" s="581">
        <v>16</v>
      </c>
      <c r="C40" s="581" t="s">
        <v>667</v>
      </c>
      <c r="D40" s="889" t="s">
        <v>0</v>
      </c>
      <c r="E40" s="435" t="s">
        <v>42</v>
      </c>
      <c r="F40" s="992"/>
      <c r="G40" s="464"/>
      <c r="H40" s="464">
        <f>IFERROR(#REF!*G40,0)</f>
        <v>0</v>
      </c>
      <c r="I40" s="429"/>
      <c r="J40" s="429"/>
      <c r="K40" s="464"/>
      <c r="L40" s="438"/>
      <c r="M40" s="900">
        <f t="shared" si="10"/>
        <v>0</v>
      </c>
      <c r="N40" s="901">
        <f t="shared" si="11"/>
        <v>0</v>
      </c>
      <c r="O40" s="438">
        <f>IFERROR(LOOKUP(1,0/((印刷機資料庫!$F$158:$F$169=F40)*(印刷機資料庫!$G$158:$G$169=J40)),印刷機資料庫!$J$158:$J$169),0)</f>
        <v>0</v>
      </c>
      <c r="P40" s="462"/>
      <c r="Q40" s="442"/>
      <c r="R40" s="438">
        <f>IFERROR(LOOKUP(1,0/((印刷機資料庫!$F$158:$F$169=F40)*(印刷機資料庫!$G$158:$G$169=J40)),印刷機資料庫!$I$158:$I$169),0)</f>
        <v>0</v>
      </c>
      <c r="S40" s="900">
        <f>IFERROR(LOOKUP(1,0/((印刷機資料庫!$F$158:$F$169=F40)*(印刷機資料庫!$G$158:$G$169=J40)),印刷機資料庫!$K$158:$K$169),0)</f>
        <v>0</v>
      </c>
      <c r="T40" s="898">
        <f t="shared" si="6"/>
        <v>0</v>
      </c>
      <c r="U40" s="923">
        <f t="shared" si="7"/>
        <v>0</v>
      </c>
      <c r="V40" s="898">
        <f t="shared" si="8"/>
        <v>0</v>
      </c>
      <c r="W40" s="952"/>
      <c r="X40" s="899">
        <f t="shared" si="9"/>
        <v>0</v>
      </c>
      <c r="Y40" s="438"/>
      <c r="Z40" s="482"/>
      <c r="AA40" s="465"/>
      <c r="AB40" s="438"/>
      <c r="AC40" s="438"/>
    </row>
    <row r="41" spans="1:29" s="433" customFormat="1" ht="15.75">
      <c r="A41" s="581">
        <v>11</v>
      </c>
      <c r="B41" s="581">
        <v>17</v>
      </c>
      <c r="C41" s="581" t="s">
        <v>669</v>
      </c>
      <c r="D41" s="889" t="s">
        <v>0</v>
      </c>
      <c r="E41" s="435" t="s">
        <v>42</v>
      </c>
      <c r="F41" s="992"/>
      <c r="G41" s="464"/>
      <c r="H41" s="464">
        <f>IFERROR(#REF!*G41,0)</f>
        <v>0</v>
      </c>
      <c r="I41" s="429"/>
      <c r="J41" s="429"/>
      <c r="K41" s="464"/>
      <c r="L41" s="438"/>
      <c r="M41" s="900">
        <f t="shared" si="10"/>
        <v>0</v>
      </c>
      <c r="N41" s="901">
        <f t="shared" si="11"/>
        <v>0</v>
      </c>
      <c r="O41" s="438">
        <f>IFERROR(LOOKUP(1,0/((印刷機資料庫!$F$158:$F$169=F41)*(印刷機資料庫!$G$158:$G$169=J41)),印刷機資料庫!$J$158:$J$169),0)</f>
        <v>0</v>
      </c>
      <c r="P41" s="462"/>
      <c r="Q41" s="442"/>
      <c r="R41" s="438">
        <f>IFERROR(LOOKUP(1,0/((印刷機資料庫!$F$158:$F$169=F41)*(印刷機資料庫!$G$158:$G$169=J41)),印刷機資料庫!$I$158:$I$169),0)</f>
        <v>0</v>
      </c>
      <c r="S41" s="900">
        <f>IFERROR(LOOKUP(1,0/((印刷機資料庫!$F$158:$F$169=F41)*(印刷機資料庫!$G$158:$G$169=J41)),印刷機資料庫!$K$158:$K$169),0)</f>
        <v>0</v>
      </c>
      <c r="T41" s="898">
        <f t="shared" si="6"/>
        <v>0</v>
      </c>
      <c r="U41" s="923">
        <f t="shared" si="7"/>
        <v>0</v>
      </c>
      <c r="V41" s="898">
        <f t="shared" si="8"/>
        <v>0</v>
      </c>
      <c r="W41" s="952"/>
      <c r="X41" s="899">
        <f t="shared" si="9"/>
        <v>0</v>
      </c>
      <c r="Y41" s="438"/>
      <c r="Z41" s="482"/>
      <c r="AA41" s="465"/>
      <c r="AB41" s="438"/>
      <c r="AC41" s="438"/>
    </row>
    <row r="42" spans="1:29" s="433" customFormat="1" ht="15.75">
      <c r="A42" s="581">
        <v>11</v>
      </c>
      <c r="B42" s="581">
        <v>18</v>
      </c>
      <c r="C42" s="581" t="s">
        <v>670</v>
      </c>
      <c r="D42" s="889" t="s">
        <v>0</v>
      </c>
      <c r="E42" s="435" t="s">
        <v>42</v>
      </c>
      <c r="F42" s="992"/>
      <c r="G42" s="464"/>
      <c r="H42" s="464">
        <f>IFERROR(#REF!*G42,0)</f>
        <v>0</v>
      </c>
      <c r="I42" s="429"/>
      <c r="J42" s="429"/>
      <c r="K42" s="464"/>
      <c r="L42" s="438"/>
      <c r="M42" s="900">
        <f t="shared" si="10"/>
        <v>0</v>
      </c>
      <c r="N42" s="901">
        <f t="shared" si="11"/>
        <v>0</v>
      </c>
      <c r="O42" s="438">
        <f>IFERROR(LOOKUP(1,0/((印刷機資料庫!$F$158:$F$169=F42)*(印刷機資料庫!$G$158:$G$169=J42)),印刷機資料庫!$J$158:$J$169),0)</f>
        <v>0</v>
      </c>
      <c r="P42" s="462"/>
      <c r="Q42" s="442"/>
      <c r="R42" s="438">
        <f>IFERROR(LOOKUP(1,0/((印刷機資料庫!$F$158:$F$169=F42)*(印刷機資料庫!$G$158:$G$169=J42)),印刷機資料庫!$I$158:$I$169),0)</f>
        <v>0</v>
      </c>
      <c r="S42" s="900">
        <f>IFERROR(LOOKUP(1,0/((印刷機資料庫!$F$158:$F$169=F42)*(印刷機資料庫!$G$158:$G$169=J42)),印刷機資料庫!$K$158:$K$169),0)</f>
        <v>0</v>
      </c>
      <c r="T42" s="898">
        <f t="shared" si="6"/>
        <v>0</v>
      </c>
      <c r="U42" s="923">
        <f t="shared" si="7"/>
        <v>0</v>
      </c>
      <c r="V42" s="898">
        <f t="shared" si="8"/>
        <v>0</v>
      </c>
      <c r="W42" s="952"/>
      <c r="X42" s="899">
        <f t="shared" si="9"/>
        <v>0</v>
      </c>
      <c r="Y42" s="438"/>
      <c r="Z42" s="482"/>
      <c r="AA42" s="465"/>
      <c r="AB42" s="438"/>
      <c r="AC42" s="438"/>
    </row>
    <row r="43" spans="1:29" s="433" customFormat="1" ht="15.75">
      <c r="A43" s="581">
        <v>11</v>
      </c>
      <c r="B43" s="581">
        <v>19</v>
      </c>
      <c r="C43" s="581" t="s">
        <v>671</v>
      </c>
      <c r="D43" s="889" t="s">
        <v>0</v>
      </c>
      <c r="E43" s="435" t="s">
        <v>42</v>
      </c>
      <c r="F43" s="992"/>
      <c r="G43" s="464"/>
      <c r="H43" s="464">
        <f>IFERROR(#REF!*G43,0)</f>
        <v>0</v>
      </c>
      <c r="I43" s="429"/>
      <c r="J43" s="429"/>
      <c r="K43" s="464"/>
      <c r="L43" s="438"/>
      <c r="M43" s="900">
        <f t="shared" si="10"/>
        <v>0</v>
      </c>
      <c r="N43" s="901">
        <f t="shared" si="11"/>
        <v>0</v>
      </c>
      <c r="O43" s="438">
        <f>IFERROR(LOOKUP(1,0/((印刷機資料庫!$F$158:$F$169=F43)*(印刷機資料庫!$G$158:$G$169=J43)),印刷機資料庫!$J$158:$J$169),0)</f>
        <v>0</v>
      </c>
      <c r="P43" s="462"/>
      <c r="Q43" s="442"/>
      <c r="R43" s="438">
        <f>IFERROR(LOOKUP(1,0/((印刷機資料庫!$F$158:$F$169=F43)*(印刷機資料庫!$G$158:$G$169=J43)),印刷機資料庫!$I$158:$I$169),0)</f>
        <v>0</v>
      </c>
      <c r="S43" s="900">
        <f>IFERROR(LOOKUP(1,0/((印刷機資料庫!$F$158:$F$169=F43)*(印刷機資料庫!$G$158:$G$169=J43)),印刷機資料庫!$K$158:$K$169),0)</f>
        <v>0</v>
      </c>
      <c r="T43" s="898">
        <f t="shared" si="6"/>
        <v>0</v>
      </c>
      <c r="U43" s="923">
        <f t="shared" si="7"/>
        <v>0</v>
      </c>
      <c r="V43" s="898">
        <f t="shared" si="8"/>
        <v>0</v>
      </c>
      <c r="W43" s="952"/>
      <c r="X43" s="899">
        <f t="shared" si="9"/>
        <v>0</v>
      </c>
      <c r="Y43" s="438"/>
      <c r="Z43" s="482"/>
      <c r="AA43" s="465"/>
      <c r="AB43" s="438"/>
      <c r="AC43" s="438"/>
    </row>
    <row r="44" spans="1:29" s="433" customFormat="1" ht="15.75">
      <c r="A44" s="434">
        <v>11</v>
      </c>
      <c r="B44" s="434">
        <v>20</v>
      </c>
      <c r="C44" s="581" t="s">
        <v>672</v>
      </c>
      <c r="D44" s="889" t="s">
        <v>0</v>
      </c>
      <c r="E44" s="435" t="s">
        <v>42</v>
      </c>
      <c r="F44" s="992"/>
      <c r="G44" s="464"/>
      <c r="H44" s="464">
        <f>IFERROR(#REF!*G44,0)</f>
        <v>0</v>
      </c>
      <c r="I44" s="429"/>
      <c r="J44" s="429"/>
      <c r="K44" s="464"/>
      <c r="L44" s="438"/>
      <c r="M44" s="900">
        <f t="shared" si="10"/>
        <v>0</v>
      </c>
      <c r="N44" s="901">
        <f t="shared" si="11"/>
        <v>0</v>
      </c>
      <c r="O44" s="438">
        <f>IFERROR(LOOKUP(1,0/((印刷機資料庫!$F$158:$F$169=F44)*(印刷機資料庫!$G$158:$G$169=J44)),印刷機資料庫!$J$158:$J$169),0)</f>
        <v>0</v>
      </c>
      <c r="P44" s="462"/>
      <c r="Q44" s="442"/>
      <c r="R44" s="438">
        <f>IFERROR(LOOKUP(1,0/((印刷機資料庫!$F$158:$F$169=F44)*(印刷機資料庫!$G$158:$G$169=J44)),印刷機資料庫!$I$158:$I$169),0)</f>
        <v>0</v>
      </c>
      <c r="S44" s="900">
        <f>IFERROR(LOOKUP(1,0/((印刷機資料庫!$F$158:$F$169=F44)*(印刷機資料庫!$G$158:$G$169=J44)),印刷機資料庫!$K$158:$K$169),0)</f>
        <v>0</v>
      </c>
      <c r="T44" s="898">
        <f t="shared" si="6"/>
        <v>0</v>
      </c>
      <c r="U44" s="923">
        <f t="shared" si="7"/>
        <v>0</v>
      </c>
      <c r="V44" s="898">
        <f t="shared" si="8"/>
        <v>0</v>
      </c>
      <c r="W44" s="952"/>
      <c r="X44" s="899">
        <f t="shared" si="9"/>
        <v>0</v>
      </c>
      <c r="Y44" s="438"/>
      <c r="Z44" s="482"/>
      <c r="AA44" s="465"/>
      <c r="AB44" s="438"/>
      <c r="AC44" s="438"/>
    </row>
    <row r="45" spans="1:29" s="433" customFormat="1" ht="15.75">
      <c r="A45" s="434">
        <v>11</v>
      </c>
      <c r="B45" s="434">
        <v>21</v>
      </c>
      <c r="C45" s="581" t="s">
        <v>673</v>
      </c>
      <c r="D45" s="889" t="s">
        <v>0</v>
      </c>
      <c r="E45" s="435" t="s">
        <v>42</v>
      </c>
      <c r="F45" s="992"/>
      <c r="G45" s="464"/>
      <c r="H45" s="464">
        <f>IFERROR(#REF!*G45,0)</f>
        <v>0</v>
      </c>
      <c r="I45" s="429"/>
      <c r="J45" s="429"/>
      <c r="K45" s="464"/>
      <c r="L45" s="438"/>
      <c r="M45" s="900">
        <f t="shared" si="10"/>
        <v>0</v>
      </c>
      <c r="N45" s="901">
        <f t="shared" si="11"/>
        <v>0</v>
      </c>
      <c r="O45" s="438">
        <f>IFERROR(LOOKUP(1,0/((印刷機資料庫!$F$158:$F$169=F45)*(印刷機資料庫!$G$158:$G$169=J45)),印刷機資料庫!$J$158:$J$169),0)</f>
        <v>0</v>
      </c>
      <c r="P45" s="462"/>
      <c r="Q45" s="442"/>
      <c r="R45" s="438">
        <f>IFERROR(LOOKUP(1,0/((印刷機資料庫!$F$158:$F$169=F45)*(印刷機資料庫!$G$158:$G$169=J45)),印刷機資料庫!$I$158:$I$169),0)</f>
        <v>0</v>
      </c>
      <c r="S45" s="900">
        <f>IFERROR(LOOKUP(1,0/((印刷機資料庫!$F$158:$F$169=F45)*(印刷機資料庫!$G$158:$G$169=J45)),印刷機資料庫!$K$158:$K$169),0)</f>
        <v>0</v>
      </c>
      <c r="T45" s="898">
        <f t="shared" si="6"/>
        <v>0</v>
      </c>
      <c r="U45" s="923">
        <f t="shared" si="7"/>
        <v>0</v>
      </c>
      <c r="V45" s="898">
        <f t="shared" si="8"/>
        <v>0</v>
      </c>
      <c r="W45" s="952"/>
      <c r="X45" s="899">
        <f t="shared" si="9"/>
        <v>0</v>
      </c>
      <c r="Y45" s="438"/>
      <c r="Z45" s="482"/>
      <c r="AA45" s="465"/>
      <c r="AB45" s="438"/>
      <c r="AC45" s="438"/>
    </row>
    <row r="46" spans="1:29" s="433" customFormat="1" ht="15.75">
      <c r="A46" s="434">
        <v>11</v>
      </c>
      <c r="B46" s="434">
        <v>22</v>
      </c>
      <c r="C46" s="581" t="s">
        <v>632</v>
      </c>
      <c r="D46" s="889" t="s">
        <v>0</v>
      </c>
      <c r="E46" s="435" t="s">
        <v>42</v>
      </c>
      <c r="F46" s="992"/>
      <c r="G46" s="464"/>
      <c r="H46" s="464">
        <f>IFERROR(#REF!*G46,0)</f>
        <v>0</v>
      </c>
      <c r="I46" s="429"/>
      <c r="J46" s="429"/>
      <c r="K46" s="464"/>
      <c r="L46" s="438"/>
      <c r="M46" s="900">
        <f t="shared" si="10"/>
        <v>0</v>
      </c>
      <c r="N46" s="901">
        <f t="shared" si="11"/>
        <v>0</v>
      </c>
      <c r="O46" s="438">
        <f>IFERROR(LOOKUP(1,0/((印刷機資料庫!$F$158:$F$169=F46)*(印刷機資料庫!$G$158:$G$169=J46)),印刷機資料庫!$J$158:$J$169),0)</f>
        <v>0</v>
      </c>
      <c r="P46" s="462"/>
      <c r="Q46" s="442"/>
      <c r="R46" s="438">
        <f>IFERROR(LOOKUP(1,0/((印刷機資料庫!$F$158:$F$169=F46)*(印刷機資料庫!$G$158:$G$169=J46)),印刷機資料庫!$I$158:$I$169),0)</f>
        <v>0</v>
      </c>
      <c r="S46" s="900">
        <f>IFERROR(LOOKUP(1,0/((印刷機資料庫!$F$158:$F$169=F46)*(印刷機資料庫!$G$158:$G$169=J46)),印刷機資料庫!$K$158:$K$169),0)</f>
        <v>0</v>
      </c>
      <c r="T46" s="898">
        <f>IFERROR(L46/S46,0)</f>
        <v>0</v>
      </c>
      <c r="U46" s="923">
        <f t="shared" si="7"/>
        <v>0</v>
      </c>
      <c r="V46" s="898">
        <f t="shared" si="8"/>
        <v>0</v>
      </c>
      <c r="W46" s="952"/>
      <c r="X46" s="899">
        <f t="shared" si="9"/>
        <v>0</v>
      </c>
      <c r="Y46" s="438"/>
      <c r="Z46" s="482"/>
      <c r="AA46" s="465"/>
      <c r="AB46" s="438"/>
      <c r="AC46" s="438"/>
    </row>
    <row r="47" spans="1:29" s="433" customFormat="1" ht="15.75">
      <c r="A47" s="434">
        <v>11</v>
      </c>
      <c r="B47" s="434">
        <v>22</v>
      </c>
      <c r="C47" s="581" t="s">
        <v>632</v>
      </c>
      <c r="D47" s="889" t="s">
        <v>0</v>
      </c>
      <c r="E47" s="435" t="s">
        <v>42</v>
      </c>
      <c r="F47" s="992"/>
      <c r="G47" s="464"/>
      <c r="H47" s="464">
        <f>IFERROR(#REF!*G47,0)</f>
        <v>0</v>
      </c>
      <c r="I47" s="429"/>
      <c r="J47" s="429"/>
      <c r="K47" s="464"/>
      <c r="L47" s="438"/>
      <c r="M47" s="900">
        <f t="shared" si="10"/>
        <v>0</v>
      </c>
      <c r="N47" s="901">
        <f t="shared" si="11"/>
        <v>0</v>
      </c>
      <c r="O47" s="438">
        <f>IFERROR(LOOKUP(1,0/((印刷機資料庫!$F$158:$F$169=F47)*(印刷機資料庫!$G$158:$G$169=J47)),印刷機資料庫!$J$158:$J$169),0)</f>
        <v>0</v>
      </c>
      <c r="P47" s="462"/>
      <c r="Q47" s="442"/>
      <c r="R47" s="438">
        <f>IFERROR(LOOKUP(1,0/((印刷機資料庫!$F$158:$F$169=F47)*(印刷機資料庫!$G$158:$G$169=J47)),印刷機資料庫!$I$158:$I$169),0)</f>
        <v>0</v>
      </c>
      <c r="S47" s="900">
        <f>IFERROR(LOOKUP(1,0/((印刷機資料庫!$F$158:$F$169=F47)*(印刷機資料庫!$G$158:$G$169=J47)),印刷機資料庫!$K$158:$K$169),0)</f>
        <v>0</v>
      </c>
      <c r="T47" s="898">
        <f t="shared" si="6"/>
        <v>0</v>
      </c>
      <c r="U47" s="923">
        <f t="shared" si="7"/>
        <v>0</v>
      </c>
      <c r="V47" s="898">
        <f t="shared" si="8"/>
        <v>0</v>
      </c>
      <c r="W47" s="952"/>
      <c r="X47" s="899">
        <f t="shared" si="9"/>
        <v>0</v>
      </c>
      <c r="Y47" s="438"/>
      <c r="Z47" s="482"/>
      <c r="AA47" s="465"/>
      <c r="AB47" s="438"/>
      <c r="AC47" s="438"/>
    </row>
    <row r="48" spans="1:29" s="433" customFormat="1" ht="15.75">
      <c r="A48" s="434">
        <v>11</v>
      </c>
      <c r="B48" s="434">
        <v>23</v>
      </c>
      <c r="C48" s="581" t="s">
        <v>667</v>
      </c>
      <c r="D48" s="889" t="s">
        <v>0</v>
      </c>
      <c r="E48" s="435" t="s">
        <v>42</v>
      </c>
      <c r="F48" s="992"/>
      <c r="G48" s="464"/>
      <c r="H48" s="464">
        <f>IFERROR(#REF!*G48,0)</f>
        <v>0</v>
      </c>
      <c r="I48" s="429"/>
      <c r="J48" s="429"/>
      <c r="K48" s="464"/>
      <c r="L48" s="438"/>
      <c r="M48" s="900">
        <f t="shared" si="10"/>
        <v>0</v>
      </c>
      <c r="N48" s="901">
        <f t="shared" si="11"/>
        <v>0</v>
      </c>
      <c r="O48" s="438">
        <f>IFERROR(LOOKUP(1,0/((印刷機資料庫!$F$158:$F$169=F48)*(印刷機資料庫!$G$158:$G$169=J48)),印刷機資料庫!$J$158:$J$169),0)</f>
        <v>0</v>
      </c>
      <c r="P48" s="462"/>
      <c r="Q48" s="442"/>
      <c r="R48" s="438">
        <f>IFERROR(LOOKUP(1,0/((印刷機資料庫!$F$158:$F$169=F48)*(印刷機資料庫!$G$158:$G$169=J48)),印刷機資料庫!$I$158:$I$169),0)</f>
        <v>0</v>
      </c>
      <c r="S48" s="900">
        <f>IFERROR(LOOKUP(1,0/((印刷機資料庫!$F$158:$F$169=F48)*(印刷機資料庫!$G$158:$G$169=J48)),印刷機資料庫!$K$158:$K$169),0)</f>
        <v>0</v>
      </c>
      <c r="T48" s="898">
        <f t="shared" si="6"/>
        <v>0</v>
      </c>
      <c r="U48" s="923">
        <f t="shared" si="7"/>
        <v>0</v>
      </c>
      <c r="V48" s="898">
        <f t="shared" si="8"/>
        <v>0</v>
      </c>
      <c r="W48" s="952"/>
      <c r="X48" s="899">
        <f t="shared" si="9"/>
        <v>0</v>
      </c>
      <c r="Y48" s="438"/>
      <c r="Z48" s="482"/>
      <c r="AA48" s="465"/>
      <c r="AB48" s="438"/>
      <c r="AC48" s="438"/>
    </row>
    <row r="49" spans="1:30" s="433" customFormat="1" ht="15.75">
      <c r="A49" s="434">
        <v>11</v>
      </c>
      <c r="B49" s="434">
        <v>23</v>
      </c>
      <c r="C49" s="581" t="s">
        <v>667</v>
      </c>
      <c r="D49" s="889" t="s">
        <v>0</v>
      </c>
      <c r="E49" s="435" t="s">
        <v>42</v>
      </c>
      <c r="F49" s="992"/>
      <c r="G49" s="464"/>
      <c r="H49" s="464">
        <f>IFERROR(#REF!*G49,0)</f>
        <v>0</v>
      </c>
      <c r="I49" s="429"/>
      <c r="J49" s="429"/>
      <c r="K49" s="464"/>
      <c r="L49" s="438"/>
      <c r="M49" s="900">
        <f t="shared" si="10"/>
        <v>0</v>
      </c>
      <c r="N49" s="901">
        <f t="shared" si="11"/>
        <v>0</v>
      </c>
      <c r="O49" s="438">
        <f>IFERROR(LOOKUP(1,0/((印刷機資料庫!$F$158:$F$169=F49)*(印刷機資料庫!$G$158:$G$169=J49)),印刷機資料庫!$J$158:$J$169),0)</f>
        <v>0</v>
      </c>
      <c r="P49" s="462"/>
      <c r="Q49" s="442"/>
      <c r="R49" s="438">
        <f>IFERROR(LOOKUP(1,0/((印刷機資料庫!$F$158:$F$169=F49)*(印刷機資料庫!$G$158:$G$169=J49)),印刷機資料庫!$I$158:$I$169),0)</f>
        <v>0</v>
      </c>
      <c r="S49" s="900">
        <f>IFERROR(LOOKUP(1,0/((印刷機資料庫!$F$158:$F$169=F49)*(印刷機資料庫!$G$158:$G$169=J49)),印刷機資料庫!$K$158:$K$169),0)</f>
        <v>0</v>
      </c>
      <c r="T49" s="898">
        <f>IFERROR(L49/S49,0)</f>
        <v>0</v>
      </c>
      <c r="U49" s="923">
        <f t="shared" si="7"/>
        <v>0</v>
      </c>
      <c r="V49" s="898">
        <f t="shared" si="8"/>
        <v>0</v>
      </c>
      <c r="W49" s="952"/>
      <c r="X49" s="899">
        <f t="shared" si="9"/>
        <v>0</v>
      </c>
      <c r="Y49" s="438"/>
      <c r="Z49" s="482"/>
      <c r="AA49" s="465"/>
      <c r="AB49" s="438"/>
      <c r="AC49" s="438"/>
    </row>
    <row r="50" spans="1:30" s="433" customFormat="1" ht="15.75">
      <c r="A50" s="434">
        <v>11</v>
      </c>
      <c r="B50" s="434">
        <v>23</v>
      </c>
      <c r="C50" s="581" t="s">
        <v>667</v>
      </c>
      <c r="D50" s="889" t="s">
        <v>0</v>
      </c>
      <c r="E50" s="435" t="s">
        <v>42</v>
      </c>
      <c r="F50" s="992"/>
      <c r="G50" s="464"/>
      <c r="H50" s="464">
        <f>IFERROR(#REF!*G50,0)</f>
        <v>0</v>
      </c>
      <c r="I50" s="429"/>
      <c r="J50" s="429"/>
      <c r="K50" s="464"/>
      <c r="L50" s="438"/>
      <c r="M50" s="900">
        <f t="shared" si="10"/>
        <v>0</v>
      </c>
      <c r="N50" s="901">
        <f t="shared" si="11"/>
        <v>0</v>
      </c>
      <c r="O50" s="438">
        <f>IFERROR(LOOKUP(1,0/((印刷機資料庫!$F$158:$F$169=F50)*(印刷機資料庫!$G$158:$G$169=J50)),印刷機資料庫!$J$158:$J$169),0)</f>
        <v>0</v>
      </c>
      <c r="P50" s="462"/>
      <c r="Q50" s="442"/>
      <c r="R50" s="438">
        <f>IFERROR(LOOKUP(1,0/((印刷機資料庫!$F$158:$F$169=F50)*(印刷機資料庫!$G$158:$G$169=J50)),印刷機資料庫!$I$158:$I$169),0)</f>
        <v>0</v>
      </c>
      <c r="S50" s="900">
        <f>IFERROR(LOOKUP(1,0/((印刷機資料庫!$F$158:$F$169=F50)*(印刷機資料庫!$G$158:$G$169=J50)),印刷機資料庫!$K$158:$K$169),0)</f>
        <v>0</v>
      </c>
      <c r="T50" s="898">
        <f t="shared" si="6"/>
        <v>0</v>
      </c>
      <c r="U50" s="923">
        <f t="shared" si="7"/>
        <v>0</v>
      </c>
      <c r="V50" s="898">
        <f t="shared" si="8"/>
        <v>0</v>
      </c>
      <c r="W50" s="952"/>
      <c r="X50" s="899">
        <f t="shared" si="9"/>
        <v>0</v>
      </c>
      <c r="Y50" s="438"/>
      <c r="Z50" s="482"/>
      <c r="AA50" s="465"/>
      <c r="AB50" s="438"/>
      <c r="AC50" s="438"/>
    </row>
    <row r="51" spans="1:30" s="433" customFormat="1" ht="15.75">
      <c r="A51" s="434">
        <v>11</v>
      </c>
      <c r="B51" s="434">
        <v>24</v>
      </c>
      <c r="C51" s="581" t="s">
        <v>669</v>
      </c>
      <c r="D51" s="889" t="s">
        <v>0</v>
      </c>
      <c r="E51" s="435" t="s">
        <v>42</v>
      </c>
      <c r="F51" s="992"/>
      <c r="G51" s="464"/>
      <c r="H51" s="464">
        <f>IFERROR(#REF!*G51,0)</f>
        <v>0</v>
      </c>
      <c r="I51" s="429"/>
      <c r="J51" s="429"/>
      <c r="K51" s="464"/>
      <c r="L51" s="438"/>
      <c r="M51" s="900">
        <f t="shared" si="10"/>
        <v>0</v>
      </c>
      <c r="N51" s="901">
        <f t="shared" si="11"/>
        <v>0</v>
      </c>
      <c r="O51" s="438">
        <f>IFERROR(LOOKUP(1,0/((印刷機資料庫!$F$158:$F$169=F51)*(印刷機資料庫!$G$158:$G$169=J51)),印刷機資料庫!$J$158:$J$169),0)</f>
        <v>0</v>
      </c>
      <c r="P51" s="462"/>
      <c r="Q51" s="442"/>
      <c r="R51" s="438">
        <f>IFERROR(LOOKUP(1,0/((印刷機資料庫!$F$158:$F$169=F51)*(印刷機資料庫!$G$158:$G$169=J51)),印刷機資料庫!$I$158:$I$169),0)</f>
        <v>0</v>
      </c>
      <c r="S51" s="900">
        <f>IFERROR(LOOKUP(1,0/((印刷機資料庫!$F$158:$F$169=F51)*(印刷機資料庫!$G$158:$G$169=J51)),印刷機資料庫!$K$158:$K$169),0)</f>
        <v>0</v>
      </c>
      <c r="T51" s="898">
        <f t="shared" si="6"/>
        <v>0</v>
      </c>
      <c r="U51" s="923">
        <f t="shared" si="7"/>
        <v>0</v>
      </c>
      <c r="V51" s="898">
        <f t="shared" si="8"/>
        <v>0</v>
      </c>
      <c r="W51" s="952"/>
      <c r="X51" s="899">
        <f t="shared" si="9"/>
        <v>0</v>
      </c>
      <c r="Y51" s="438"/>
      <c r="Z51" s="482"/>
      <c r="AA51" s="465"/>
      <c r="AB51" s="438"/>
      <c r="AC51" s="438"/>
    </row>
    <row r="52" spans="1:30" s="433" customFormat="1" ht="15.75">
      <c r="A52" s="434">
        <v>11</v>
      </c>
      <c r="B52" s="434">
        <v>25</v>
      </c>
      <c r="C52" s="581" t="s">
        <v>670</v>
      </c>
      <c r="D52" s="889" t="s">
        <v>0</v>
      </c>
      <c r="E52" s="435" t="s">
        <v>42</v>
      </c>
      <c r="F52" s="992"/>
      <c r="G52" s="464"/>
      <c r="H52" s="464">
        <f>IFERROR(#REF!*G52,0)</f>
        <v>0</v>
      </c>
      <c r="I52" s="429"/>
      <c r="J52" s="429"/>
      <c r="K52" s="464"/>
      <c r="L52" s="438"/>
      <c r="M52" s="900">
        <f t="shared" si="10"/>
        <v>0</v>
      </c>
      <c r="N52" s="901">
        <f t="shared" si="11"/>
        <v>0</v>
      </c>
      <c r="O52" s="438">
        <f>IFERROR(LOOKUP(1,0/((印刷機資料庫!$F$158:$F$169=F52)*(印刷機資料庫!$G$158:$G$169=J52)),印刷機資料庫!$J$158:$J$169),0)</f>
        <v>0</v>
      </c>
      <c r="P52" s="462"/>
      <c r="Q52" s="442"/>
      <c r="R52" s="438">
        <f>IFERROR(LOOKUP(1,0/((印刷機資料庫!$F$158:$F$169=F52)*(印刷機資料庫!$G$158:$G$169=J52)),印刷機資料庫!$I$158:$I$169),0)</f>
        <v>0</v>
      </c>
      <c r="S52" s="900">
        <f>IFERROR(LOOKUP(1,0/((印刷機資料庫!$F$158:$F$169=F52)*(印刷機資料庫!$G$158:$G$169=J52)),印刷機資料庫!$K$158:$K$169),0)</f>
        <v>0</v>
      </c>
      <c r="T52" s="898">
        <f t="shared" si="6"/>
        <v>0</v>
      </c>
      <c r="U52" s="923">
        <f t="shared" si="7"/>
        <v>0</v>
      </c>
      <c r="V52" s="898">
        <f t="shared" si="8"/>
        <v>0</v>
      </c>
      <c r="W52" s="952"/>
      <c r="X52" s="899">
        <f t="shared" si="9"/>
        <v>0</v>
      </c>
      <c r="Y52" s="438"/>
      <c r="Z52" s="482"/>
      <c r="AA52" s="465"/>
      <c r="AB52" s="438"/>
      <c r="AC52" s="438"/>
    </row>
    <row r="53" spans="1:30" s="433" customFormat="1" ht="15.75">
      <c r="A53" s="434">
        <v>11</v>
      </c>
      <c r="B53" s="434">
        <v>26</v>
      </c>
      <c r="C53" s="581" t="s">
        <v>671</v>
      </c>
      <c r="D53" s="889" t="s">
        <v>0</v>
      </c>
      <c r="E53" s="435" t="s">
        <v>42</v>
      </c>
      <c r="F53" s="992"/>
      <c r="G53" s="464"/>
      <c r="H53" s="464">
        <f>IFERROR(#REF!*G53,0)</f>
        <v>0</v>
      </c>
      <c r="I53" s="429"/>
      <c r="J53" s="429"/>
      <c r="K53" s="464"/>
      <c r="L53" s="438"/>
      <c r="M53" s="900">
        <f t="shared" si="10"/>
        <v>0</v>
      </c>
      <c r="N53" s="901">
        <f t="shared" si="11"/>
        <v>0</v>
      </c>
      <c r="O53" s="438">
        <f>IFERROR(LOOKUP(1,0/((印刷機資料庫!$F$158:$F$169=F53)*(印刷機資料庫!$G$158:$G$169=J53)),印刷機資料庫!$J$158:$J$169),0)</f>
        <v>0</v>
      </c>
      <c r="P53" s="462"/>
      <c r="Q53" s="444"/>
      <c r="R53" s="438">
        <f>IFERROR(LOOKUP(1,0/((印刷機資料庫!$F$158:$F$169=F53)*(印刷機資料庫!$G$158:$G$169=J53)),印刷機資料庫!$I$158:$I$169),0)</f>
        <v>0</v>
      </c>
      <c r="S53" s="900">
        <f>IFERROR(LOOKUP(1,0/((印刷機資料庫!$F$158:$F$169=F53)*(印刷機資料庫!$G$158:$G$169=J53)),印刷機資料庫!$K$158:$K$169),0)</f>
        <v>0</v>
      </c>
      <c r="T53" s="898">
        <f t="shared" si="6"/>
        <v>0</v>
      </c>
      <c r="U53" s="923">
        <f t="shared" si="7"/>
        <v>0</v>
      </c>
      <c r="V53" s="898">
        <f t="shared" si="8"/>
        <v>0</v>
      </c>
      <c r="W53" s="952"/>
      <c r="X53" s="899">
        <f t="shared" si="9"/>
        <v>0</v>
      </c>
      <c r="Y53" s="438"/>
      <c r="Z53" s="482"/>
      <c r="AA53" s="465"/>
      <c r="AB53" s="438"/>
      <c r="AC53" s="438"/>
    </row>
    <row r="54" spans="1:30" s="433" customFormat="1" ht="15.75">
      <c r="A54" s="434">
        <v>11</v>
      </c>
      <c r="B54" s="434">
        <v>27</v>
      </c>
      <c r="C54" s="581" t="s">
        <v>672</v>
      </c>
      <c r="D54" s="889" t="s">
        <v>0</v>
      </c>
      <c r="E54" s="435" t="s">
        <v>42</v>
      </c>
      <c r="F54" s="992"/>
      <c r="G54" s="464"/>
      <c r="H54" s="464">
        <f>IFERROR(#REF!*G54,0)</f>
        <v>0</v>
      </c>
      <c r="I54" s="429"/>
      <c r="J54" s="429"/>
      <c r="K54" s="464"/>
      <c r="L54" s="438"/>
      <c r="M54" s="900">
        <f t="shared" si="10"/>
        <v>0</v>
      </c>
      <c r="N54" s="901">
        <f t="shared" si="11"/>
        <v>0</v>
      </c>
      <c r="O54" s="438">
        <f>IFERROR(LOOKUP(1,0/((印刷機資料庫!$F$158:$F$169=F54)*(印刷機資料庫!$G$158:$G$169=J54)),印刷機資料庫!$J$158:$J$169),0)</f>
        <v>0</v>
      </c>
      <c r="P54" s="462"/>
      <c r="Q54" s="442"/>
      <c r="R54" s="438">
        <f>IFERROR(LOOKUP(1,0/((印刷機資料庫!$F$158:$F$169=F54)*(印刷機資料庫!$G$158:$G$169=J54)),印刷機資料庫!$I$158:$I$169),0)</f>
        <v>0</v>
      </c>
      <c r="S54" s="900">
        <f>IFERROR(LOOKUP(1,0/((印刷機資料庫!$F$158:$F$169=F54)*(印刷機資料庫!$G$158:$G$169=J54)),印刷機資料庫!$K$158:$K$169),0)</f>
        <v>0</v>
      </c>
      <c r="T54" s="898">
        <f t="shared" si="6"/>
        <v>0</v>
      </c>
      <c r="U54" s="923">
        <f t="shared" si="7"/>
        <v>0</v>
      </c>
      <c r="V54" s="898">
        <f t="shared" si="8"/>
        <v>0</v>
      </c>
      <c r="W54" s="952"/>
      <c r="X54" s="899">
        <f t="shared" si="9"/>
        <v>0</v>
      </c>
      <c r="Y54" s="438"/>
      <c r="Z54" s="482"/>
      <c r="AA54" s="465"/>
      <c r="AB54" s="438"/>
      <c r="AC54" s="438"/>
    </row>
    <row r="55" spans="1:30" s="433" customFormat="1" ht="15.75">
      <c r="A55" s="434">
        <v>11</v>
      </c>
      <c r="B55" s="434">
        <v>28</v>
      </c>
      <c r="C55" s="581" t="s">
        <v>673</v>
      </c>
      <c r="D55" s="889" t="s">
        <v>0</v>
      </c>
      <c r="E55" s="435" t="s">
        <v>42</v>
      </c>
      <c r="F55" s="992"/>
      <c r="G55" s="464"/>
      <c r="H55" s="464">
        <f>IFERROR(#REF!*G55,0)</f>
        <v>0</v>
      </c>
      <c r="I55" s="429"/>
      <c r="J55" s="429"/>
      <c r="K55" s="464"/>
      <c r="L55" s="438"/>
      <c r="M55" s="900">
        <f t="shared" si="10"/>
        <v>0</v>
      </c>
      <c r="N55" s="901">
        <f t="shared" si="11"/>
        <v>0</v>
      </c>
      <c r="O55" s="438">
        <f>IFERROR(LOOKUP(1,0/((印刷機資料庫!$F$158:$F$169=F55)*(印刷機資料庫!$G$158:$G$169=J55)),印刷機資料庫!$J$158:$J$169),0)</f>
        <v>0</v>
      </c>
      <c r="P55" s="462"/>
      <c r="Q55" s="442"/>
      <c r="R55" s="438">
        <f>IFERROR(LOOKUP(1,0/((印刷機資料庫!$F$158:$F$169=F55)*(印刷機資料庫!$G$158:$G$169=J55)),印刷機資料庫!$I$158:$I$169),0)</f>
        <v>0</v>
      </c>
      <c r="S55" s="900">
        <f>IFERROR(LOOKUP(1,0/((印刷機資料庫!$F$158:$F$169=F55)*(印刷機資料庫!$G$158:$G$169=J55)),印刷機資料庫!$K$158:$K$169),0)</f>
        <v>0</v>
      </c>
      <c r="T55" s="898">
        <f>IFERROR(L55/S55,0)</f>
        <v>0</v>
      </c>
      <c r="U55" s="923">
        <f>IFERROR(R55*X55*60/O55,0)</f>
        <v>0</v>
      </c>
      <c r="V55" s="898">
        <f>IFERROR(L55/U55,0)</f>
        <v>0</v>
      </c>
      <c r="W55" s="952"/>
      <c r="X55" s="899">
        <f>Y55+Z55/60</f>
        <v>0</v>
      </c>
      <c r="Y55" s="438"/>
      <c r="Z55" s="482"/>
      <c r="AA55" s="465"/>
      <c r="AB55" s="438"/>
      <c r="AC55" s="438"/>
    </row>
    <row r="56" spans="1:30" s="433" customFormat="1" ht="15.75">
      <c r="A56" s="434">
        <v>11</v>
      </c>
      <c r="B56" s="434">
        <v>29</v>
      </c>
      <c r="C56" s="581" t="s">
        <v>632</v>
      </c>
      <c r="D56" s="889" t="s">
        <v>0</v>
      </c>
      <c r="E56" s="435" t="s">
        <v>42</v>
      </c>
      <c r="F56" s="992"/>
      <c r="G56" s="464"/>
      <c r="H56" s="464">
        <f>IFERROR(#REF!*G56,0)</f>
        <v>0</v>
      </c>
      <c r="I56" s="429"/>
      <c r="J56" s="429"/>
      <c r="K56" s="464"/>
      <c r="L56" s="438"/>
      <c r="M56" s="900">
        <f>L56*O56</f>
        <v>0</v>
      </c>
      <c r="N56" s="901">
        <f t="shared" si="11"/>
        <v>0</v>
      </c>
      <c r="O56" s="438">
        <f>IFERROR(LOOKUP(1,0/((印刷機資料庫!$F$158:$F$169=F56)*(印刷機資料庫!$G$158:$G$169=J56)),印刷機資料庫!$J$158:$J$169),0)</f>
        <v>0</v>
      </c>
      <c r="P56" s="462"/>
      <c r="Q56" s="442"/>
      <c r="R56" s="438">
        <f>IFERROR(LOOKUP(1,0/((印刷機資料庫!$F$158:$F$169=F56)*(印刷機資料庫!$G$158:$G$169=J56)),印刷機資料庫!$I$158:$I$169),0)</f>
        <v>0</v>
      </c>
      <c r="S56" s="900">
        <f>IFERROR(LOOKUP(1,0/((印刷機資料庫!$F$158:$F$169=F56)*(印刷機資料庫!$G$158:$G$169=J56)),印刷機資料庫!$K$158:$K$169),0)</f>
        <v>0</v>
      </c>
      <c r="T56" s="898">
        <f>IFERROR(L56/S56,0)</f>
        <v>0</v>
      </c>
      <c r="U56" s="923">
        <f>IFERROR(R56*X56*60/O56,0)</f>
        <v>0</v>
      </c>
      <c r="V56" s="898">
        <f>IFERROR(L56/U56,0)</f>
        <v>0</v>
      </c>
      <c r="W56" s="952"/>
      <c r="X56" s="899">
        <f>Y56+Z56/60</f>
        <v>0</v>
      </c>
      <c r="Y56" s="438"/>
      <c r="Z56" s="482"/>
      <c r="AA56" s="465"/>
      <c r="AB56" s="438"/>
      <c r="AC56" s="438"/>
    </row>
    <row r="57" spans="1:30" s="433" customFormat="1" ht="15.75">
      <c r="A57" s="434">
        <v>11</v>
      </c>
      <c r="B57" s="434">
        <v>30</v>
      </c>
      <c r="C57" s="581" t="s">
        <v>667</v>
      </c>
      <c r="D57" s="889" t="s">
        <v>0</v>
      </c>
      <c r="E57" s="435" t="s">
        <v>42</v>
      </c>
      <c r="F57" s="992"/>
      <c r="G57" s="464"/>
      <c r="H57" s="464">
        <f>IFERROR(#REF!*G57,0)</f>
        <v>0</v>
      </c>
      <c r="I57" s="429"/>
      <c r="J57" s="429"/>
      <c r="K57" s="464"/>
      <c r="L57" s="438"/>
      <c r="M57" s="900">
        <f>L57*O57</f>
        <v>0</v>
      </c>
      <c r="N57" s="901">
        <f t="shared" si="11"/>
        <v>0</v>
      </c>
      <c r="O57" s="438">
        <f>IFERROR(LOOKUP(1,0/((印刷機資料庫!$F$158:$F$169=F57)*(印刷機資料庫!$G$158:$G$169=J57)),印刷機資料庫!$J$158:$J$169),0)</f>
        <v>0</v>
      </c>
      <c r="P57" s="462"/>
      <c r="Q57" s="442"/>
      <c r="R57" s="438">
        <f>IFERROR(LOOKUP(1,0/((印刷機資料庫!$F$158:$F$169=F57)*(印刷機資料庫!$G$158:$G$169=J57)),印刷機資料庫!$I$158:$I$169),0)</f>
        <v>0</v>
      </c>
      <c r="S57" s="900">
        <f>IFERROR(LOOKUP(1,0/((印刷機資料庫!$F$158:$F$169=F57)*(印刷機資料庫!$G$158:$G$169=J57)),印刷機資料庫!$K$158:$K$169),0)</f>
        <v>0</v>
      </c>
      <c r="T57" s="898">
        <f>IFERROR(L57/S57,0)</f>
        <v>0</v>
      </c>
      <c r="U57" s="923">
        <f>IFERROR(R57*X57*60/O57,0)</f>
        <v>0</v>
      </c>
      <c r="V57" s="898">
        <f>IFERROR(L57/U57,0)</f>
        <v>0</v>
      </c>
      <c r="W57" s="952"/>
      <c r="X57" s="899">
        <f>Y57+Z57/60</f>
        <v>0</v>
      </c>
      <c r="Y57" s="438"/>
      <c r="Z57" s="482"/>
      <c r="AA57" s="465"/>
      <c r="AB57" s="438"/>
      <c r="AC57" s="539"/>
    </row>
    <row r="58" spans="1:30" s="433" customFormat="1" ht="15.75">
      <c r="A58" s="434">
        <v>11</v>
      </c>
      <c r="B58" s="434">
        <v>30</v>
      </c>
      <c r="C58" s="581" t="s">
        <v>667</v>
      </c>
      <c r="D58" s="889" t="s">
        <v>0</v>
      </c>
      <c r="E58" s="435" t="s">
        <v>42</v>
      </c>
      <c r="F58" s="992"/>
      <c r="G58" s="464"/>
      <c r="H58" s="464">
        <f>IFERROR(#REF!*G58,0)</f>
        <v>0</v>
      </c>
      <c r="I58" s="429"/>
      <c r="J58" s="429"/>
      <c r="K58" s="464"/>
      <c r="L58" s="438"/>
      <c r="M58" s="900">
        <f>L58*O58</f>
        <v>0</v>
      </c>
      <c r="N58" s="901">
        <f t="shared" si="11"/>
        <v>0</v>
      </c>
      <c r="O58" s="438">
        <f>IFERROR(LOOKUP(1,0/((印刷機資料庫!$F$158:$F$169=F58)*(印刷機資料庫!$G$158:$G$169=J58)),印刷機資料庫!$J$158:$J$169),0)</f>
        <v>0</v>
      </c>
      <c r="P58" s="462"/>
      <c r="Q58" s="442"/>
      <c r="R58" s="438">
        <f>IFERROR(LOOKUP(1,0/((印刷機資料庫!$F$158:$F$169=F58)*(印刷機資料庫!$G$158:$G$169=J58)),印刷機資料庫!$I$158:$I$169),0)</f>
        <v>0</v>
      </c>
      <c r="S58" s="900">
        <f>IFERROR(LOOKUP(1,0/((印刷機資料庫!$F$158:$F$169=F58)*(印刷機資料庫!$G$158:$G$169=J58)),印刷機資料庫!$K$158:$K$169),0)</f>
        <v>0</v>
      </c>
      <c r="T58" s="898">
        <f>IFERROR(L58/S58,0)</f>
        <v>0</v>
      </c>
      <c r="U58" s="923">
        <f>IFERROR(R58*X58*60/O58,0)</f>
        <v>0</v>
      </c>
      <c r="V58" s="898">
        <f>IFERROR(L58/U58,0)</f>
        <v>0</v>
      </c>
      <c r="W58" s="952"/>
      <c r="X58" s="899">
        <f>Y58+Z58/60</f>
        <v>0</v>
      </c>
      <c r="Y58" s="438"/>
      <c r="Z58" s="482"/>
      <c r="AA58" s="465"/>
      <c r="AB58" s="939"/>
      <c r="AC58" s="438"/>
      <c r="AD58" s="458"/>
    </row>
    <row r="59" spans="1:30" s="433" customFormat="1" ht="15.75">
      <c r="A59" s="434"/>
      <c r="B59" s="434"/>
      <c r="C59" s="581"/>
      <c r="D59" s="889"/>
      <c r="E59" s="435"/>
      <c r="F59" s="992"/>
      <c r="G59" s="464"/>
      <c r="H59" s="464">
        <f>IFERROR(#REF!*G59,0)</f>
        <v>0</v>
      </c>
      <c r="I59" s="429"/>
      <c r="J59" s="429"/>
      <c r="K59" s="464"/>
      <c r="L59" s="438"/>
      <c r="M59" s="900">
        <f>L59*O59</f>
        <v>0</v>
      </c>
      <c r="N59" s="901">
        <f t="shared" si="11"/>
        <v>0</v>
      </c>
      <c r="O59" s="438">
        <f>IFERROR(LOOKUP(1,0/((印刷機資料庫!$F$158:$F$169=F59)*(印刷機資料庫!$G$158:$G$169=J59)),印刷機資料庫!$J$158:$J$169),0)</f>
        <v>0</v>
      </c>
      <c r="P59" s="462"/>
      <c r="Q59" s="442"/>
      <c r="R59" s="438">
        <f>IFERROR(LOOKUP(1,0/((印刷機資料庫!$F$158:$F$169=F59)*(印刷機資料庫!$G$158:$G$169=J59)),印刷機資料庫!$I$158:$I$169),0)</f>
        <v>0</v>
      </c>
      <c r="S59" s="900">
        <f>IFERROR(LOOKUP(1,0/((印刷機資料庫!$F$158:$F$169=F59)*(印刷機資料庫!$G$158:$G$169=J59)),印刷機資料庫!$K$158:$K$169),0)</f>
        <v>0</v>
      </c>
      <c r="T59" s="898">
        <f>IFERROR(L59/S59,0)</f>
        <v>0</v>
      </c>
      <c r="U59" s="923">
        <f>IFERROR(R59*X59*60/O59,0)</f>
        <v>0</v>
      </c>
      <c r="V59" s="898">
        <f>IFERROR(L59/U59,0)</f>
        <v>0</v>
      </c>
      <c r="W59" s="952"/>
      <c r="X59" s="899">
        <f>Y59+Z59/60</f>
        <v>0</v>
      </c>
      <c r="Y59" s="438"/>
      <c r="Z59" s="482"/>
      <c r="AA59" s="465"/>
      <c r="AB59" s="939"/>
      <c r="AC59" s="438"/>
      <c r="AD59" s="458"/>
    </row>
    <row r="60" spans="1:30" s="433" customFormat="1" ht="15.75">
      <c r="A60" s="446"/>
      <c r="B60" s="446"/>
      <c r="C60" s="456"/>
      <c r="D60" s="456"/>
      <c r="E60" s="448"/>
      <c r="F60" s="452"/>
      <c r="G60" s="452"/>
      <c r="H60" s="430"/>
      <c r="I60" s="518"/>
      <c r="J60" s="518"/>
      <c r="K60" s="452"/>
      <c r="L60" s="439"/>
      <c r="M60" s="945"/>
      <c r="N60" s="946"/>
      <c r="O60" s="467"/>
      <c r="P60" s="467"/>
      <c r="Q60" s="869"/>
      <c r="R60" s="470"/>
      <c r="S60" s="945"/>
      <c r="T60" s="936"/>
      <c r="U60" s="947"/>
      <c r="V60" s="936"/>
      <c r="W60" s="955"/>
      <c r="X60" s="948"/>
      <c r="Y60" s="439"/>
      <c r="Z60" s="471"/>
      <c r="AB60" s="439"/>
      <c r="AC60" s="439"/>
      <c r="AD60" s="458"/>
    </row>
    <row r="61" spans="1:30" s="433" customFormat="1" ht="15.75">
      <c r="A61" s="446"/>
      <c r="B61" s="446"/>
      <c r="C61" s="456"/>
      <c r="D61" s="456"/>
      <c r="E61" s="448"/>
      <c r="F61" s="452"/>
      <c r="G61" s="452"/>
      <c r="H61" s="430"/>
      <c r="I61" s="518"/>
      <c r="J61" s="518"/>
      <c r="K61" s="452"/>
      <c r="L61" s="439"/>
      <c r="M61" s="945"/>
      <c r="N61" s="946"/>
      <c r="O61" s="467"/>
      <c r="P61" s="467"/>
      <c r="Q61" s="869"/>
      <c r="R61" s="470"/>
      <c r="S61" s="945"/>
      <c r="T61" s="936"/>
      <c r="U61" s="947"/>
      <c r="V61" s="936"/>
      <c r="W61" s="955"/>
      <c r="X61" s="948"/>
      <c r="Y61" s="439"/>
      <c r="Z61" s="471"/>
      <c r="AB61" s="439"/>
      <c r="AC61" s="439"/>
      <c r="AD61" s="458"/>
    </row>
    <row r="62" spans="1:30" s="433" customFormat="1" thickBot="1">
      <c r="A62" s="446"/>
      <c r="B62" s="446"/>
      <c r="C62" s="446"/>
      <c r="D62" s="446"/>
      <c r="E62" s="448"/>
      <c r="F62" s="430"/>
      <c r="G62" s="430"/>
      <c r="H62" s="430"/>
      <c r="I62" s="430"/>
      <c r="J62" s="430"/>
      <c r="K62" s="439"/>
      <c r="L62" s="439"/>
      <c r="M62" s="452"/>
      <c r="N62" s="457"/>
      <c r="O62" s="467"/>
      <c r="P62" s="467"/>
      <c r="Q62" s="457"/>
      <c r="R62" s="470"/>
      <c r="S62" s="458"/>
      <c r="T62" s="487">
        <f>SUM(T17:T58)</f>
        <v>0</v>
      </c>
      <c r="U62" s="925"/>
      <c r="V62" s="487"/>
      <c r="W62" s="956"/>
      <c r="X62" s="487"/>
      <c r="Y62" s="489"/>
      <c r="Z62" s="489"/>
      <c r="AA62" s="469" t="s">
        <v>46</v>
      </c>
      <c r="AB62" s="439"/>
      <c r="AC62" s="439"/>
    </row>
    <row r="63" spans="1:30" s="469" customFormat="1" ht="15.75">
      <c r="A63" s="479"/>
      <c r="B63" s="479"/>
      <c r="C63" s="479"/>
      <c r="D63" s="479"/>
      <c r="E63" s="452"/>
      <c r="F63" s="517"/>
      <c r="G63" s="525" t="s">
        <v>631</v>
      </c>
      <c r="H63" s="518"/>
      <c r="I63" s="518"/>
      <c r="J63" s="518"/>
      <c r="K63" s="1842" t="s">
        <v>1348</v>
      </c>
      <c r="L63" s="949" t="s">
        <v>536</v>
      </c>
      <c r="M63" s="525" t="s">
        <v>630</v>
      </c>
      <c r="N63" s="526" t="s">
        <v>458</v>
      </c>
      <c r="O63" s="521"/>
      <c r="P63" s="524" t="s">
        <v>537</v>
      </c>
      <c r="Q63" s="524" t="s">
        <v>455</v>
      </c>
      <c r="R63" s="520"/>
      <c r="S63" s="524" t="s">
        <v>1284</v>
      </c>
      <c r="T63" s="524" t="s">
        <v>459</v>
      </c>
      <c r="U63" s="520"/>
      <c r="V63" s="524" t="s">
        <v>1345</v>
      </c>
      <c r="W63" s="524" t="s">
        <v>1350</v>
      </c>
      <c r="X63" s="524" t="s">
        <v>1351</v>
      </c>
      <c r="Y63" s="524" t="s">
        <v>1353</v>
      </c>
      <c r="Z63" s="524" t="s">
        <v>1352</v>
      </c>
      <c r="AA63" s="469" t="s">
        <v>253</v>
      </c>
      <c r="AB63" s="452"/>
      <c r="AC63" s="452"/>
    </row>
    <row r="64" spans="1:30" thickBot="1">
      <c r="G64" s="522">
        <f>SUM(H17:H58)</f>
        <v>0</v>
      </c>
      <c r="H64" s="431"/>
      <c r="I64" s="431"/>
      <c r="J64" s="431"/>
      <c r="K64" s="1843"/>
      <c r="L64" s="950">
        <f>SUM(L17:L59)</f>
        <v>0</v>
      </c>
      <c r="M64" s="522">
        <f>SUM(M17:M59)</f>
        <v>0</v>
      </c>
      <c r="N64" s="523">
        <f>SUM(N17:N59)</f>
        <v>0</v>
      </c>
      <c r="P64" s="523">
        <f>SUM(P17:P59)</f>
        <v>0</v>
      </c>
      <c r="Q64" s="897" t="e">
        <f>P64/(M64+P64)</f>
        <v>#DIV/0!</v>
      </c>
      <c r="S64" s="523" t="e">
        <f>L64/T64</f>
        <v>#DIV/0!</v>
      </c>
      <c r="T64" s="898">
        <f>T62/V64</f>
        <v>0</v>
      </c>
      <c r="U64" s="455"/>
      <c r="V64" s="516">
        <v>21</v>
      </c>
      <c r="W64" s="958">
        <f>SUM(W17:W59)</f>
        <v>0</v>
      </c>
      <c r="X64" s="516">
        <f>SUM(X17:X59)</f>
        <v>0</v>
      </c>
      <c r="Y64" s="516">
        <f>W64-X64</f>
        <v>0</v>
      </c>
      <c r="Z64" s="896" t="e">
        <f>X64/W64</f>
        <v>#DIV/0!</v>
      </c>
    </row>
    <row r="65" spans="1:53" ht="21">
      <c r="M65" s="453"/>
      <c r="N65"/>
      <c r="Q65"/>
      <c r="T65" s="940"/>
      <c r="U65" s="942"/>
    </row>
    <row r="66" spans="1:53" ht="17.25" thickBot="1">
      <c r="S66" s="446"/>
      <c r="T66" s="446"/>
      <c r="U66" s="446"/>
    </row>
    <row r="67" spans="1:53" ht="15.75">
      <c r="A67" s="1824" t="s">
        <v>330</v>
      </c>
      <c r="B67" s="1826" t="s">
        <v>311</v>
      </c>
      <c r="C67" s="1828" t="s">
        <v>331</v>
      </c>
      <c r="D67" s="1828" t="s">
        <v>332</v>
      </c>
      <c r="E67" s="1830" t="s">
        <v>194</v>
      </c>
      <c r="F67" s="1832" t="s">
        <v>510</v>
      </c>
      <c r="G67" s="1872" t="s">
        <v>628</v>
      </c>
      <c r="H67" s="1874" t="s">
        <v>629</v>
      </c>
      <c r="I67" s="1832" t="s">
        <v>361</v>
      </c>
      <c r="J67" s="1832" t="s">
        <v>1320</v>
      </c>
      <c r="K67" s="1828" t="s">
        <v>362</v>
      </c>
      <c r="L67" s="1828" t="s">
        <v>514</v>
      </c>
      <c r="M67" s="1856" t="s">
        <v>511</v>
      </c>
      <c r="N67" s="1858" t="s">
        <v>457</v>
      </c>
      <c r="O67" s="1828" t="s">
        <v>380</v>
      </c>
      <c r="P67" s="1876" t="s">
        <v>515</v>
      </c>
      <c r="Q67" s="1854" t="s">
        <v>3</v>
      </c>
      <c r="R67" s="1836" t="s">
        <v>512</v>
      </c>
      <c r="S67" s="1844" t="s">
        <v>1286</v>
      </c>
      <c r="T67" s="1846" t="s">
        <v>201</v>
      </c>
      <c r="U67" s="1846" t="s">
        <v>1318</v>
      </c>
      <c r="V67" s="1846" t="s">
        <v>1319</v>
      </c>
      <c r="W67" s="1849" t="s">
        <v>1285</v>
      </c>
      <c r="X67" s="1866" t="s">
        <v>1297</v>
      </c>
      <c r="Y67" s="1860" t="s">
        <v>340</v>
      </c>
      <c r="Z67" s="1861"/>
      <c r="AA67" s="1867" t="s">
        <v>371</v>
      </c>
      <c r="AB67" s="1867" t="s">
        <v>383</v>
      </c>
      <c r="AC67" s="1864" t="s">
        <v>29</v>
      </c>
    </row>
    <row r="68" spans="1:53" s="447" customFormat="1" thickBot="1">
      <c r="A68" s="1879"/>
      <c r="B68" s="1880"/>
      <c r="C68" s="1839"/>
      <c r="D68" s="1839"/>
      <c r="E68" s="1881"/>
      <c r="F68" s="1838"/>
      <c r="G68" s="1873"/>
      <c r="H68" s="1875"/>
      <c r="I68" s="1838"/>
      <c r="J68" s="1838"/>
      <c r="K68" s="1839"/>
      <c r="L68" s="1839"/>
      <c r="M68" s="1857"/>
      <c r="N68" s="1871"/>
      <c r="O68" s="1839"/>
      <c r="P68" s="1877"/>
      <c r="Q68" s="1869"/>
      <c r="R68" s="1870"/>
      <c r="S68" s="1878"/>
      <c r="T68" s="1848"/>
      <c r="U68" s="1848"/>
      <c r="V68" s="1848"/>
      <c r="W68" s="1850"/>
      <c r="X68" s="1850"/>
      <c r="Y68" s="491" t="s">
        <v>350</v>
      </c>
      <c r="Z68" s="491" t="s">
        <v>351</v>
      </c>
      <c r="AA68" s="1868"/>
      <c r="AB68" s="1868"/>
      <c r="AC68" s="1865"/>
      <c r="AD68" s="446"/>
      <c r="AE68" s="446"/>
      <c r="AR68" s="446"/>
      <c r="AS68" s="446"/>
      <c r="AT68" s="446"/>
      <c r="AU68" s="446"/>
      <c r="AV68" s="446"/>
      <c r="AW68" s="446"/>
      <c r="AX68" s="446"/>
      <c r="AY68" s="446"/>
      <c r="AZ68" s="446"/>
      <c r="BA68" s="446"/>
    </row>
    <row r="69" spans="1:53" s="433" customFormat="1" ht="15.75">
      <c r="A69" s="581"/>
      <c r="B69" s="581">
        <v>1</v>
      </c>
      <c r="C69" s="581" t="s">
        <v>632</v>
      </c>
      <c r="D69" s="581" t="s">
        <v>43</v>
      </c>
      <c r="E69" s="435" t="s">
        <v>42</v>
      </c>
      <c r="F69" s="429"/>
      <c r="G69" s="464"/>
      <c r="H69" s="464">
        <f>IFERROR(#REF!*G69,0)</f>
        <v>0</v>
      </c>
      <c r="I69" s="429"/>
      <c r="J69" s="429"/>
      <c r="K69" s="464"/>
      <c r="L69" s="438"/>
      <c r="M69" s="900">
        <f>L69*O69</f>
        <v>0</v>
      </c>
      <c r="N69" s="901">
        <f>K69*L69</f>
        <v>0</v>
      </c>
      <c r="O69" s="438">
        <f>IFERROR(LOOKUP(1,0/((印刷機資料庫!$F$158:$F$169=F69)*(印刷機資料庫!$G$158:$G$169=J69)),印刷機資料庫!$J$158:$J$169),0)</f>
        <v>0</v>
      </c>
      <c r="P69" s="462"/>
      <c r="Q69" s="442">
        <f t="shared" ref="Q69:Q88" si="12">IFERROR(P69/(M69+P69),0)</f>
        <v>0</v>
      </c>
      <c r="R69" s="438">
        <f>IFERROR(LOOKUP(1,0/((印刷機資料庫!$F$158:$F$169=F69)*(印刷機資料庫!$G$158:$G$169=J69)),印刷機資料庫!$I$158:$I$169),0)</f>
        <v>0</v>
      </c>
      <c r="S69" s="900">
        <f>IFERROR(LOOKUP(1,0/((印刷機資料庫!$F$158:$F$169=F69)*(印刷機資料庫!$G$158:$G$169=J69)),印刷機資料庫!$K$158:$K$169),0)</f>
        <v>0</v>
      </c>
      <c r="T69" s="898">
        <f>IFERROR(L69/S69,0)</f>
        <v>0</v>
      </c>
      <c r="U69" s="923">
        <f>IFERROR(R69*X69*60/O69,0)</f>
        <v>0</v>
      </c>
      <c r="V69" s="898">
        <f>IFERROR(L69/U69,0)</f>
        <v>0</v>
      </c>
      <c r="W69" s="953"/>
      <c r="X69" s="899">
        <f>Y69+Z69/60</f>
        <v>0</v>
      </c>
      <c r="Y69" s="438"/>
      <c r="Z69" s="482"/>
      <c r="AA69" s="465"/>
      <c r="AB69" s="438"/>
      <c r="AC69" s="438"/>
    </row>
    <row r="70" spans="1:53" s="433" customFormat="1" ht="15.75">
      <c r="A70" s="581"/>
      <c r="B70" s="581">
        <v>2</v>
      </c>
      <c r="C70" s="581" t="s">
        <v>667</v>
      </c>
      <c r="D70" s="581" t="s">
        <v>43</v>
      </c>
      <c r="E70" s="435" t="s">
        <v>42</v>
      </c>
      <c r="F70" s="429"/>
      <c r="G70" s="464"/>
      <c r="H70" s="464">
        <f>IFERROR(#REF!*G70,0)</f>
        <v>0</v>
      </c>
      <c r="I70" s="429"/>
      <c r="J70" s="429"/>
      <c r="K70" s="464"/>
      <c r="L70" s="438"/>
      <c r="M70" s="900">
        <f t="shared" ref="M70:M99" si="13">L70*O70</f>
        <v>0</v>
      </c>
      <c r="N70" s="901">
        <f>K70*L70</f>
        <v>0</v>
      </c>
      <c r="O70" s="438">
        <f>IFERROR(LOOKUP(1,0/((印刷機資料庫!$F$158:$F$169=F70)*(印刷機資料庫!$G$158:$G$169=J70)),印刷機資料庫!$J$158:$J$169),0)</f>
        <v>0</v>
      </c>
      <c r="P70" s="462"/>
      <c r="Q70" s="442">
        <f t="shared" si="12"/>
        <v>0</v>
      </c>
      <c r="R70" s="438">
        <f>IFERROR(LOOKUP(1,0/((印刷機資料庫!$F$158:$F$169=F70)*(印刷機資料庫!$G$158:$G$169=J70)),印刷機資料庫!$I$158:$I$169),0)</f>
        <v>0</v>
      </c>
      <c r="S70" s="900">
        <f>IFERROR(LOOKUP(1,0/((印刷機資料庫!$F$158:$F$169=F70)*(印刷機資料庫!$G$158:$G$169=J70)),印刷機資料庫!$K$158:$K$169),0)</f>
        <v>0</v>
      </c>
      <c r="T70" s="898">
        <f t="shared" ref="T70:T75" si="14">IFERROR(L70/S70,0)</f>
        <v>0</v>
      </c>
      <c r="U70" s="923">
        <f>IFERROR(R70*X70*60/O70,0)</f>
        <v>0</v>
      </c>
      <c r="V70" s="898">
        <f t="shared" ref="V70:V75" si="15">IFERROR(L70/U70,0)</f>
        <v>0</v>
      </c>
      <c r="W70" s="953"/>
      <c r="X70" s="899">
        <f t="shared" ref="X70:X99" si="16">Y70+Z70/60</f>
        <v>0</v>
      </c>
      <c r="Y70" s="438"/>
      <c r="Z70" s="482"/>
      <c r="AA70" s="465"/>
      <c r="AB70" s="438"/>
      <c r="AC70" s="438"/>
    </row>
    <row r="71" spans="1:53" s="433" customFormat="1" ht="15.75">
      <c r="A71" s="581"/>
      <c r="B71" s="581">
        <v>3</v>
      </c>
      <c r="C71" s="581" t="s">
        <v>669</v>
      </c>
      <c r="D71" s="581" t="s">
        <v>43</v>
      </c>
      <c r="E71" s="435" t="s">
        <v>42</v>
      </c>
      <c r="F71" s="429"/>
      <c r="G71" s="464"/>
      <c r="H71" s="464">
        <f>IFERROR(#REF!*G71,0)</f>
        <v>0</v>
      </c>
      <c r="I71" s="429"/>
      <c r="J71" s="429"/>
      <c r="K71" s="464"/>
      <c r="L71" s="438"/>
      <c r="M71" s="900">
        <f t="shared" si="13"/>
        <v>0</v>
      </c>
      <c r="N71" s="901">
        <f>K71*L71</f>
        <v>0</v>
      </c>
      <c r="O71" s="438">
        <f>IFERROR(LOOKUP(1,0/((印刷機資料庫!$F$158:$F$169=F71)*(印刷機資料庫!$G$158:$G$169=J71)),印刷機資料庫!$J$158:$J$169),0)</f>
        <v>0</v>
      </c>
      <c r="P71" s="462"/>
      <c r="Q71" s="442">
        <f t="shared" si="12"/>
        <v>0</v>
      </c>
      <c r="R71" s="438">
        <f>IFERROR(LOOKUP(1,0/((印刷機資料庫!$F$158:$F$169=F71)*(印刷機資料庫!$G$158:$G$169=J71)),印刷機資料庫!$I$158:$I$169),0)</f>
        <v>0</v>
      </c>
      <c r="S71" s="900">
        <f>IFERROR(LOOKUP(1,0/((印刷機資料庫!$F$158:$F$169=F71)*(印刷機資料庫!$G$158:$G$169=J71)),印刷機資料庫!$K$158:$K$169),0)</f>
        <v>0</v>
      </c>
      <c r="T71" s="898">
        <f t="shared" si="14"/>
        <v>0</v>
      </c>
      <c r="U71" s="923">
        <f>IFERROR(R71*X71*60/O71,0)</f>
        <v>0</v>
      </c>
      <c r="V71" s="898">
        <f t="shared" si="15"/>
        <v>0</v>
      </c>
      <c r="W71" s="953"/>
      <c r="X71" s="899">
        <f t="shared" si="16"/>
        <v>0</v>
      </c>
      <c r="Y71" s="438"/>
      <c r="Z71" s="482"/>
      <c r="AA71" s="465"/>
      <c r="AB71" s="438"/>
      <c r="AC71" s="438"/>
    </row>
    <row r="72" spans="1:53" s="433" customFormat="1" ht="15.75">
      <c r="A72" s="581"/>
      <c r="B72" s="581">
        <v>4</v>
      </c>
      <c r="C72" s="581" t="s">
        <v>670</v>
      </c>
      <c r="D72" s="581" t="s">
        <v>43</v>
      </c>
      <c r="E72" s="435" t="s">
        <v>42</v>
      </c>
      <c r="F72" s="429"/>
      <c r="G72" s="464"/>
      <c r="H72" s="464">
        <f>IFERROR(#REF!*G72,0)</f>
        <v>0</v>
      </c>
      <c r="I72" s="429"/>
      <c r="J72" s="429"/>
      <c r="K72" s="464"/>
      <c r="L72" s="438"/>
      <c r="M72" s="900">
        <f t="shared" si="13"/>
        <v>0</v>
      </c>
      <c r="N72" s="901">
        <f t="shared" ref="N72:N99" si="17">K72*L72</f>
        <v>0</v>
      </c>
      <c r="O72" s="438">
        <f>IFERROR(LOOKUP(1,0/((印刷機資料庫!$F$158:$F$169=F72)*(印刷機資料庫!$G$158:$G$169=J72)),印刷機資料庫!$J$158:$J$169),0)</f>
        <v>0</v>
      </c>
      <c r="P72" s="462"/>
      <c r="Q72" s="442">
        <f t="shared" si="12"/>
        <v>0</v>
      </c>
      <c r="R72" s="438">
        <f>IFERROR(LOOKUP(1,0/((印刷機資料庫!$F$158:$F$169=F72)*(印刷機資料庫!$G$158:$G$169=J72)),印刷機資料庫!$I$158:$I$169),0)</f>
        <v>0</v>
      </c>
      <c r="S72" s="900">
        <f>IFERROR(LOOKUP(1,0/((印刷機資料庫!$F$158:$F$169=F72)*(印刷機資料庫!$G$158:$G$169=J72)),印刷機資料庫!$K$158:$K$169),0)</f>
        <v>0</v>
      </c>
      <c r="T72" s="898">
        <f t="shared" si="14"/>
        <v>0</v>
      </c>
      <c r="U72" s="923">
        <f t="shared" ref="U72:U99" si="18">IFERROR(R72*X72*60/O72,0)</f>
        <v>0</v>
      </c>
      <c r="V72" s="898">
        <f t="shared" si="15"/>
        <v>0</v>
      </c>
      <c r="W72" s="953"/>
      <c r="X72" s="899">
        <f t="shared" si="16"/>
        <v>0</v>
      </c>
      <c r="Y72" s="438"/>
      <c r="Z72" s="482"/>
      <c r="AA72" s="465"/>
      <c r="AB72" s="438"/>
      <c r="AC72" s="438"/>
    </row>
    <row r="73" spans="1:53" s="433" customFormat="1" ht="15.75">
      <c r="A73" s="581"/>
      <c r="B73" s="581">
        <v>5</v>
      </c>
      <c r="C73" s="581" t="s">
        <v>671</v>
      </c>
      <c r="D73" s="581" t="s">
        <v>43</v>
      </c>
      <c r="E73" s="435" t="s">
        <v>42</v>
      </c>
      <c r="F73" s="429"/>
      <c r="G73" s="464"/>
      <c r="H73" s="464">
        <f>IFERROR(#REF!*G73,0)</f>
        <v>0</v>
      </c>
      <c r="I73" s="429"/>
      <c r="J73" s="429"/>
      <c r="K73" s="464"/>
      <c r="L73" s="438"/>
      <c r="M73" s="900">
        <f t="shared" si="13"/>
        <v>0</v>
      </c>
      <c r="N73" s="901">
        <f t="shared" si="17"/>
        <v>0</v>
      </c>
      <c r="O73" s="438">
        <f>IFERROR(LOOKUP(1,0/((印刷機資料庫!$F$158:$F$169=F73)*(印刷機資料庫!$G$158:$G$169=J73)),印刷機資料庫!$J$158:$J$169),0)</f>
        <v>0</v>
      </c>
      <c r="P73" s="462"/>
      <c r="Q73" s="442">
        <f t="shared" si="12"/>
        <v>0</v>
      </c>
      <c r="R73" s="438">
        <f>IFERROR(LOOKUP(1,0/((印刷機資料庫!$F$158:$F$169=F73)*(印刷機資料庫!$G$158:$G$169=J73)),印刷機資料庫!$I$158:$I$169),0)</f>
        <v>0</v>
      </c>
      <c r="S73" s="900">
        <f>IFERROR(LOOKUP(1,0/((印刷機資料庫!$F$158:$F$169=F73)*(印刷機資料庫!$G$158:$G$169=J73)),印刷機資料庫!$K$158:$K$169),0)</f>
        <v>0</v>
      </c>
      <c r="T73" s="898">
        <f t="shared" si="14"/>
        <v>0</v>
      </c>
      <c r="U73" s="923">
        <f t="shared" si="18"/>
        <v>0</v>
      </c>
      <c r="V73" s="898">
        <f t="shared" si="15"/>
        <v>0</v>
      </c>
      <c r="W73" s="953"/>
      <c r="X73" s="899">
        <f t="shared" si="16"/>
        <v>0</v>
      </c>
      <c r="Y73" s="438"/>
      <c r="Z73" s="482"/>
      <c r="AA73" s="465"/>
      <c r="AB73" s="438"/>
      <c r="AC73" s="438"/>
    </row>
    <row r="74" spans="1:53" s="433" customFormat="1" ht="15.75">
      <c r="A74" s="581"/>
      <c r="B74" s="581">
        <v>6</v>
      </c>
      <c r="C74" s="581" t="s">
        <v>672</v>
      </c>
      <c r="D74" s="581" t="s">
        <v>43</v>
      </c>
      <c r="E74" s="435" t="s">
        <v>42</v>
      </c>
      <c r="F74" s="429"/>
      <c r="G74" s="464"/>
      <c r="H74" s="464">
        <f>IFERROR(#REF!*G74,0)</f>
        <v>0</v>
      </c>
      <c r="I74" s="429"/>
      <c r="J74" s="429"/>
      <c r="K74" s="464"/>
      <c r="L74" s="438"/>
      <c r="M74" s="900">
        <f t="shared" si="13"/>
        <v>0</v>
      </c>
      <c r="N74" s="901">
        <f t="shared" si="17"/>
        <v>0</v>
      </c>
      <c r="O74" s="438">
        <f>IFERROR(LOOKUP(1,0/((印刷機資料庫!$F$158:$F$169=F74)*(印刷機資料庫!$G$158:$G$169=J74)),印刷機資料庫!$J$158:$J$169),0)</f>
        <v>0</v>
      </c>
      <c r="P74" s="462"/>
      <c r="Q74" s="442">
        <f t="shared" si="12"/>
        <v>0</v>
      </c>
      <c r="R74" s="438">
        <f>IFERROR(LOOKUP(1,0/((印刷機資料庫!$F$158:$F$169=F74)*(印刷機資料庫!$G$158:$G$169=J74)),印刷機資料庫!$I$158:$I$169),0)</f>
        <v>0</v>
      </c>
      <c r="S74" s="900">
        <f>IFERROR(LOOKUP(1,0/((印刷機資料庫!$F$158:$F$169=F74)*(印刷機資料庫!$G$158:$G$169=J74)),印刷機資料庫!$K$158:$K$169),0)</f>
        <v>0</v>
      </c>
      <c r="T74" s="898">
        <f t="shared" si="14"/>
        <v>0</v>
      </c>
      <c r="U74" s="923">
        <f t="shared" si="18"/>
        <v>0</v>
      </c>
      <c r="V74" s="898">
        <f t="shared" si="15"/>
        <v>0</v>
      </c>
      <c r="W74" s="953"/>
      <c r="X74" s="899">
        <f t="shared" si="16"/>
        <v>0</v>
      </c>
      <c r="Y74" s="438"/>
      <c r="Z74" s="482"/>
      <c r="AA74" s="465"/>
      <c r="AB74" s="438"/>
      <c r="AC74" s="438"/>
    </row>
    <row r="75" spans="1:53" s="433" customFormat="1" ht="15.75">
      <c r="A75" s="581"/>
      <c r="B75" s="581">
        <v>7</v>
      </c>
      <c r="C75" s="581" t="s">
        <v>673</v>
      </c>
      <c r="D75" s="581" t="s">
        <v>43</v>
      </c>
      <c r="E75" s="435" t="s">
        <v>42</v>
      </c>
      <c r="F75" s="429"/>
      <c r="G75" s="464"/>
      <c r="H75" s="464">
        <f>IFERROR(#REF!*G75,0)</f>
        <v>0</v>
      </c>
      <c r="I75" s="429"/>
      <c r="J75" s="429"/>
      <c r="K75" s="464"/>
      <c r="L75" s="438"/>
      <c r="M75" s="900">
        <f t="shared" si="13"/>
        <v>0</v>
      </c>
      <c r="N75" s="901">
        <f t="shared" si="17"/>
        <v>0</v>
      </c>
      <c r="O75" s="438">
        <f>IFERROR(LOOKUP(1,0/((印刷機資料庫!$F$158:$F$169=F75)*(印刷機資料庫!$G$158:$G$169=J75)),印刷機資料庫!$J$158:$J$169),0)</f>
        <v>0</v>
      </c>
      <c r="P75" s="462"/>
      <c r="Q75" s="442">
        <f t="shared" si="12"/>
        <v>0</v>
      </c>
      <c r="R75" s="438">
        <f>IFERROR(LOOKUP(1,0/((印刷機資料庫!$F$158:$F$169=F75)*(印刷機資料庫!$G$158:$G$169=J75)),印刷機資料庫!$I$158:$I$169),0)</f>
        <v>0</v>
      </c>
      <c r="S75" s="900">
        <f>IFERROR(LOOKUP(1,0/((印刷機資料庫!$F$158:$F$169=F75)*(印刷機資料庫!$G$158:$G$169=J75)),印刷機資料庫!$K$158:$K$169),0)</f>
        <v>0</v>
      </c>
      <c r="T75" s="898">
        <f t="shared" si="14"/>
        <v>0</v>
      </c>
      <c r="U75" s="923">
        <f t="shared" si="18"/>
        <v>0</v>
      </c>
      <c r="V75" s="898">
        <f t="shared" si="15"/>
        <v>0</v>
      </c>
      <c r="W75" s="953"/>
      <c r="X75" s="899">
        <f t="shared" si="16"/>
        <v>0</v>
      </c>
      <c r="Y75" s="438"/>
      <c r="Z75" s="482"/>
      <c r="AA75" s="465"/>
      <c r="AB75" s="438"/>
      <c r="AC75" s="438"/>
    </row>
    <row r="76" spans="1:53" s="433" customFormat="1" ht="15.75">
      <c r="A76" s="581"/>
      <c r="B76" s="581">
        <v>8</v>
      </c>
      <c r="C76" s="581" t="s">
        <v>632</v>
      </c>
      <c r="D76" s="581" t="s">
        <v>43</v>
      </c>
      <c r="E76" s="435" t="s">
        <v>42</v>
      </c>
      <c r="F76" s="429"/>
      <c r="G76" s="464"/>
      <c r="H76" s="464">
        <f>IFERROR(#REF!*G76,0)</f>
        <v>0</v>
      </c>
      <c r="I76" s="429"/>
      <c r="J76" s="429"/>
      <c r="K76" s="464"/>
      <c r="L76" s="438"/>
      <c r="M76" s="900">
        <f t="shared" si="13"/>
        <v>0</v>
      </c>
      <c r="N76" s="901">
        <f t="shared" si="17"/>
        <v>0</v>
      </c>
      <c r="O76" s="438">
        <f>IFERROR(LOOKUP(1,0/((印刷機資料庫!$F$158:$F$169=F76)*(印刷機資料庫!$G$158:$G$169=J76)),印刷機資料庫!$J$158:$J$169),0)</f>
        <v>0</v>
      </c>
      <c r="P76" s="462"/>
      <c r="Q76" s="442">
        <f t="shared" si="12"/>
        <v>0</v>
      </c>
      <c r="R76" s="438">
        <f>IFERROR(LOOKUP(1,0/((印刷機資料庫!$F$158:$F$169=F76)*(印刷機資料庫!$G$158:$G$169=J76)),印刷機資料庫!$I$158:$I$169),0)</f>
        <v>0</v>
      </c>
      <c r="S76" s="900">
        <f>IFERROR(LOOKUP(1,0/((印刷機資料庫!$F$158:$F$169=F76)*(印刷機資料庫!$G$158:$G$169=J76)),印刷機資料庫!$K$158:$K$169),0)</f>
        <v>0</v>
      </c>
      <c r="T76" s="898">
        <f>IFERROR(L76/S76,0)</f>
        <v>0</v>
      </c>
      <c r="U76" s="923">
        <f t="shared" si="18"/>
        <v>0</v>
      </c>
      <c r="V76" s="898">
        <f>IFERROR(L76/U76,0)</f>
        <v>0</v>
      </c>
      <c r="W76" s="953"/>
      <c r="X76" s="899">
        <f t="shared" si="16"/>
        <v>0</v>
      </c>
      <c r="Y76" s="438"/>
      <c r="Z76" s="482"/>
      <c r="AA76" s="465"/>
      <c r="AB76" s="438"/>
      <c r="AC76" s="438"/>
    </row>
    <row r="77" spans="1:53" s="433" customFormat="1" ht="15.75">
      <c r="A77" s="581"/>
      <c r="B77" s="581">
        <v>9</v>
      </c>
      <c r="C77" s="581" t="s">
        <v>667</v>
      </c>
      <c r="D77" s="581" t="s">
        <v>43</v>
      </c>
      <c r="E77" s="435" t="s">
        <v>42</v>
      </c>
      <c r="F77" s="429"/>
      <c r="G77" s="464"/>
      <c r="H77" s="464">
        <f>IFERROR(#REF!*G77,0)</f>
        <v>0</v>
      </c>
      <c r="I77" s="429"/>
      <c r="J77" s="429"/>
      <c r="K77" s="464"/>
      <c r="L77" s="438"/>
      <c r="M77" s="900">
        <f t="shared" si="13"/>
        <v>0</v>
      </c>
      <c r="N77" s="901">
        <f t="shared" si="17"/>
        <v>0</v>
      </c>
      <c r="O77" s="438">
        <f>IFERROR(LOOKUP(1,0/((印刷機資料庫!$F$158:$F$169=F77)*(印刷機資料庫!$G$158:$G$169=J77)),印刷機資料庫!$J$158:$J$169),0)</f>
        <v>0</v>
      </c>
      <c r="P77" s="462"/>
      <c r="Q77" s="442">
        <f t="shared" si="12"/>
        <v>0</v>
      </c>
      <c r="R77" s="438">
        <f>IFERROR(LOOKUP(1,0/((印刷機資料庫!$F$158:$F$169=F77)*(印刷機資料庫!$G$158:$G$169=J77)),印刷機資料庫!$I$158:$I$169),0)</f>
        <v>0</v>
      </c>
      <c r="S77" s="900">
        <f>IFERROR(LOOKUP(1,0/((印刷機資料庫!$F$158:$F$169=F77)*(印刷機資料庫!$G$158:$G$169=J77)),印刷機資料庫!$K$158:$K$169),0)</f>
        <v>0</v>
      </c>
      <c r="T77" s="898">
        <f>IFERROR(L77/S77,0)</f>
        <v>0</v>
      </c>
      <c r="U77" s="923">
        <f t="shared" si="18"/>
        <v>0</v>
      </c>
      <c r="V77" s="898">
        <f t="shared" ref="V77:V99" si="19">IFERROR(L77/U77,0)</f>
        <v>0</v>
      </c>
      <c r="W77" s="953"/>
      <c r="X77" s="899">
        <f t="shared" si="16"/>
        <v>0</v>
      </c>
      <c r="Y77" s="438"/>
      <c r="Z77" s="482"/>
      <c r="AA77" s="465"/>
      <c r="AB77" s="438"/>
      <c r="AC77" s="438"/>
    </row>
    <row r="78" spans="1:53" s="433" customFormat="1" ht="15.75">
      <c r="A78" s="581"/>
      <c r="B78" s="581">
        <v>10</v>
      </c>
      <c r="C78" s="581" t="s">
        <v>669</v>
      </c>
      <c r="D78" s="581" t="s">
        <v>43</v>
      </c>
      <c r="E78" s="435" t="s">
        <v>42</v>
      </c>
      <c r="F78" s="429"/>
      <c r="G78" s="464"/>
      <c r="H78" s="464">
        <f>IFERROR(#REF!*G78,0)</f>
        <v>0</v>
      </c>
      <c r="I78" s="429"/>
      <c r="J78" s="429"/>
      <c r="K78" s="464"/>
      <c r="L78" s="438"/>
      <c r="M78" s="900">
        <f t="shared" si="13"/>
        <v>0</v>
      </c>
      <c r="N78" s="901">
        <f t="shared" si="17"/>
        <v>0</v>
      </c>
      <c r="O78" s="438">
        <f>IFERROR(LOOKUP(1,0/((印刷機資料庫!$F$158:$F$169=F78)*(印刷機資料庫!$G$158:$G$169=J78)),印刷機資料庫!$J$158:$J$169),0)</f>
        <v>0</v>
      </c>
      <c r="P78" s="462"/>
      <c r="Q78" s="442">
        <f t="shared" si="12"/>
        <v>0</v>
      </c>
      <c r="R78" s="438">
        <f>IFERROR(LOOKUP(1,0/((印刷機資料庫!$F$158:$F$169=F78)*(印刷機資料庫!$G$158:$G$169=J78)),印刷機資料庫!$I$158:$I$169),0)</f>
        <v>0</v>
      </c>
      <c r="S78" s="900">
        <f>IFERROR(LOOKUP(1,0/((印刷機資料庫!$F$158:$F$169=F78)*(印刷機資料庫!$G$158:$G$169=J78)),印刷機資料庫!$K$158:$K$169),0)</f>
        <v>0</v>
      </c>
      <c r="T78" s="898">
        <f t="shared" ref="T78:T97" si="20">IFERROR(L78/S78,0)</f>
        <v>0</v>
      </c>
      <c r="U78" s="923">
        <f t="shared" si="18"/>
        <v>0</v>
      </c>
      <c r="V78" s="898">
        <f t="shared" si="19"/>
        <v>0</v>
      </c>
      <c r="W78" s="953"/>
      <c r="X78" s="899">
        <f t="shared" si="16"/>
        <v>0</v>
      </c>
      <c r="Y78" s="438"/>
      <c r="Z78" s="482"/>
      <c r="AA78" s="465"/>
      <c r="AB78" s="438"/>
      <c r="AC78" s="438"/>
    </row>
    <row r="79" spans="1:53" s="433" customFormat="1" ht="15.75">
      <c r="A79" s="581"/>
      <c r="B79" s="581">
        <v>11</v>
      </c>
      <c r="C79" s="581" t="s">
        <v>670</v>
      </c>
      <c r="D79" s="581" t="s">
        <v>43</v>
      </c>
      <c r="E79" s="435" t="s">
        <v>42</v>
      </c>
      <c r="F79" s="429"/>
      <c r="G79" s="464"/>
      <c r="H79" s="464">
        <f>IFERROR(#REF!*G79,0)</f>
        <v>0</v>
      </c>
      <c r="I79" s="429"/>
      <c r="J79" s="429"/>
      <c r="K79" s="464"/>
      <c r="L79" s="438"/>
      <c r="M79" s="900">
        <f t="shared" si="13"/>
        <v>0</v>
      </c>
      <c r="N79" s="901">
        <f t="shared" si="17"/>
        <v>0</v>
      </c>
      <c r="O79" s="438">
        <f>IFERROR(LOOKUP(1,0/((印刷機資料庫!$F$158:$F$169=F79)*(印刷機資料庫!$G$158:$G$169=J79)),印刷機資料庫!$J$158:$J$169),0)</f>
        <v>0</v>
      </c>
      <c r="P79" s="462"/>
      <c r="Q79" s="442">
        <f t="shared" si="12"/>
        <v>0</v>
      </c>
      <c r="R79" s="438">
        <f>IFERROR(LOOKUP(1,0/((印刷機資料庫!$F$158:$F$169=F79)*(印刷機資料庫!$G$158:$G$169=J79)),印刷機資料庫!$I$158:$I$169),0)</f>
        <v>0</v>
      </c>
      <c r="S79" s="900">
        <f>IFERROR(LOOKUP(1,0/((印刷機資料庫!$F$158:$F$169=F79)*(印刷機資料庫!$G$158:$G$169=J79)),印刷機資料庫!$K$158:$K$169),0)</f>
        <v>0</v>
      </c>
      <c r="T79" s="898">
        <f t="shared" si="20"/>
        <v>0</v>
      </c>
      <c r="U79" s="923">
        <f t="shared" si="18"/>
        <v>0</v>
      </c>
      <c r="V79" s="898">
        <f t="shared" si="19"/>
        <v>0</v>
      </c>
      <c r="W79" s="953"/>
      <c r="X79" s="899">
        <f t="shared" si="16"/>
        <v>0</v>
      </c>
      <c r="Y79" s="438"/>
      <c r="Z79" s="482"/>
      <c r="AA79" s="465"/>
      <c r="AB79" s="438"/>
      <c r="AC79" s="438"/>
    </row>
    <row r="80" spans="1:53" s="433" customFormat="1" ht="15.75">
      <c r="A80" s="581"/>
      <c r="B80" s="581">
        <v>12</v>
      </c>
      <c r="C80" s="581" t="s">
        <v>671</v>
      </c>
      <c r="D80" s="581" t="s">
        <v>43</v>
      </c>
      <c r="E80" s="435" t="s">
        <v>42</v>
      </c>
      <c r="F80" s="429"/>
      <c r="G80" s="464"/>
      <c r="H80" s="464">
        <f>IFERROR(#REF!*G80,0)</f>
        <v>0</v>
      </c>
      <c r="I80" s="429"/>
      <c r="J80" s="429"/>
      <c r="K80" s="464"/>
      <c r="L80" s="438"/>
      <c r="M80" s="900">
        <f t="shared" si="13"/>
        <v>0</v>
      </c>
      <c r="N80" s="901">
        <f t="shared" si="17"/>
        <v>0</v>
      </c>
      <c r="O80" s="438">
        <f>IFERROR(LOOKUP(1,0/((印刷機資料庫!$F$158:$F$169=F80)*(印刷機資料庫!$G$158:$G$169=J80)),印刷機資料庫!$J$158:$J$169),0)</f>
        <v>0</v>
      </c>
      <c r="P80" s="462"/>
      <c r="Q80" s="442">
        <f t="shared" si="12"/>
        <v>0</v>
      </c>
      <c r="R80" s="438">
        <f>IFERROR(LOOKUP(1,0/((印刷機資料庫!$F$158:$F$169=F80)*(印刷機資料庫!$G$158:$G$169=J80)),印刷機資料庫!$I$158:$I$169),0)</f>
        <v>0</v>
      </c>
      <c r="S80" s="900">
        <f>IFERROR(LOOKUP(1,0/((印刷機資料庫!$F$158:$F$169=F80)*(印刷機資料庫!$G$158:$G$169=J80)),印刷機資料庫!$K$158:$K$169),0)</f>
        <v>0</v>
      </c>
      <c r="T80" s="898">
        <f t="shared" si="20"/>
        <v>0</v>
      </c>
      <c r="U80" s="923">
        <f t="shared" si="18"/>
        <v>0</v>
      </c>
      <c r="V80" s="898">
        <f t="shared" si="19"/>
        <v>0</v>
      </c>
      <c r="W80" s="953"/>
      <c r="X80" s="899">
        <f t="shared" si="16"/>
        <v>0</v>
      </c>
      <c r="Y80" s="438"/>
      <c r="Z80" s="482"/>
      <c r="AA80" s="465"/>
      <c r="AB80" s="438"/>
      <c r="AC80" s="438"/>
    </row>
    <row r="81" spans="1:29" s="433" customFormat="1" ht="15.75">
      <c r="A81" s="581"/>
      <c r="B81" s="581">
        <v>13</v>
      </c>
      <c r="C81" s="581" t="s">
        <v>672</v>
      </c>
      <c r="D81" s="581" t="s">
        <v>43</v>
      </c>
      <c r="E81" s="435" t="s">
        <v>42</v>
      </c>
      <c r="F81" s="429"/>
      <c r="G81" s="464"/>
      <c r="H81" s="464">
        <f>IFERROR(#REF!*G81,0)</f>
        <v>0</v>
      </c>
      <c r="I81" s="429"/>
      <c r="J81" s="429"/>
      <c r="K81" s="464"/>
      <c r="L81" s="438"/>
      <c r="M81" s="900">
        <f t="shared" si="13"/>
        <v>0</v>
      </c>
      <c r="N81" s="901">
        <f t="shared" si="17"/>
        <v>0</v>
      </c>
      <c r="O81" s="438">
        <f>IFERROR(LOOKUP(1,0/((印刷機資料庫!$F$158:$F$169=F81)*(印刷機資料庫!$G$158:$G$169=J81)),印刷機資料庫!$J$158:$J$169),0)</f>
        <v>0</v>
      </c>
      <c r="P81" s="462"/>
      <c r="Q81" s="442">
        <f t="shared" si="12"/>
        <v>0</v>
      </c>
      <c r="R81" s="438">
        <f>IFERROR(LOOKUP(1,0/((印刷機資料庫!$F$158:$F$169=F81)*(印刷機資料庫!$G$158:$G$169=J81)),印刷機資料庫!$I$158:$I$169),0)</f>
        <v>0</v>
      </c>
      <c r="S81" s="900">
        <f>IFERROR(LOOKUP(1,0/((印刷機資料庫!$F$158:$F$169=F81)*(印刷機資料庫!$G$158:$G$169=J81)),印刷機資料庫!$K$158:$K$169),0)</f>
        <v>0</v>
      </c>
      <c r="T81" s="898">
        <f t="shared" si="20"/>
        <v>0</v>
      </c>
      <c r="U81" s="923">
        <f t="shared" si="18"/>
        <v>0</v>
      </c>
      <c r="V81" s="898">
        <f t="shared" si="19"/>
        <v>0</v>
      </c>
      <c r="W81" s="953"/>
      <c r="X81" s="899">
        <f t="shared" si="16"/>
        <v>0</v>
      </c>
      <c r="Y81" s="438"/>
      <c r="Z81" s="482"/>
      <c r="AA81" s="465"/>
      <c r="AB81" s="438"/>
      <c r="AC81" s="438"/>
    </row>
    <row r="82" spans="1:29" s="433" customFormat="1" ht="15.75">
      <c r="A82" s="581"/>
      <c r="B82" s="581">
        <v>14</v>
      </c>
      <c r="C82" s="581" t="s">
        <v>673</v>
      </c>
      <c r="D82" s="581" t="s">
        <v>43</v>
      </c>
      <c r="E82" s="435" t="s">
        <v>42</v>
      </c>
      <c r="F82" s="429"/>
      <c r="G82" s="464"/>
      <c r="H82" s="464">
        <f>IFERROR(#REF!*G82,0)</f>
        <v>0</v>
      </c>
      <c r="I82" s="429"/>
      <c r="J82" s="429"/>
      <c r="K82" s="464"/>
      <c r="L82" s="438"/>
      <c r="M82" s="900">
        <f t="shared" si="13"/>
        <v>0</v>
      </c>
      <c r="N82" s="901">
        <f t="shared" si="17"/>
        <v>0</v>
      </c>
      <c r="O82" s="438">
        <f>IFERROR(LOOKUP(1,0/((印刷機資料庫!$F$158:$F$169=F82)*(印刷機資料庫!$G$158:$G$169=J82)),印刷機資料庫!$J$158:$J$169),0)</f>
        <v>0</v>
      </c>
      <c r="P82" s="462"/>
      <c r="Q82" s="442">
        <f t="shared" si="12"/>
        <v>0</v>
      </c>
      <c r="R82" s="438">
        <f>IFERROR(LOOKUP(1,0/((印刷機資料庫!$F$158:$F$169=F82)*(印刷機資料庫!$G$158:$G$169=J82)),印刷機資料庫!$I$158:$I$169),0)</f>
        <v>0</v>
      </c>
      <c r="S82" s="900">
        <f>IFERROR(LOOKUP(1,0/((印刷機資料庫!$F$158:$F$169=F82)*(印刷機資料庫!$G$158:$G$169=J82)),印刷機資料庫!$K$158:$K$169),0)</f>
        <v>0</v>
      </c>
      <c r="T82" s="898">
        <f t="shared" si="20"/>
        <v>0</v>
      </c>
      <c r="U82" s="923">
        <f t="shared" si="18"/>
        <v>0</v>
      </c>
      <c r="V82" s="898">
        <f t="shared" si="19"/>
        <v>0</v>
      </c>
      <c r="W82" s="953"/>
      <c r="X82" s="899">
        <f t="shared" si="16"/>
        <v>0</v>
      </c>
      <c r="Y82" s="438"/>
      <c r="Z82" s="482"/>
      <c r="AA82" s="465"/>
      <c r="AB82" s="438"/>
      <c r="AC82" s="438"/>
    </row>
    <row r="83" spans="1:29" s="433" customFormat="1" ht="15.75">
      <c r="A83" s="581"/>
      <c r="B83" s="581">
        <v>15</v>
      </c>
      <c r="C83" s="581" t="s">
        <v>632</v>
      </c>
      <c r="D83" s="581" t="s">
        <v>43</v>
      </c>
      <c r="E83" s="435" t="s">
        <v>42</v>
      </c>
      <c r="F83" s="429"/>
      <c r="G83" s="464"/>
      <c r="H83" s="464">
        <f>IFERROR(#REF!*G83,0)</f>
        <v>0</v>
      </c>
      <c r="I83" s="429"/>
      <c r="J83" s="429"/>
      <c r="K83" s="464"/>
      <c r="L83" s="438"/>
      <c r="M83" s="900">
        <f t="shared" si="13"/>
        <v>0</v>
      </c>
      <c r="N83" s="901">
        <f t="shared" si="17"/>
        <v>0</v>
      </c>
      <c r="O83" s="438">
        <f>IFERROR(LOOKUP(1,0/((印刷機資料庫!$F$158:$F$169=F83)*(印刷機資料庫!$G$158:$G$169=J83)),印刷機資料庫!$J$158:$J$169),0)</f>
        <v>0</v>
      </c>
      <c r="P83" s="462"/>
      <c r="Q83" s="442">
        <f t="shared" si="12"/>
        <v>0</v>
      </c>
      <c r="R83" s="438">
        <f>IFERROR(LOOKUP(1,0/((印刷機資料庫!$F$158:$F$169=F83)*(印刷機資料庫!$G$158:$G$169=J83)),印刷機資料庫!$I$158:$I$169),0)</f>
        <v>0</v>
      </c>
      <c r="S83" s="900">
        <f>IFERROR(LOOKUP(1,0/((印刷機資料庫!$F$158:$F$169=F83)*(印刷機資料庫!$G$158:$G$169=J83)),印刷機資料庫!$K$158:$K$169),0)</f>
        <v>0</v>
      </c>
      <c r="T83" s="898">
        <f t="shared" si="20"/>
        <v>0</v>
      </c>
      <c r="U83" s="923">
        <f t="shared" si="18"/>
        <v>0</v>
      </c>
      <c r="V83" s="898">
        <f t="shared" si="19"/>
        <v>0</v>
      </c>
      <c r="W83" s="953"/>
      <c r="X83" s="899">
        <f t="shared" si="16"/>
        <v>0</v>
      </c>
      <c r="Y83" s="438"/>
      <c r="Z83" s="482"/>
      <c r="AA83" s="465"/>
      <c r="AB83" s="438"/>
      <c r="AC83" s="438"/>
    </row>
    <row r="84" spans="1:29" s="433" customFormat="1" ht="15.75">
      <c r="A84" s="581"/>
      <c r="B84" s="581">
        <v>16</v>
      </c>
      <c r="C84" s="581" t="s">
        <v>667</v>
      </c>
      <c r="D84" s="581" t="s">
        <v>43</v>
      </c>
      <c r="E84" s="435" t="s">
        <v>42</v>
      </c>
      <c r="F84" s="429"/>
      <c r="G84" s="464"/>
      <c r="H84" s="464">
        <f>IFERROR(#REF!*G84,0)</f>
        <v>0</v>
      </c>
      <c r="I84" s="429"/>
      <c r="J84" s="429"/>
      <c r="K84" s="464"/>
      <c r="L84" s="438"/>
      <c r="M84" s="900">
        <f t="shared" si="13"/>
        <v>0</v>
      </c>
      <c r="N84" s="901">
        <f t="shared" si="17"/>
        <v>0</v>
      </c>
      <c r="O84" s="438">
        <f>IFERROR(LOOKUP(1,0/((印刷機資料庫!$F$158:$F$169=F84)*(印刷機資料庫!$G$158:$G$169=J84)),印刷機資料庫!$J$158:$J$169),0)</f>
        <v>0</v>
      </c>
      <c r="P84" s="462"/>
      <c r="Q84" s="442">
        <f t="shared" si="12"/>
        <v>0</v>
      </c>
      <c r="R84" s="438">
        <f>IFERROR(LOOKUP(1,0/((印刷機資料庫!$F$158:$F$169=F84)*(印刷機資料庫!$G$158:$G$169=J84)),印刷機資料庫!$I$158:$I$169),0)</f>
        <v>0</v>
      </c>
      <c r="S84" s="900">
        <f>IFERROR(LOOKUP(1,0/((印刷機資料庫!$F$158:$F$169=F84)*(印刷機資料庫!$G$158:$G$169=J84)),印刷機資料庫!$K$158:$K$169),0)</f>
        <v>0</v>
      </c>
      <c r="T84" s="898">
        <f t="shared" si="20"/>
        <v>0</v>
      </c>
      <c r="U84" s="923">
        <f t="shared" si="18"/>
        <v>0</v>
      </c>
      <c r="V84" s="898">
        <f t="shared" si="19"/>
        <v>0</v>
      </c>
      <c r="W84" s="953"/>
      <c r="X84" s="899">
        <f t="shared" si="16"/>
        <v>0</v>
      </c>
      <c r="Y84" s="438"/>
      <c r="Z84" s="482"/>
      <c r="AA84" s="465"/>
      <c r="AB84" s="438"/>
      <c r="AC84" s="438"/>
    </row>
    <row r="85" spans="1:29" s="433" customFormat="1" ht="15.75">
      <c r="A85" s="581"/>
      <c r="B85" s="581">
        <v>17</v>
      </c>
      <c r="C85" s="581" t="s">
        <v>669</v>
      </c>
      <c r="D85" s="581" t="s">
        <v>43</v>
      </c>
      <c r="E85" s="435" t="s">
        <v>42</v>
      </c>
      <c r="F85" s="429"/>
      <c r="G85" s="464"/>
      <c r="H85" s="464">
        <f>IFERROR(#REF!*G85,0)</f>
        <v>0</v>
      </c>
      <c r="I85" s="429"/>
      <c r="J85" s="429"/>
      <c r="K85" s="464"/>
      <c r="L85" s="438"/>
      <c r="M85" s="900">
        <f t="shared" si="13"/>
        <v>0</v>
      </c>
      <c r="N85" s="901">
        <f t="shared" si="17"/>
        <v>0</v>
      </c>
      <c r="O85" s="438">
        <f>IFERROR(LOOKUP(1,0/((印刷機資料庫!$F$158:$F$169=F85)*(印刷機資料庫!$G$158:$G$169=J85)),印刷機資料庫!$J$158:$J$169),0)</f>
        <v>0</v>
      </c>
      <c r="P85" s="462"/>
      <c r="Q85" s="442">
        <f t="shared" si="12"/>
        <v>0</v>
      </c>
      <c r="R85" s="438">
        <f>IFERROR(LOOKUP(1,0/((印刷機資料庫!$F$158:$F$169=F85)*(印刷機資料庫!$G$158:$G$169=J85)),印刷機資料庫!$I$158:$I$169),0)</f>
        <v>0</v>
      </c>
      <c r="S85" s="900">
        <f>IFERROR(LOOKUP(1,0/((印刷機資料庫!$F$158:$F$169=F85)*(印刷機資料庫!$G$158:$G$169=J85)),印刷機資料庫!$K$158:$K$169),0)</f>
        <v>0</v>
      </c>
      <c r="T85" s="898">
        <f t="shared" si="20"/>
        <v>0</v>
      </c>
      <c r="U85" s="923">
        <f t="shared" si="18"/>
        <v>0</v>
      </c>
      <c r="V85" s="898">
        <f t="shared" si="19"/>
        <v>0</v>
      </c>
      <c r="W85" s="953"/>
      <c r="X85" s="899">
        <f t="shared" si="16"/>
        <v>0</v>
      </c>
      <c r="Y85" s="438"/>
      <c r="Z85" s="482"/>
      <c r="AA85" s="465"/>
      <c r="AB85" s="438"/>
      <c r="AC85" s="438"/>
    </row>
    <row r="86" spans="1:29" s="433" customFormat="1" ht="15.75">
      <c r="A86" s="581"/>
      <c r="B86" s="581">
        <v>18</v>
      </c>
      <c r="C86" s="581" t="s">
        <v>670</v>
      </c>
      <c r="D86" s="581" t="s">
        <v>43</v>
      </c>
      <c r="E86" s="435" t="s">
        <v>42</v>
      </c>
      <c r="F86" s="429"/>
      <c r="G86" s="464"/>
      <c r="H86" s="464">
        <f>IFERROR(#REF!*G86,0)</f>
        <v>0</v>
      </c>
      <c r="I86" s="429"/>
      <c r="J86" s="429"/>
      <c r="K86" s="464"/>
      <c r="L86" s="438"/>
      <c r="M86" s="900">
        <f t="shared" si="13"/>
        <v>0</v>
      </c>
      <c r="N86" s="901">
        <f t="shared" si="17"/>
        <v>0</v>
      </c>
      <c r="O86" s="438">
        <f>IFERROR(LOOKUP(1,0/((印刷機資料庫!$F$158:$F$169=F86)*(印刷機資料庫!$G$158:$G$169=J86)),印刷機資料庫!$J$158:$J$169),0)</f>
        <v>0</v>
      </c>
      <c r="P86" s="462"/>
      <c r="Q86" s="442">
        <f t="shared" si="12"/>
        <v>0</v>
      </c>
      <c r="R86" s="438">
        <f>IFERROR(LOOKUP(1,0/((印刷機資料庫!$F$158:$F$169=F86)*(印刷機資料庫!$G$158:$G$169=J86)),印刷機資料庫!$I$158:$I$169),0)</f>
        <v>0</v>
      </c>
      <c r="S86" s="900">
        <f>IFERROR(LOOKUP(1,0/((印刷機資料庫!$F$158:$F$169=F86)*(印刷機資料庫!$G$158:$G$169=J86)),印刷機資料庫!$K$158:$K$169),0)</f>
        <v>0</v>
      </c>
      <c r="T86" s="898">
        <f t="shared" si="20"/>
        <v>0</v>
      </c>
      <c r="U86" s="923">
        <f t="shared" si="18"/>
        <v>0</v>
      </c>
      <c r="V86" s="898">
        <f t="shared" si="19"/>
        <v>0</v>
      </c>
      <c r="W86" s="953"/>
      <c r="X86" s="899">
        <f t="shared" si="16"/>
        <v>0</v>
      </c>
      <c r="Y86" s="438"/>
      <c r="Z86" s="482"/>
      <c r="AA86" s="465"/>
      <c r="AB86" s="438"/>
      <c r="AC86" s="438"/>
    </row>
    <row r="87" spans="1:29" s="433" customFormat="1" ht="15.75">
      <c r="A87" s="581"/>
      <c r="B87" s="581">
        <v>19</v>
      </c>
      <c r="C87" s="581" t="s">
        <v>671</v>
      </c>
      <c r="D87" s="581" t="s">
        <v>43</v>
      </c>
      <c r="E87" s="435" t="s">
        <v>42</v>
      </c>
      <c r="F87" s="429"/>
      <c r="G87" s="464"/>
      <c r="H87" s="464">
        <f>IFERROR(#REF!*G87,0)</f>
        <v>0</v>
      </c>
      <c r="I87" s="429"/>
      <c r="J87" s="429"/>
      <c r="K87" s="464"/>
      <c r="L87" s="438"/>
      <c r="M87" s="900">
        <f t="shared" si="13"/>
        <v>0</v>
      </c>
      <c r="N87" s="901">
        <f t="shared" si="17"/>
        <v>0</v>
      </c>
      <c r="O87" s="438">
        <f>IFERROR(LOOKUP(1,0/((印刷機資料庫!$F$158:$F$169=F87)*(印刷機資料庫!$G$158:$G$169=J87)),印刷機資料庫!$J$158:$J$169),0)</f>
        <v>0</v>
      </c>
      <c r="P87" s="462"/>
      <c r="Q87" s="442">
        <f t="shared" si="12"/>
        <v>0</v>
      </c>
      <c r="R87" s="438">
        <f>IFERROR(LOOKUP(1,0/((印刷機資料庫!$F$158:$F$169=F87)*(印刷機資料庫!$G$158:$G$169=J87)),印刷機資料庫!$I$158:$I$169),0)</f>
        <v>0</v>
      </c>
      <c r="S87" s="900">
        <f>IFERROR(LOOKUP(1,0/((印刷機資料庫!$F$158:$F$169=F87)*(印刷機資料庫!$G$158:$G$169=J87)),印刷機資料庫!$K$158:$K$169),0)</f>
        <v>0</v>
      </c>
      <c r="T87" s="898">
        <f t="shared" si="20"/>
        <v>0</v>
      </c>
      <c r="U87" s="923">
        <f t="shared" si="18"/>
        <v>0</v>
      </c>
      <c r="V87" s="898">
        <f t="shared" si="19"/>
        <v>0</v>
      </c>
      <c r="W87" s="953"/>
      <c r="X87" s="899">
        <f t="shared" si="16"/>
        <v>0</v>
      </c>
      <c r="Y87" s="438"/>
      <c r="Z87" s="482"/>
      <c r="AA87" s="465"/>
      <c r="AB87" s="438"/>
      <c r="AC87" s="438"/>
    </row>
    <row r="88" spans="1:29" s="433" customFormat="1" ht="15.75">
      <c r="A88" s="434"/>
      <c r="B88" s="434">
        <v>20</v>
      </c>
      <c r="C88" s="581" t="s">
        <v>672</v>
      </c>
      <c r="D88" s="581" t="s">
        <v>43</v>
      </c>
      <c r="E88" s="435" t="s">
        <v>42</v>
      </c>
      <c r="F88" s="429"/>
      <c r="G88" s="464"/>
      <c r="H88" s="464">
        <f>IFERROR(#REF!*G88,0)</f>
        <v>0</v>
      </c>
      <c r="I88" s="429"/>
      <c r="J88" s="429"/>
      <c r="K88" s="464"/>
      <c r="L88" s="438"/>
      <c r="M88" s="900">
        <f t="shared" si="13"/>
        <v>0</v>
      </c>
      <c r="N88" s="901">
        <f t="shared" si="17"/>
        <v>0</v>
      </c>
      <c r="O88" s="438">
        <f>IFERROR(LOOKUP(1,0/((印刷機資料庫!$F$158:$F$169=F88)*(印刷機資料庫!$G$158:$G$169=J88)),印刷機資料庫!$J$158:$J$169),0)</f>
        <v>0</v>
      </c>
      <c r="P88" s="462"/>
      <c r="Q88" s="442">
        <f t="shared" si="12"/>
        <v>0</v>
      </c>
      <c r="R88" s="438">
        <f>IFERROR(LOOKUP(1,0/((印刷機資料庫!$F$158:$F$169=F88)*(印刷機資料庫!$G$158:$G$169=J88)),印刷機資料庫!$I$158:$I$169),0)</f>
        <v>0</v>
      </c>
      <c r="S88" s="900">
        <f>IFERROR(LOOKUP(1,0/((印刷機資料庫!$F$158:$F$169=F88)*(印刷機資料庫!$G$158:$G$169=J88)),印刷機資料庫!$K$158:$K$169),0)</f>
        <v>0</v>
      </c>
      <c r="T88" s="898">
        <f t="shared" si="20"/>
        <v>0</v>
      </c>
      <c r="U88" s="923">
        <f t="shared" si="18"/>
        <v>0</v>
      </c>
      <c r="V88" s="898">
        <f t="shared" si="19"/>
        <v>0</v>
      </c>
      <c r="W88" s="953"/>
      <c r="X88" s="899">
        <f t="shared" si="16"/>
        <v>0</v>
      </c>
      <c r="Y88" s="438"/>
      <c r="Z88" s="482"/>
      <c r="AA88" s="465"/>
      <c r="AB88" s="438"/>
      <c r="AC88" s="438"/>
    </row>
    <row r="89" spans="1:29" s="433" customFormat="1" ht="15.75">
      <c r="A89" s="434"/>
      <c r="B89" s="434">
        <v>21</v>
      </c>
      <c r="C89" s="581" t="s">
        <v>673</v>
      </c>
      <c r="D89" s="581" t="s">
        <v>43</v>
      </c>
      <c r="E89" s="435" t="s">
        <v>42</v>
      </c>
      <c r="F89" s="429"/>
      <c r="G89" s="464"/>
      <c r="H89" s="464">
        <f>IFERROR(#REF!*G89,0)</f>
        <v>0</v>
      </c>
      <c r="I89" s="429"/>
      <c r="J89" s="429"/>
      <c r="K89" s="464"/>
      <c r="L89" s="438"/>
      <c r="M89" s="900">
        <f t="shared" si="13"/>
        <v>0</v>
      </c>
      <c r="N89" s="901">
        <f t="shared" si="17"/>
        <v>0</v>
      </c>
      <c r="O89" s="438">
        <f>IFERROR(LOOKUP(1,0/((印刷機資料庫!$F$158:$F$169=F89)*(印刷機資料庫!$G$158:$G$169=J89)),印刷機資料庫!$J$158:$J$169),0)</f>
        <v>0</v>
      </c>
      <c r="P89" s="462"/>
      <c r="Q89" s="442">
        <f>IFERROR(P89/(M89+P89),0)</f>
        <v>0</v>
      </c>
      <c r="R89" s="438">
        <f>IFERROR(LOOKUP(1,0/((印刷機資料庫!$F$158:$F$169=F89)*(印刷機資料庫!$G$158:$G$169=J89)),印刷機資料庫!$I$158:$I$169),0)</f>
        <v>0</v>
      </c>
      <c r="S89" s="900">
        <f>IFERROR(LOOKUP(1,0/((印刷機資料庫!$F$158:$F$169=F89)*(印刷機資料庫!$G$158:$G$169=J89)),印刷機資料庫!$K$158:$K$169),0)</f>
        <v>0</v>
      </c>
      <c r="T89" s="898">
        <f t="shared" si="20"/>
        <v>0</v>
      </c>
      <c r="U89" s="923">
        <f t="shared" si="18"/>
        <v>0</v>
      </c>
      <c r="V89" s="898">
        <f t="shared" si="19"/>
        <v>0</v>
      </c>
      <c r="W89" s="953"/>
      <c r="X89" s="899">
        <f t="shared" si="16"/>
        <v>0</v>
      </c>
      <c r="Y89" s="438"/>
      <c r="Z89" s="482"/>
      <c r="AA89" s="465"/>
      <c r="AB89" s="438"/>
      <c r="AC89" s="438"/>
    </row>
    <row r="90" spans="1:29" s="433" customFormat="1" ht="15.75">
      <c r="A90" s="434"/>
      <c r="B90" s="434">
        <v>22</v>
      </c>
      <c r="C90" s="581" t="s">
        <v>632</v>
      </c>
      <c r="D90" s="581" t="s">
        <v>43</v>
      </c>
      <c r="E90" s="435" t="s">
        <v>42</v>
      </c>
      <c r="F90" s="429"/>
      <c r="G90" s="464"/>
      <c r="H90" s="464">
        <f>IFERROR(#REF!*G90,0)</f>
        <v>0</v>
      </c>
      <c r="I90" s="429"/>
      <c r="J90" s="429"/>
      <c r="K90" s="464"/>
      <c r="L90" s="438"/>
      <c r="M90" s="900">
        <f t="shared" si="13"/>
        <v>0</v>
      </c>
      <c r="N90" s="901">
        <f t="shared" si="17"/>
        <v>0</v>
      </c>
      <c r="O90" s="438">
        <f>IFERROR(LOOKUP(1,0/((印刷機資料庫!$F$158:$F$169=F90)*(印刷機資料庫!$G$158:$G$169=J90)),印刷機資料庫!$J$158:$J$169),0)</f>
        <v>0</v>
      </c>
      <c r="P90" s="462"/>
      <c r="Q90" s="442">
        <f t="shared" ref="Q90:Q99" si="21">IFERROR(P90/(M90+P90),0)</f>
        <v>0</v>
      </c>
      <c r="R90" s="438">
        <f>IFERROR(LOOKUP(1,0/((印刷機資料庫!$F$158:$F$169=F90)*(印刷機資料庫!$G$158:$G$169=J90)),印刷機資料庫!$I$158:$I$169),0)</f>
        <v>0</v>
      </c>
      <c r="S90" s="900">
        <f>IFERROR(LOOKUP(1,0/((印刷機資料庫!$F$158:$F$169=F90)*(印刷機資料庫!$G$158:$G$169=J90)),印刷機資料庫!$K$158:$K$169),0)</f>
        <v>0</v>
      </c>
      <c r="T90" s="898">
        <f t="shared" si="20"/>
        <v>0</v>
      </c>
      <c r="U90" s="923">
        <f t="shared" si="18"/>
        <v>0</v>
      </c>
      <c r="V90" s="898">
        <f t="shared" si="19"/>
        <v>0</v>
      </c>
      <c r="W90" s="953"/>
      <c r="X90" s="899">
        <f t="shared" si="16"/>
        <v>0</v>
      </c>
      <c r="Y90" s="438"/>
      <c r="Z90" s="482"/>
      <c r="AA90" s="465"/>
      <c r="AB90" s="438"/>
      <c r="AC90" s="438"/>
    </row>
    <row r="91" spans="1:29" s="433" customFormat="1" ht="15.75">
      <c r="A91" s="434"/>
      <c r="B91" s="434">
        <v>23</v>
      </c>
      <c r="C91" s="581" t="s">
        <v>667</v>
      </c>
      <c r="D91" s="581" t="s">
        <v>43</v>
      </c>
      <c r="E91" s="435" t="s">
        <v>42</v>
      </c>
      <c r="F91" s="429"/>
      <c r="G91" s="464"/>
      <c r="H91" s="464">
        <f>IFERROR(#REF!*G91,0)</f>
        <v>0</v>
      </c>
      <c r="I91" s="429"/>
      <c r="J91" s="429"/>
      <c r="K91" s="464"/>
      <c r="L91" s="438"/>
      <c r="M91" s="900">
        <f t="shared" si="13"/>
        <v>0</v>
      </c>
      <c r="N91" s="901">
        <f t="shared" si="17"/>
        <v>0</v>
      </c>
      <c r="O91" s="438">
        <f>IFERROR(LOOKUP(1,0/((印刷機資料庫!$F$158:$F$169=F91)*(印刷機資料庫!$G$158:$G$169=J91)),印刷機資料庫!$J$158:$J$169),0)</f>
        <v>0</v>
      </c>
      <c r="P91" s="462"/>
      <c r="Q91" s="442">
        <f t="shared" si="21"/>
        <v>0</v>
      </c>
      <c r="R91" s="438">
        <f>IFERROR(LOOKUP(1,0/((印刷機資料庫!$F$158:$F$169=F91)*(印刷機資料庫!$G$158:$G$169=J91)),印刷機資料庫!$I$158:$I$169),0)</f>
        <v>0</v>
      </c>
      <c r="S91" s="900">
        <f>IFERROR(LOOKUP(1,0/((印刷機資料庫!$F$158:$F$169=F91)*(印刷機資料庫!$G$158:$G$169=J91)),印刷機資料庫!$K$158:$K$169),0)</f>
        <v>0</v>
      </c>
      <c r="T91" s="898">
        <f t="shared" si="20"/>
        <v>0</v>
      </c>
      <c r="U91" s="923">
        <f t="shared" si="18"/>
        <v>0</v>
      </c>
      <c r="V91" s="898">
        <f t="shared" si="19"/>
        <v>0</v>
      </c>
      <c r="W91" s="953"/>
      <c r="X91" s="899">
        <f t="shared" si="16"/>
        <v>0</v>
      </c>
      <c r="Y91" s="438"/>
      <c r="Z91" s="482"/>
      <c r="AA91" s="465"/>
      <c r="AB91" s="438"/>
      <c r="AC91" s="438"/>
    </row>
    <row r="92" spans="1:29" s="433" customFormat="1" ht="15.75">
      <c r="A92" s="434"/>
      <c r="B92" s="434">
        <v>24</v>
      </c>
      <c r="C92" s="581" t="s">
        <v>669</v>
      </c>
      <c r="D92" s="581" t="s">
        <v>43</v>
      </c>
      <c r="E92" s="435" t="s">
        <v>42</v>
      </c>
      <c r="F92" s="429"/>
      <c r="G92" s="464"/>
      <c r="H92" s="464">
        <f>IFERROR(#REF!*G92,0)</f>
        <v>0</v>
      </c>
      <c r="I92" s="429"/>
      <c r="J92" s="429"/>
      <c r="K92" s="464"/>
      <c r="L92" s="438"/>
      <c r="M92" s="900">
        <f t="shared" si="13"/>
        <v>0</v>
      </c>
      <c r="N92" s="901">
        <f t="shared" si="17"/>
        <v>0</v>
      </c>
      <c r="O92" s="438">
        <f>IFERROR(LOOKUP(1,0/((印刷機資料庫!$F$158:$F$169=F92)*(印刷機資料庫!$G$158:$G$169=J92)),印刷機資料庫!$J$158:$J$169),0)</f>
        <v>0</v>
      </c>
      <c r="P92" s="462"/>
      <c r="Q92" s="442">
        <f t="shared" si="21"/>
        <v>0</v>
      </c>
      <c r="R92" s="438">
        <f>IFERROR(LOOKUP(1,0/((印刷機資料庫!$F$158:$F$169=F92)*(印刷機資料庫!$G$158:$G$169=J92)),印刷機資料庫!$I$158:$I$169),0)</f>
        <v>0</v>
      </c>
      <c r="S92" s="900">
        <f>IFERROR(LOOKUP(1,0/((印刷機資料庫!$F$158:$F$169=F92)*(印刷機資料庫!$G$158:$G$169=J92)),印刷機資料庫!$K$158:$K$169),0)</f>
        <v>0</v>
      </c>
      <c r="T92" s="898">
        <f t="shared" si="20"/>
        <v>0</v>
      </c>
      <c r="U92" s="923">
        <f t="shared" si="18"/>
        <v>0</v>
      </c>
      <c r="V92" s="898">
        <f t="shared" si="19"/>
        <v>0</v>
      </c>
      <c r="W92" s="953"/>
      <c r="X92" s="899">
        <f t="shared" si="16"/>
        <v>0</v>
      </c>
      <c r="Y92" s="438"/>
      <c r="Z92" s="482"/>
      <c r="AA92" s="465"/>
      <c r="AB92" s="438"/>
      <c r="AC92" s="438"/>
    </row>
    <row r="93" spans="1:29" s="433" customFormat="1" ht="15.75">
      <c r="A93" s="434"/>
      <c r="B93" s="434">
        <v>25</v>
      </c>
      <c r="C93" s="581" t="s">
        <v>670</v>
      </c>
      <c r="D93" s="581" t="s">
        <v>43</v>
      </c>
      <c r="E93" s="435" t="s">
        <v>42</v>
      </c>
      <c r="F93" s="429"/>
      <c r="G93" s="464"/>
      <c r="H93" s="464">
        <f>IFERROR(#REF!*G93,0)</f>
        <v>0</v>
      </c>
      <c r="I93" s="429"/>
      <c r="J93" s="429"/>
      <c r="K93" s="464"/>
      <c r="L93" s="438"/>
      <c r="M93" s="900">
        <f t="shared" si="13"/>
        <v>0</v>
      </c>
      <c r="N93" s="901">
        <f t="shared" si="17"/>
        <v>0</v>
      </c>
      <c r="O93" s="438">
        <f>IFERROR(LOOKUP(1,0/((印刷機資料庫!$F$158:$F$169=F93)*(印刷機資料庫!$G$158:$G$169=J93)),印刷機資料庫!$J$158:$J$169),0)</f>
        <v>0</v>
      </c>
      <c r="P93" s="462"/>
      <c r="Q93" s="442">
        <f t="shared" si="21"/>
        <v>0</v>
      </c>
      <c r="R93" s="438">
        <f>IFERROR(LOOKUP(1,0/((印刷機資料庫!$F$158:$F$169=F93)*(印刷機資料庫!$G$158:$G$169=J93)),印刷機資料庫!$I$158:$I$169),0)</f>
        <v>0</v>
      </c>
      <c r="S93" s="900">
        <f>IFERROR(LOOKUP(1,0/((印刷機資料庫!$F$158:$F$169=F93)*(印刷機資料庫!$G$158:$G$169=J93)),印刷機資料庫!$K$158:$K$169),0)</f>
        <v>0</v>
      </c>
      <c r="T93" s="898">
        <f t="shared" si="20"/>
        <v>0</v>
      </c>
      <c r="U93" s="923">
        <f t="shared" si="18"/>
        <v>0</v>
      </c>
      <c r="V93" s="898">
        <f t="shared" si="19"/>
        <v>0</v>
      </c>
      <c r="W93" s="953"/>
      <c r="X93" s="899">
        <f t="shared" si="16"/>
        <v>0</v>
      </c>
      <c r="Y93" s="438"/>
      <c r="Z93" s="482"/>
      <c r="AA93" s="465"/>
      <c r="AB93" s="438"/>
      <c r="AC93" s="438"/>
    </row>
    <row r="94" spans="1:29" s="433" customFormat="1" ht="15.75">
      <c r="A94" s="434"/>
      <c r="B94" s="434">
        <v>26</v>
      </c>
      <c r="C94" s="581" t="s">
        <v>671</v>
      </c>
      <c r="D94" s="581" t="s">
        <v>43</v>
      </c>
      <c r="E94" s="435" t="s">
        <v>42</v>
      </c>
      <c r="F94" s="429"/>
      <c r="G94" s="464"/>
      <c r="H94" s="464">
        <f>IFERROR(#REF!*G94,0)</f>
        <v>0</v>
      </c>
      <c r="I94" s="429"/>
      <c r="J94" s="429"/>
      <c r="K94" s="464"/>
      <c r="L94" s="438"/>
      <c r="M94" s="900">
        <f t="shared" si="13"/>
        <v>0</v>
      </c>
      <c r="N94" s="901">
        <f t="shared" si="17"/>
        <v>0</v>
      </c>
      <c r="O94" s="438">
        <f>IFERROR(LOOKUP(1,0/((印刷機資料庫!$F$158:$F$169=F94)*(印刷機資料庫!$G$158:$G$169=J94)),印刷機資料庫!$J$158:$J$169),0)</f>
        <v>0</v>
      </c>
      <c r="P94" s="462"/>
      <c r="Q94" s="444">
        <f t="shared" si="21"/>
        <v>0</v>
      </c>
      <c r="R94" s="438">
        <f>IFERROR(LOOKUP(1,0/((印刷機資料庫!$F$158:$F$169=F94)*(印刷機資料庫!$G$158:$G$169=J94)),印刷機資料庫!$I$158:$I$169),0)</f>
        <v>0</v>
      </c>
      <c r="S94" s="900">
        <f>IFERROR(LOOKUP(1,0/((印刷機資料庫!$F$158:$F$169=F94)*(印刷機資料庫!$G$158:$G$169=J94)),印刷機資料庫!$K$158:$K$169),0)</f>
        <v>0</v>
      </c>
      <c r="T94" s="898">
        <f t="shared" si="20"/>
        <v>0</v>
      </c>
      <c r="U94" s="923">
        <f t="shared" si="18"/>
        <v>0</v>
      </c>
      <c r="V94" s="898">
        <f t="shared" si="19"/>
        <v>0</v>
      </c>
      <c r="W94" s="953"/>
      <c r="X94" s="899">
        <f t="shared" si="16"/>
        <v>0</v>
      </c>
      <c r="Y94" s="438"/>
      <c r="Z94" s="482"/>
      <c r="AA94" s="465"/>
      <c r="AB94" s="438"/>
      <c r="AC94" s="438"/>
    </row>
    <row r="95" spans="1:29" s="433" customFormat="1" ht="15.75">
      <c r="A95" s="434"/>
      <c r="B95" s="434">
        <v>27</v>
      </c>
      <c r="C95" s="581" t="s">
        <v>672</v>
      </c>
      <c r="D95" s="581" t="s">
        <v>43</v>
      </c>
      <c r="E95" s="435" t="s">
        <v>42</v>
      </c>
      <c r="F95" s="429"/>
      <c r="G95" s="464"/>
      <c r="H95" s="464">
        <f>IFERROR(#REF!*G95,0)</f>
        <v>0</v>
      </c>
      <c r="I95" s="429"/>
      <c r="J95" s="429"/>
      <c r="K95" s="464"/>
      <c r="L95" s="438"/>
      <c r="M95" s="900">
        <f t="shared" si="13"/>
        <v>0</v>
      </c>
      <c r="N95" s="901">
        <f t="shared" si="17"/>
        <v>0</v>
      </c>
      <c r="O95" s="438">
        <f>IFERROR(LOOKUP(1,0/((印刷機資料庫!$F$158:$F$169=F95)*(印刷機資料庫!$G$158:$G$169=J95)),印刷機資料庫!$J$158:$J$169),0)</f>
        <v>0</v>
      </c>
      <c r="P95" s="462"/>
      <c r="Q95" s="442">
        <f t="shared" si="21"/>
        <v>0</v>
      </c>
      <c r="R95" s="438">
        <f>IFERROR(LOOKUP(1,0/((印刷機資料庫!$F$158:$F$169=F95)*(印刷機資料庫!$G$158:$G$169=J95)),印刷機資料庫!$I$158:$I$169),0)</f>
        <v>0</v>
      </c>
      <c r="S95" s="900">
        <f>IFERROR(LOOKUP(1,0/((印刷機資料庫!$F$158:$F$169=F95)*(印刷機資料庫!$G$158:$G$169=J95)),印刷機資料庫!$K$158:$K$169),0)</f>
        <v>0</v>
      </c>
      <c r="T95" s="898">
        <f t="shared" si="20"/>
        <v>0</v>
      </c>
      <c r="U95" s="923">
        <f t="shared" si="18"/>
        <v>0</v>
      </c>
      <c r="V95" s="898">
        <f t="shared" si="19"/>
        <v>0</v>
      </c>
      <c r="W95" s="953"/>
      <c r="X95" s="899">
        <f t="shared" si="16"/>
        <v>0</v>
      </c>
      <c r="Y95" s="438"/>
      <c r="Z95" s="482"/>
      <c r="AA95" s="465"/>
      <c r="AB95" s="438"/>
      <c r="AC95" s="438"/>
    </row>
    <row r="96" spans="1:29" s="433" customFormat="1" ht="15.75">
      <c r="A96" s="434"/>
      <c r="B96" s="434">
        <v>28</v>
      </c>
      <c r="C96" s="581" t="s">
        <v>673</v>
      </c>
      <c r="D96" s="581" t="s">
        <v>43</v>
      </c>
      <c r="E96" s="435" t="s">
        <v>42</v>
      </c>
      <c r="F96" s="429"/>
      <c r="G96" s="464"/>
      <c r="H96" s="464">
        <f>IFERROR(#REF!*G96,0)</f>
        <v>0</v>
      </c>
      <c r="I96" s="429"/>
      <c r="J96" s="429"/>
      <c r="K96" s="464"/>
      <c r="L96" s="438"/>
      <c r="M96" s="900">
        <f t="shared" si="13"/>
        <v>0</v>
      </c>
      <c r="N96" s="901">
        <f t="shared" si="17"/>
        <v>0</v>
      </c>
      <c r="O96" s="438">
        <f>IFERROR(LOOKUP(1,0/((印刷機資料庫!$F$158:$F$169=F96)*(印刷機資料庫!$G$158:$G$169=J96)),印刷機資料庫!$J$158:$J$169),0)</f>
        <v>0</v>
      </c>
      <c r="P96" s="462"/>
      <c r="Q96" s="442">
        <f t="shared" si="21"/>
        <v>0</v>
      </c>
      <c r="R96" s="438">
        <f>IFERROR(LOOKUP(1,0/((印刷機資料庫!$F$158:$F$169=F96)*(印刷機資料庫!$G$158:$G$169=J96)),印刷機資料庫!$I$158:$I$169),0)</f>
        <v>0</v>
      </c>
      <c r="S96" s="900">
        <f>IFERROR(LOOKUP(1,0/((印刷機資料庫!$F$158:$F$169=F96)*(印刷機資料庫!$G$158:$G$169=J96)),印刷機資料庫!$K$158:$K$169),0)</f>
        <v>0</v>
      </c>
      <c r="T96" s="898">
        <f t="shared" si="20"/>
        <v>0</v>
      </c>
      <c r="U96" s="923">
        <f t="shared" si="18"/>
        <v>0</v>
      </c>
      <c r="V96" s="898">
        <f t="shared" si="19"/>
        <v>0</v>
      </c>
      <c r="W96" s="953"/>
      <c r="X96" s="899">
        <f t="shared" si="16"/>
        <v>0</v>
      </c>
      <c r="Y96" s="438"/>
      <c r="Z96" s="482"/>
      <c r="AA96" s="465"/>
      <c r="AB96" s="438"/>
      <c r="AC96" s="438"/>
    </row>
    <row r="97" spans="1:29" s="433" customFormat="1" ht="15.75">
      <c r="A97" s="434"/>
      <c r="B97" s="434">
        <v>29</v>
      </c>
      <c r="C97" s="581" t="s">
        <v>632</v>
      </c>
      <c r="D97" s="581" t="s">
        <v>43</v>
      </c>
      <c r="E97" s="435" t="s">
        <v>42</v>
      </c>
      <c r="F97" s="429"/>
      <c r="G97" s="464"/>
      <c r="H97" s="464">
        <f>IFERROR(#REF!*G97,0)</f>
        <v>0</v>
      </c>
      <c r="I97" s="429"/>
      <c r="J97" s="429"/>
      <c r="K97" s="464"/>
      <c r="L97" s="438"/>
      <c r="M97" s="900">
        <f t="shared" si="13"/>
        <v>0</v>
      </c>
      <c r="N97" s="901">
        <f t="shared" si="17"/>
        <v>0</v>
      </c>
      <c r="O97" s="438">
        <f>IFERROR(LOOKUP(1,0/((印刷機資料庫!$F$158:$F$169=F97)*(印刷機資料庫!$G$158:$G$169=J97)),印刷機資料庫!$J$158:$J$169),0)</f>
        <v>0</v>
      </c>
      <c r="P97" s="462"/>
      <c r="Q97" s="442">
        <f t="shared" si="21"/>
        <v>0</v>
      </c>
      <c r="R97" s="438">
        <f>IFERROR(LOOKUP(1,0/((印刷機資料庫!$F$158:$F$169=F97)*(印刷機資料庫!$G$158:$G$169=J97)),印刷機資料庫!$I$158:$I$169),0)</f>
        <v>0</v>
      </c>
      <c r="S97" s="900">
        <f>IFERROR(LOOKUP(1,0/((印刷機資料庫!$F$158:$F$169=F97)*(印刷機資料庫!$G$158:$G$169=J97)),印刷機資料庫!$K$158:$K$169),0)</f>
        <v>0</v>
      </c>
      <c r="T97" s="898">
        <f t="shared" si="20"/>
        <v>0</v>
      </c>
      <c r="U97" s="923">
        <f t="shared" si="18"/>
        <v>0</v>
      </c>
      <c r="V97" s="898">
        <f t="shared" si="19"/>
        <v>0</v>
      </c>
      <c r="W97" s="953"/>
      <c r="X97" s="899">
        <f t="shared" si="16"/>
        <v>0</v>
      </c>
      <c r="Y97" s="438"/>
      <c r="Z97" s="482"/>
      <c r="AA97" s="465"/>
      <c r="AB97" s="438"/>
      <c r="AC97" s="438"/>
    </row>
    <row r="98" spans="1:29" s="433" customFormat="1" ht="15.75">
      <c r="A98" s="434"/>
      <c r="B98" s="434">
        <v>30</v>
      </c>
      <c r="C98" s="581" t="s">
        <v>667</v>
      </c>
      <c r="D98" s="581" t="s">
        <v>43</v>
      </c>
      <c r="E98" s="435" t="s">
        <v>42</v>
      </c>
      <c r="F98" s="429"/>
      <c r="G98" s="464"/>
      <c r="H98" s="464">
        <f>IFERROR(#REF!*G98,0)</f>
        <v>0</v>
      </c>
      <c r="I98" s="429"/>
      <c r="J98" s="429"/>
      <c r="K98" s="464"/>
      <c r="L98" s="438"/>
      <c r="M98" s="900">
        <f t="shared" si="13"/>
        <v>0</v>
      </c>
      <c r="N98" s="901">
        <f t="shared" si="17"/>
        <v>0</v>
      </c>
      <c r="O98" s="438">
        <f>IFERROR(LOOKUP(1,0/((印刷機資料庫!$F$158:$F$169=F98)*(印刷機資料庫!$G$158:$G$169=J98)),印刷機資料庫!$J$158:$J$169),0)</f>
        <v>0</v>
      </c>
      <c r="P98" s="462"/>
      <c r="Q98" s="442">
        <f t="shared" si="21"/>
        <v>0</v>
      </c>
      <c r="R98" s="438">
        <f>IFERROR(LOOKUP(1,0/((印刷機資料庫!$F$158:$F$169=F98)*(印刷機資料庫!$G$158:$G$169=J98)),印刷機資料庫!$I$158:$I$169),0)</f>
        <v>0</v>
      </c>
      <c r="S98" s="900">
        <f>IFERROR(LOOKUP(1,0/((印刷機資料庫!$F$158:$F$169=F98)*(印刷機資料庫!$G$158:$G$169=J98)),印刷機資料庫!$K$158:$K$169),0)</f>
        <v>0</v>
      </c>
      <c r="T98" s="898">
        <f>IFERROR(L98/S98,0)</f>
        <v>0</v>
      </c>
      <c r="U98" s="923">
        <f t="shared" si="18"/>
        <v>0</v>
      </c>
      <c r="V98" s="898">
        <f t="shared" si="19"/>
        <v>0</v>
      </c>
      <c r="W98" s="953"/>
      <c r="X98" s="899">
        <f t="shared" si="16"/>
        <v>0</v>
      </c>
      <c r="Y98" s="438"/>
      <c r="Z98" s="482"/>
      <c r="AA98" s="465"/>
      <c r="AB98" s="438"/>
      <c r="AC98" s="539"/>
    </row>
    <row r="99" spans="1:29" s="433" customFormat="1" ht="15.75">
      <c r="A99" s="434"/>
      <c r="B99" s="434"/>
      <c r="C99" s="581"/>
      <c r="D99" s="581"/>
      <c r="E99" s="435"/>
      <c r="F99" s="429"/>
      <c r="G99" s="464"/>
      <c r="H99" s="464">
        <f>IFERROR(#REF!*G99,0)</f>
        <v>0</v>
      </c>
      <c r="I99" s="429"/>
      <c r="J99" s="429"/>
      <c r="K99" s="464"/>
      <c r="L99" s="438"/>
      <c r="M99" s="900">
        <f t="shared" si="13"/>
        <v>0</v>
      </c>
      <c r="N99" s="901">
        <f t="shared" si="17"/>
        <v>0</v>
      </c>
      <c r="O99" s="438">
        <f>IFERROR(LOOKUP(1,0/((印刷機資料庫!$F$158:$F$169=F99)*(印刷機資料庫!$G$158:$G$169=J99)),印刷機資料庫!$J$158:$J$169),0)</f>
        <v>0</v>
      </c>
      <c r="P99" s="462"/>
      <c r="Q99" s="442">
        <f t="shared" si="21"/>
        <v>0</v>
      </c>
      <c r="R99" s="438">
        <f>IFERROR(LOOKUP(1,0/((印刷機資料庫!$F$158:$F$169=F99)*(印刷機資料庫!$G$158:$G$169=J99)),印刷機資料庫!$I$158:$I$169),0)</f>
        <v>0</v>
      </c>
      <c r="S99" s="900">
        <f>IFERROR(LOOKUP(1,0/((印刷機資料庫!$F$158:$F$169=F99)*(印刷機資料庫!$G$158:$G$169=J99)),印刷機資料庫!$K$158:$K$169),0)</f>
        <v>0</v>
      </c>
      <c r="T99" s="898">
        <f>IFERROR(L99/S99,0)</f>
        <v>0</v>
      </c>
      <c r="U99" s="923">
        <f t="shared" si="18"/>
        <v>0</v>
      </c>
      <c r="V99" s="898">
        <f t="shared" si="19"/>
        <v>0</v>
      </c>
      <c r="W99" s="953"/>
      <c r="X99" s="899">
        <f t="shared" si="16"/>
        <v>0</v>
      </c>
      <c r="Y99" s="438"/>
      <c r="Z99" s="482"/>
      <c r="AA99" s="465"/>
      <c r="AB99" s="438"/>
      <c r="AC99" s="539"/>
    </row>
    <row r="100" spans="1:29" s="433" customFormat="1" ht="15.75">
      <c r="A100" s="446"/>
      <c r="B100" s="446"/>
      <c r="C100" s="456"/>
      <c r="D100" s="456"/>
      <c r="E100" s="448"/>
      <c r="F100" s="452"/>
      <c r="G100" s="452"/>
      <c r="H100" s="430"/>
      <c r="I100" s="469"/>
      <c r="J100" s="518"/>
      <c r="K100" s="452"/>
      <c r="L100" s="439"/>
      <c r="M100" s="945"/>
      <c r="N100" s="946"/>
      <c r="O100" s="467"/>
      <c r="P100" s="467"/>
      <c r="Q100" s="869"/>
      <c r="R100" s="470"/>
      <c r="S100" s="945"/>
      <c r="T100" s="869"/>
      <c r="U100" s="869"/>
      <c r="V100" s="869"/>
      <c r="W100" s="957"/>
      <c r="X100" s="869"/>
      <c r="Y100" s="869"/>
      <c r="Z100" s="869"/>
      <c r="AA100" s="869"/>
      <c r="AB100" s="869"/>
      <c r="AC100" s="869"/>
    </row>
    <row r="101" spans="1:29" s="433" customFormat="1" ht="15.75">
      <c r="A101" s="446"/>
      <c r="B101" s="446"/>
      <c r="C101" s="456"/>
      <c r="D101" s="456"/>
      <c r="E101" s="448"/>
      <c r="F101" s="452"/>
      <c r="G101" s="452"/>
      <c r="H101" s="430"/>
      <c r="I101" s="469"/>
      <c r="J101" s="518"/>
      <c r="K101" s="452"/>
      <c r="L101" s="439"/>
      <c r="M101" s="945"/>
      <c r="N101" s="946"/>
      <c r="O101" s="467"/>
      <c r="P101" s="467"/>
      <c r="Q101" s="869"/>
      <c r="R101" s="470"/>
      <c r="S101" s="945"/>
      <c r="T101" s="869"/>
      <c r="U101" s="869"/>
      <c r="V101" s="869"/>
      <c r="W101" s="957"/>
      <c r="X101" s="869"/>
      <c r="Y101" s="869"/>
      <c r="Z101" s="869"/>
      <c r="AA101" s="869"/>
      <c r="AB101" s="869"/>
      <c r="AC101" s="869"/>
    </row>
    <row r="102" spans="1:29" s="433" customFormat="1" thickBot="1">
      <c r="A102" s="446"/>
      <c r="B102" s="446"/>
      <c r="C102" s="446"/>
      <c r="D102" s="446"/>
      <c r="E102" s="448"/>
      <c r="F102" s="430"/>
      <c r="G102" s="430"/>
      <c r="H102" s="430"/>
      <c r="I102" s="469"/>
      <c r="J102" s="518"/>
      <c r="K102" s="439"/>
      <c r="L102" s="439"/>
      <c r="M102" s="452"/>
      <c r="N102" s="457"/>
      <c r="O102" s="467"/>
      <c r="P102" s="467"/>
      <c r="Q102" s="457"/>
      <c r="R102" s="470"/>
      <c r="S102" s="458"/>
      <c r="T102" s="487">
        <f>SUM(T69:T99)</f>
        <v>0</v>
      </c>
      <c r="U102" s="925"/>
      <c r="V102" s="487"/>
      <c r="W102" s="956"/>
      <c r="X102" s="487"/>
      <c r="Y102" s="489"/>
      <c r="Z102" s="489"/>
      <c r="AA102" s="469" t="s">
        <v>46</v>
      </c>
      <c r="AB102" s="439"/>
      <c r="AC102" s="439"/>
    </row>
    <row r="103" spans="1:29" s="469" customFormat="1" ht="15.75">
      <c r="A103" s="479"/>
      <c r="B103" s="479"/>
      <c r="C103" s="479"/>
      <c r="D103" s="479"/>
      <c r="E103" s="452"/>
      <c r="F103" s="517"/>
      <c r="G103" s="525" t="s">
        <v>631</v>
      </c>
      <c r="H103" s="518"/>
      <c r="J103" s="518"/>
      <c r="K103" s="1842" t="s">
        <v>1349</v>
      </c>
      <c r="L103" s="525" t="s">
        <v>536</v>
      </c>
      <c r="M103" s="525" t="s">
        <v>630</v>
      </c>
      <c r="N103" s="526" t="s">
        <v>458</v>
      </c>
      <c r="O103" s="521"/>
      <c r="P103" s="524" t="s">
        <v>537</v>
      </c>
      <c r="Q103" s="524" t="s">
        <v>455</v>
      </c>
      <c r="R103" s="520"/>
      <c r="S103" s="524" t="s">
        <v>1284</v>
      </c>
      <c r="T103" s="524" t="s">
        <v>459</v>
      </c>
      <c r="U103" s="520"/>
      <c r="V103" s="524" t="s">
        <v>1345</v>
      </c>
      <c r="W103" s="524" t="s">
        <v>1350</v>
      </c>
      <c r="X103" s="524" t="s">
        <v>1351</v>
      </c>
      <c r="Y103" s="524" t="s">
        <v>1353</v>
      </c>
      <c r="Z103" s="524" t="s">
        <v>1352</v>
      </c>
      <c r="AA103" s="469" t="s">
        <v>253</v>
      </c>
      <c r="AB103" s="452"/>
      <c r="AC103" s="452"/>
    </row>
    <row r="104" spans="1:29" thickBot="1">
      <c r="G104" s="522">
        <f>SUM(H69:H98)</f>
        <v>0</v>
      </c>
      <c r="H104" s="431"/>
      <c r="I104" s="431"/>
      <c r="J104" s="431"/>
      <c r="K104" s="1843"/>
      <c r="L104" s="522">
        <f>SUM(L69:L99)</f>
        <v>0</v>
      </c>
      <c r="M104" s="522">
        <f>SUM(M69:M99)</f>
        <v>0</v>
      </c>
      <c r="N104" s="523">
        <f>SUM(N69:N99)</f>
        <v>0</v>
      </c>
      <c r="P104" s="523">
        <f>SUM(P69:P99)</f>
        <v>0</v>
      </c>
      <c r="Q104" s="897" t="e">
        <f>P104/(M104+P104)</f>
        <v>#DIV/0!</v>
      </c>
      <c r="S104" s="686" t="e">
        <f>L104/T104</f>
        <v>#DIV/0!</v>
      </c>
      <c r="T104" s="898" t="e">
        <f>T102/W104</f>
        <v>#DIV/0!</v>
      </c>
      <c r="U104" s="455"/>
      <c r="V104" s="516">
        <v>21</v>
      </c>
      <c r="W104" s="958">
        <f>SUM(W69:W99)</f>
        <v>0</v>
      </c>
      <c r="X104" s="516">
        <f>SUM(X69:X99)</f>
        <v>0</v>
      </c>
      <c r="Y104" s="516">
        <f>W104-X104</f>
        <v>0</v>
      </c>
      <c r="Z104" s="896" t="e">
        <f>X104/W104</f>
        <v>#DIV/0!</v>
      </c>
    </row>
    <row r="105" spans="1:29" ht="21">
      <c r="N105" s="472"/>
      <c r="T105" s="941"/>
    </row>
  </sheetData>
  <sheetProtection formatCells="0" formatColumns="0" formatRows="0" insertColumns="0" insertRows="0" insertHyperlinks="0" deleteColumns="0" deleteRows="0" sort="0" autoFilter="0" pivotTables="0"/>
  <mergeCells count="59">
    <mergeCell ref="P67:P68"/>
    <mergeCell ref="K103:K104"/>
    <mergeCell ref="W67:W68"/>
    <mergeCell ref="X67:X68"/>
    <mergeCell ref="Y67:Z67"/>
    <mergeCell ref="K67:K68"/>
    <mergeCell ref="L67:L68"/>
    <mergeCell ref="M67:M68"/>
    <mergeCell ref="N67:N68"/>
    <mergeCell ref="O67:O68"/>
    <mergeCell ref="G67:G68"/>
    <mergeCell ref="H67:H68"/>
    <mergeCell ref="I67:I68"/>
    <mergeCell ref="F67:F68"/>
    <mergeCell ref="J67:J68"/>
    <mergeCell ref="AC2:AC3"/>
    <mergeCell ref="K63:K64"/>
    <mergeCell ref="X2:X3"/>
    <mergeCell ref="Y2:Z2"/>
    <mergeCell ref="M2:M3"/>
    <mergeCell ref="T2:T3"/>
    <mergeCell ref="U2:U3"/>
    <mergeCell ref="V2:V3"/>
    <mergeCell ref="W2:W3"/>
    <mergeCell ref="N2:N3"/>
    <mergeCell ref="O2:O3"/>
    <mergeCell ref="P2:P3"/>
    <mergeCell ref="Q2:Q3"/>
    <mergeCell ref="R2:R3"/>
    <mergeCell ref="AC67:AC68"/>
    <mergeCell ref="Q67:Q68"/>
    <mergeCell ref="R67:R68"/>
    <mergeCell ref="S67:S68"/>
    <mergeCell ref="T67:T68"/>
    <mergeCell ref="U67:U68"/>
    <mergeCell ref="V67:V68"/>
    <mergeCell ref="AB67:AB68"/>
    <mergeCell ref="AA67:AA68"/>
    <mergeCell ref="A67:A68"/>
    <mergeCell ref="B67:B68"/>
    <mergeCell ref="C67:C68"/>
    <mergeCell ref="D67:D68"/>
    <mergeCell ref="E67:E68"/>
    <mergeCell ref="A1:AC1"/>
    <mergeCell ref="A2:A3"/>
    <mergeCell ref="B2:B3"/>
    <mergeCell ref="C2:C3"/>
    <mergeCell ref="D2:D3"/>
    <mergeCell ref="E2:E3"/>
    <mergeCell ref="G2:G3"/>
    <mergeCell ref="H2:H3"/>
    <mergeCell ref="S2:S3"/>
    <mergeCell ref="I2:I3"/>
    <mergeCell ref="F2:F3"/>
    <mergeCell ref="J2:J3"/>
    <mergeCell ref="K2:K3"/>
    <mergeCell ref="L2:L3"/>
    <mergeCell ref="AA2:AA3"/>
    <mergeCell ref="AB2:AB3"/>
  </mergeCells>
  <phoneticPr fontId="26" type="noConversion"/>
  <conditionalFormatting sqref="H17:H59 Q17:Q61 G60:G61 H69:H99 Q69:Q101 G100:G101 T100:AC101">
    <cfRule type="expression" dxfId="36" priority="50" stopIfTrue="1">
      <formula>G17=0</formula>
    </cfRule>
  </conditionalFormatting>
  <conditionalFormatting sqref="Q4:Q15">
    <cfRule type="expression" dxfId="35" priority="47" stopIfTrue="1">
      <formula>Q4=0</formula>
    </cfRule>
  </conditionalFormatting>
  <conditionalFormatting sqref="T17:T61">
    <cfRule type="expression" dxfId="34" priority="32" stopIfTrue="1">
      <formula>T17=0</formula>
    </cfRule>
  </conditionalFormatting>
  <conditionalFormatting sqref="T69:T99">
    <cfRule type="cellIs" dxfId="33" priority="8" stopIfTrue="1" operator="between">
      <formula>0.851</formula>
      <formula>1</formula>
    </cfRule>
    <cfRule type="cellIs" dxfId="32" priority="9" stopIfTrue="1" operator="between">
      <formula>0.7</formula>
      <formula>0.85</formula>
    </cfRule>
    <cfRule type="expression" dxfId="31" priority="6" stopIfTrue="1">
      <formula>T69=0</formula>
    </cfRule>
    <cfRule type="cellIs" dxfId="30" priority="7" stopIfTrue="1" operator="lessThan">
      <formula>0.7</formula>
    </cfRule>
  </conditionalFormatting>
  <conditionalFormatting sqref="T104">
    <cfRule type="cellIs" dxfId="29" priority="19" stopIfTrue="1" operator="between">
      <formula>0.7</formula>
      <formula>0.85</formula>
    </cfRule>
    <cfRule type="expression" dxfId="28" priority="20" stopIfTrue="1">
      <formula>T104=0</formula>
    </cfRule>
    <cfRule type="expression" dxfId="27" priority="16" stopIfTrue="1">
      <formula>T104=0</formula>
    </cfRule>
    <cfRule type="cellIs" dxfId="26" priority="17" stopIfTrue="1" operator="lessThan">
      <formula>0.7</formula>
    </cfRule>
    <cfRule type="cellIs" dxfId="25" priority="18" stopIfTrue="1" operator="between">
      <formula>0.851</formula>
      <formula>1</formula>
    </cfRule>
  </conditionalFormatting>
  <conditionalFormatting sqref="T17:U61">
    <cfRule type="cellIs" dxfId="24" priority="33" stopIfTrue="1" operator="lessThan">
      <formula>0.7</formula>
    </cfRule>
    <cfRule type="cellIs" dxfId="23" priority="34" stopIfTrue="1" operator="between">
      <formula>0.851</formula>
      <formula>1</formula>
    </cfRule>
    <cfRule type="cellIs" dxfId="22" priority="35" stopIfTrue="1" operator="between">
      <formula>0.7</formula>
      <formula>0.85</formula>
    </cfRule>
    <cfRule type="expression" dxfId="21" priority="41" stopIfTrue="1">
      <formula>T17=0</formula>
    </cfRule>
  </conditionalFormatting>
  <conditionalFormatting sqref="T69:U99">
    <cfRule type="expression" dxfId="20" priority="10" stopIfTrue="1">
      <formula>T69=0</formula>
    </cfRule>
  </conditionalFormatting>
  <conditionalFormatting sqref="T4:V15">
    <cfRule type="expression" dxfId="19" priority="42" stopIfTrue="1">
      <formula>T4=0</formula>
    </cfRule>
    <cfRule type="cellIs" dxfId="18" priority="43" stopIfTrue="1" operator="lessThan">
      <formula>0.7</formula>
    </cfRule>
    <cfRule type="cellIs" dxfId="17" priority="44" stopIfTrue="1" operator="between">
      <formula>0.851</formula>
      <formula>1</formula>
    </cfRule>
    <cfRule type="cellIs" dxfId="16" priority="45" stopIfTrue="1" operator="between">
      <formula>0.7</formula>
      <formula>0.85</formula>
    </cfRule>
    <cfRule type="expression" dxfId="15" priority="46" stopIfTrue="1">
      <formula>T4=0</formula>
    </cfRule>
  </conditionalFormatting>
  <conditionalFormatting sqref="U69:U99">
    <cfRule type="cellIs" dxfId="14" priority="12" stopIfTrue="1" operator="lessThan">
      <formula>0.7</formula>
    </cfRule>
    <cfRule type="cellIs" dxfId="13" priority="13" stopIfTrue="1" operator="between">
      <formula>0.851</formula>
      <formula>1</formula>
    </cfRule>
    <cfRule type="expression" dxfId="12" priority="15" stopIfTrue="1">
      <formula>U69=0</formula>
    </cfRule>
    <cfRule type="cellIs" dxfId="11" priority="14" stopIfTrue="1" operator="between">
      <formula>0.7</formula>
      <formula>0.85</formula>
    </cfRule>
  </conditionalFormatting>
  <conditionalFormatting sqref="V17:V61 T64">
    <cfRule type="expression" dxfId="10" priority="21" stopIfTrue="1">
      <formula>T17=0</formula>
    </cfRule>
    <cfRule type="cellIs" dxfId="9" priority="22" stopIfTrue="1" operator="lessThan">
      <formula>0.7</formula>
    </cfRule>
    <cfRule type="cellIs" dxfId="8" priority="23" stopIfTrue="1" operator="between">
      <formula>0.851</formula>
      <formula>1</formula>
    </cfRule>
    <cfRule type="cellIs" dxfId="7" priority="24" stopIfTrue="1" operator="between">
      <formula>0.7</formula>
      <formula>0.85</formula>
    </cfRule>
    <cfRule type="expression" dxfId="6" priority="25" stopIfTrue="1">
      <formula>T17=0</formula>
    </cfRule>
  </conditionalFormatting>
  <conditionalFormatting sqref="V17:V61 V69:V99">
    <cfRule type="cellIs" dxfId="5" priority="26" stopIfTrue="1" operator="greaterThan">
      <formula>1</formula>
    </cfRule>
  </conditionalFormatting>
  <conditionalFormatting sqref="V69:V99">
    <cfRule type="cellIs" dxfId="4" priority="2" stopIfTrue="1" operator="lessThan">
      <formula>0.7</formula>
    </cfRule>
    <cfRule type="cellIs" dxfId="3" priority="3" stopIfTrue="1" operator="between">
      <formula>0.851</formula>
      <formula>1</formula>
    </cfRule>
    <cfRule type="cellIs" dxfId="2" priority="4" stopIfTrue="1" operator="between">
      <formula>0.7</formula>
      <formula>0.85</formula>
    </cfRule>
    <cfRule type="expression" dxfId="1" priority="5" stopIfTrue="1">
      <formula>V69=0</formula>
    </cfRule>
    <cfRule type="expression" dxfId="0" priority="1" stopIfTrue="1">
      <formula>V69=0</formula>
    </cfRule>
  </conditionalFormatting>
  <pageMargins left="0" right="0" top="0.39" bottom="0.39" header="0.51" footer="0.51"/>
  <pageSetup paperSize="9" scale="65" orientation="landscape" r:id="rId1"/>
  <headerFooter alignWithMargins="0"/>
  <colBreaks count="1" manualBreakCount="1">
    <brk id="29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ED3D21-6A60-4BC1-9C5A-B9F829EF1FA6}">
          <x14:formula1>
            <xm:f>規格清單!$D$62:$D$65</xm:f>
          </x14:formula1>
          <xm:sqref>F4:F59 F69:F99</xm:sqref>
        </x14:dataValidation>
        <x14:dataValidation type="list" allowBlank="1" showInputMessage="1" showErrorMessage="1" xr:uid="{B58D96A0-1DB3-4EEA-A298-501D8C3EF432}">
          <x14:formula1>
            <xm:f>印刷機資料庫!$A$9:$A$11</xm:f>
          </x14:formula1>
          <xm:sqref>J69:J99 J4:J59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工作表26">
    <tabColor theme="7" tint="0.39997558519241921"/>
  </sheetPr>
  <dimension ref="A1:AV195"/>
  <sheetViews>
    <sheetView zoomScale="75" zoomScaleNormal="75" workbookViewId="0">
      <pane xSplit="4" ySplit="3" topLeftCell="E4" activePane="bottomRight" state="frozen"/>
      <selection activeCell="W23" sqref="W23"/>
      <selection pane="topRight" activeCell="W23" sqref="W23"/>
      <selection pane="bottomLeft" activeCell="W23" sqref="W23"/>
      <selection pane="bottomRight" sqref="A1:X1"/>
    </sheetView>
  </sheetViews>
  <sheetFormatPr defaultRowHeight="16.5"/>
  <cols>
    <col min="1" max="4" width="4.375" style="446" customWidth="1"/>
    <col min="5" max="5" width="4.375" style="433" customWidth="1"/>
    <col min="6" max="6" width="20.625" style="449" customWidth="1"/>
    <col min="7" max="7" width="36.5" style="450" bestFit="1" customWidth="1"/>
    <col min="8" max="10" width="9.625" style="446" customWidth="1"/>
    <col min="11" max="11" width="9.625" style="456" customWidth="1"/>
    <col min="12" max="13" width="9.625" style="446" customWidth="1"/>
    <col min="14" max="14" width="9.625" style="440" customWidth="1"/>
    <col min="15" max="15" width="9.625" style="455" customWidth="1"/>
    <col min="16" max="16" width="9.625" style="456" customWidth="1"/>
    <col min="17" max="17" width="9.625" customWidth="1"/>
    <col min="18" max="18" width="7.625" style="445" customWidth="1"/>
    <col min="19" max="20" width="7.625" style="432" customWidth="1"/>
    <col min="21" max="21" width="11" style="432" customWidth="1"/>
    <col min="22" max="22" width="35.625" style="451" customWidth="1"/>
    <col min="23" max="24" width="17.625" style="433" customWidth="1"/>
    <col min="25" max="120" width="8.875" style="446" customWidth="1"/>
    <col min="121" max="16384" width="9" style="446"/>
  </cols>
  <sheetData>
    <row r="1" spans="1:48" ht="24.95" customHeight="1" thickBot="1">
      <c r="A1" s="1882" t="s">
        <v>579</v>
      </c>
      <c r="B1" s="1882"/>
      <c r="C1" s="1882"/>
      <c r="D1" s="1882"/>
      <c r="E1" s="1882"/>
      <c r="F1" s="1882"/>
      <c r="G1" s="1882"/>
      <c r="H1" s="1882"/>
      <c r="I1" s="1882"/>
      <c r="J1" s="1882"/>
      <c r="K1" s="1882"/>
      <c r="L1" s="1882"/>
      <c r="M1" s="1882"/>
      <c r="N1" s="1882"/>
      <c r="O1" s="1882"/>
      <c r="P1" s="1882"/>
      <c r="Q1" s="1882"/>
      <c r="R1" s="1882"/>
      <c r="S1" s="1882"/>
      <c r="T1" s="1882"/>
      <c r="U1" s="1882"/>
      <c r="V1" s="1882"/>
      <c r="W1" s="1882"/>
      <c r="X1" s="1882"/>
    </row>
    <row r="2" spans="1:48" ht="24.95" customHeight="1">
      <c r="A2" s="1824" t="s">
        <v>330</v>
      </c>
      <c r="B2" s="1826" t="s">
        <v>311</v>
      </c>
      <c r="C2" s="1828" t="s">
        <v>331</v>
      </c>
      <c r="D2" s="1828" t="s">
        <v>332</v>
      </c>
      <c r="E2" s="1830" t="s">
        <v>194</v>
      </c>
      <c r="F2" s="1832" t="s">
        <v>510</v>
      </c>
      <c r="G2" s="1832" t="s">
        <v>361</v>
      </c>
      <c r="H2" s="1828" t="s">
        <v>362</v>
      </c>
      <c r="I2" s="1828" t="s">
        <v>514</v>
      </c>
      <c r="J2" s="1856" t="s">
        <v>511</v>
      </c>
      <c r="K2" s="1858" t="s">
        <v>457</v>
      </c>
      <c r="L2" s="1828" t="s">
        <v>380</v>
      </c>
      <c r="M2" s="1876" t="s">
        <v>515</v>
      </c>
      <c r="N2" s="1854" t="s">
        <v>3</v>
      </c>
      <c r="O2" s="1836" t="s">
        <v>512</v>
      </c>
      <c r="P2" s="1844" t="s">
        <v>434</v>
      </c>
      <c r="Q2" s="1846" t="s">
        <v>201</v>
      </c>
      <c r="R2" s="1849" t="s">
        <v>339</v>
      </c>
      <c r="S2" s="1860" t="s">
        <v>340</v>
      </c>
      <c r="T2" s="1861"/>
      <c r="U2" s="1883" t="s">
        <v>513</v>
      </c>
      <c r="V2" s="1867" t="s">
        <v>371</v>
      </c>
      <c r="W2" s="1867" t="s">
        <v>383</v>
      </c>
      <c r="X2" s="1864" t="s">
        <v>29</v>
      </c>
    </row>
    <row r="3" spans="1:48" s="447" customFormat="1" ht="24.95" customHeight="1" thickBot="1">
      <c r="A3" s="1879"/>
      <c r="B3" s="1880"/>
      <c r="C3" s="1839"/>
      <c r="D3" s="1839"/>
      <c r="E3" s="1881"/>
      <c r="F3" s="1838"/>
      <c r="G3" s="1838"/>
      <c r="H3" s="1839"/>
      <c r="I3" s="1839"/>
      <c r="J3" s="1857"/>
      <c r="K3" s="1871"/>
      <c r="L3" s="1839"/>
      <c r="M3" s="1877"/>
      <c r="N3" s="1869"/>
      <c r="O3" s="1870"/>
      <c r="P3" s="1878"/>
      <c r="Q3" s="1848"/>
      <c r="R3" s="1850"/>
      <c r="S3" s="491" t="s">
        <v>350</v>
      </c>
      <c r="T3" s="491" t="s">
        <v>351</v>
      </c>
      <c r="U3" s="1884"/>
      <c r="V3" s="1868"/>
      <c r="W3" s="1868"/>
      <c r="X3" s="1865"/>
      <c r="Y3" s="446"/>
      <c r="Z3" s="446"/>
      <c r="AM3" s="446"/>
      <c r="AN3" s="446"/>
      <c r="AO3" s="446"/>
      <c r="AP3" s="446"/>
      <c r="AQ3" s="446"/>
      <c r="AR3" s="446"/>
      <c r="AS3" s="446"/>
      <c r="AT3" s="446"/>
      <c r="AU3" s="446"/>
      <c r="AV3" s="446"/>
    </row>
    <row r="4" spans="1:48" s="439" customFormat="1" ht="24.95" customHeight="1">
      <c r="A4" s="434"/>
      <c r="B4" s="434"/>
      <c r="C4" s="434"/>
      <c r="D4" s="434"/>
      <c r="E4" s="435"/>
      <c r="F4" s="464" t="s">
        <v>573</v>
      </c>
      <c r="G4" s="429" t="s">
        <v>574</v>
      </c>
      <c r="H4" s="464"/>
      <c r="I4" s="464"/>
      <c r="J4" s="464">
        <f>I4*L4</f>
        <v>0</v>
      </c>
      <c r="K4" s="443">
        <f>H4*I4</f>
        <v>0</v>
      </c>
      <c r="L4" s="438">
        <v>5000</v>
      </c>
      <c r="M4" s="438"/>
      <c r="N4" s="442" t="e">
        <f t="shared" ref="N4:N61" si="0">M4/(J4+M4)</f>
        <v>#DIV/0!</v>
      </c>
      <c r="O4" s="483"/>
      <c r="P4" s="444">
        <f>O4*60*R4/L4</f>
        <v>0</v>
      </c>
      <c r="Q4" s="527" t="e">
        <f>I4/P4</f>
        <v>#DIV/0!</v>
      </c>
      <c r="R4" s="478">
        <f t="shared" ref="R4:R70" si="1">S4+T4/60</f>
        <v>0</v>
      </c>
      <c r="S4" s="438">
        <v>0</v>
      </c>
      <c r="T4" s="482">
        <v>0</v>
      </c>
      <c r="U4" s="490"/>
      <c r="V4" s="536"/>
      <c r="W4" s="438"/>
      <c r="X4" s="438"/>
    </row>
    <row r="5" spans="1:48" s="439" customFormat="1" ht="24.95" customHeight="1">
      <c r="A5" s="434"/>
      <c r="B5" s="434"/>
      <c r="C5" s="434"/>
      <c r="D5" s="434"/>
      <c r="E5" s="435"/>
      <c r="F5" s="464" t="s">
        <v>573</v>
      </c>
      <c r="G5" s="429" t="s">
        <v>575</v>
      </c>
      <c r="H5" s="464"/>
      <c r="I5" s="464"/>
      <c r="J5" s="464">
        <f t="shared" ref="J5:J62" si="2">I5*L5</f>
        <v>0</v>
      </c>
      <c r="K5" s="443">
        <f t="shared" ref="K5:K66" si="3">H5*I5</f>
        <v>0</v>
      </c>
      <c r="L5" s="438">
        <v>4500</v>
      </c>
      <c r="M5" s="438"/>
      <c r="N5" s="442" t="e">
        <f t="shared" si="0"/>
        <v>#DIV/0!</v>
      </c>
      <c r="O5" s="483"/>
      <c r="P5" s="444">
        <f>O5*60*R5/L5</f>
        <v>0</v>
      </c>
      <c r="Q5" s="527" t="e">
        <f t="shared" ref="Q5:Q62" si="4">I5/P5</f>
        <v>#DIV/0!</v>
      </c>
      <c r="R5" s="478">
        <f t="shared" si="1"/>
        <v>0</v>
      </c>
      <c r="S5" s="438">
        <v>0</v>
      </c>
      <c r="T5" s="482">
        <v>0</v>
      </c>
      <c r="U5" s="490"/>
      <c r="V5" s="536"/>
      <c r="W5" s="438"/>
      <c r="X5" s="438"/>
    </row>
    <row r="6" spans="1:48" s="439" customFormat="1" ht="24.95" customHeight="1">
      <c r="A6" s="434"/>
      <c r="B6" s="434"/>
      <c r="C6" s="434"/>
      <c r="D6" s="434"/>
      <c r="E6" s="435"/>
      <c r="F6" s="464" t="s">
        <v>573</v>
      </c>
      <c r="G6" s="429" t="s">
        <v>576</v>
      </c>
      <c r="H6" s="464"/>
      <c r="I6" s="464"/>
      <c r="J6" s="464">
        <f t="shared" si="2"/>
        <v>0</v>
      </c>
      <c r="K6" s="443">
        <f t="shared" si="3"/>
        <v>0</v>
      </c>
      <c r="L6" s="438">
        <v>4500</v>
      </c>
      <c r="M6" s="438"/>
      <c r="N6" s="442" t="e">
        <f t="shared" si="0"/>
        <v>#DIV/0!</v>
      </c>
      <c r="O6" s="483"/>
      <c r="P6" s="444">
        <f>O6*60*R6/L6</f>
        <v>0</v>
      </c>
      <c r="Q6" s="527" t="e">
        <f t="shared" si="4"/>
        <v>#DIV/0!</v>
      </c>
      <c r="R6" s="478">
        <f t="shared" si="1"/>
        <v>0</v>
      </c>
      <c r="S6" s="438">
        <v>0</v>
      </c>
      <c r="T6" s="482">
        <v>0</v>
      </c>
      <c r="U6" s="490"/>
      <c r="V6" s="536"/>
      <c r="W6" s="438"/>
      <c r="X6" s="438"/>
    </row>
    <row r="7" spans="1:48" s="439" customFormat="1" ht="24.95" customHeight="1" thickBot="1">
      <c r="A7" s="496"/>
      <c r="B7" s="496"/>
      <c r="C7" s="496"/>
      <c r="D7" s="496"/>
      <c r="E7" s="497"/>
      <c r="F7" s="500"/>
      <c r="G7" s="498"/>
      <c r="H7" s="500"/>
      <c r="I7" s="500"/>
      <c r="J7" s="500"/>
      <c r="K7" s="501"/>
      <c r="L7" s="499"/>
      <c r="M7" s="499"/>
      <c r="N7" s="503"/>
      <c r="O7" s="505"/>
      <c r="P7" s="506"/>
      <c r="Q7" s="551"/>
      <c r="R7" s="508"/>
      <c r="S7" s="499"/>
      <c r="T7" s="509"/>
      <c r="U7" s="552"/>
      <c r="V7" s="529"/>
      <c r="W7" s="499"/>
      <c r="X7" s="499"/>
    </row>
    <row r="8" spans="1:48" s="439" customFormat="1" ht="24.95" customHeight="1">
      <c r="A8" s="549"/>
      <c r="B8" s="541"/>
      <c r="C8" s="541"/>
      <c r="D8" s="541"/>
      <c r="E8" s="542"/>
      <c r="F8" s="543"/>
      <c r="G8" s="544"/>
      <c r="H8" s="543"/>
      <c r="I8" s="543"/>
      <c r="J8" s="532"/>
      <c r="K8" s="492"/>
      <c r="L8" s="545"/>
      <c r="M8" s="545"/>
      <c r="N8" s="493"/>
      <c r="O8" s="547"/>
      <c r="P8" s="494"/>
      <c r="Q8" s="550"/>
      <c r="R8" s="495"/>
      <c r="S8" s="545"/>
      <c r="T8" s="546"/>
      <c r="U8" s="553"/>
      <c r="V8" s="548"/>
      <c r="W8" s="545"/>
      <c r="X8" s="480"/>
    </row>
    <row r="9" spans="1:48" s="433" customFormat="1" ht="24.95" customHeight="1">
      <c r="A9" s="434"/>
      <c r="B9" s="434">
        <v>1</v>
      </c>
      <c r="C9" s="434"/>
      <c r="D9" s="434" t="s">
        <v>0</v>
      </c>
      <c r="E9" s="435"/>
      <c r="F9" s="429" t="s">
        <v>665</v>
      </c>
      <c r="G9" s="429"/>
      <c r="H9" s="438"/>
      <c r="I9" s="438"/>
      <c r="J9" s="464">
        <f t="shared" si="2"/>
        <v>0</v>
      </c>
      <c r="K9" s="443">
        <f t="shared" si="3"/>
        <v>0</v>
      </c>
      <c r="L9" s="462"/>
      <c r="M9" s="462"/>
      <c r="N9" s="442" t="e">
        <f t="shared" si="0"/>
        <v>#DIV/0!</v>
      </c>
      <c r="O9" s="483"/>
      <c r="P9" s="444" t="e">
        <f t="shared" ref="P9:P70" si="5">O9*60*R9/L9</f>
        <v>#DIV/0!</v>
      </c>
      <c r="Q9" s="527" t="e">
        <f t="shared" si="4"/>
        <v>#DIV/0!</v>
      </c>
      <c r="R9" s="478">
        <f t="shared" si="1"/>
        <v>0</v>
      </c>
      <c r="S9" s="438">
        <v>0</v>
      </c>
      <c r="T9" s="482">
        <v>0</v>
      </c>
      <c r="U9" s="490"/>
      <c r="V9" s="465"/>
      <c r="W9" s="438"/>
      <c r="X9" s="438"/>
    </row>
    <row r="10" spans="1:48" s="433" customFormat="1" ht="24.95" customHeight="1">
      <c r="A10" s="434"/>
      <c r="B10" s="434">
        <v>1</v>
      </c>
      <c r="C10" s="434"/>
      <c r="D10" s="434" t="s">
        <v>43</v>
      </c>
      <c r="E10" s="435"/>
      <c r="F10" s="429" t="s">
        <v>665</v>
      </c>
      <c r="G10" s="429"/>
      <c r="H10" s="438"/>
      <c r="I10" s="438"/>
      <c r="J10" s="464">
        <f t="shared" si="2"/>
        <v>0</v>
      </c>
      <c r="K10" s="443">
        <f t="shared" si="3"/>
        <v>0</v>
      </c>
      <c r="L10" s="462"/>
      <c r="M10" s="462"/>
      <c r="N10" s="442" t="e">
        <f t="shared" si="0"/>
        <v>#DIV/0!</v>
      </c>
      <c r="O10" s="483"/>
      <c r="P10" s="444" t="e">
        <f t="shared" si="5"/>
        <v>#DIV/0!</v>
      </c>
      <c r="Q10" s="527" t="e">
        <f t="shared" si="4"/>
        <v>#DIV/0!</v>
      </c>
      <c r="R10" s="478">
        <f t="shared" si="1"/>
        <v>0</v>
      </c>
      <c r="S10" s="438">
        <v>0</v>
      </c>
      <c r="T10" s="482">
        <v>0</v>
      </c>
      <c r="U10" s="490"/>
      <c r="V10" s="465"/>
      <c r="W10" s="438"/>
      <c r="X10" s="438"/>
    </row>
    <row r="11" spans="1:48" s="433" customFormat="1" ht="24.95" customHeight="1">
      <c r="A11" s="434"/>
      <c r="B11" s="434">
        <v>2</v>
      </c>
      <c r="C11" s="434"/>
      <c r="D11" s="434" t="s">
        <v>0</v>
      </c>
      <c r="E11" s="435"/>
      <c r="F11" s="429" t="s">
        <v>665</v>
      </c>
      <c r="G11" s="429"/>
      <c r="H11" s="438"/>
      <c r="I11" s="438"/>
      <c r="J11" s="464">
        <f t="shared" si="2"/>
        <v>0</v>
      </c>
      <c r="K11" s="443">
        <f t="shared" si="3"/>
        <v>0</v>
      </c>
      <c r="L11" s="462"/>
      <c r="M11" s="462"/>
      <c r="N11" s="442" t="e">
        <f t="shared" si="0"/>
        <v>#DIV/0!</v>
      </c>
      <c r="O11" s="483"/>
      <c r="P11" s="444" t="e">
        <f t="shared" si="5"/>
        <v>#DIV/0!</v>
      </c>
      <c r="Q11" s="527" t="e">
        <f t="shared" si="4"/>
        <v>#DIV/0!</v>
      </c>
      <c r="R11" s="478">
        <f t="shared" si="1"/>
        <v>0</v>
      </c>
      <c r="S11" s="438">
        <v>0</v>
      </c>
      <c r="T11" s="482">
        <v>0</v>
      </c>
      <c r="U11" s="490"/>
      <c r="V11" s="465"/>
      <c r="W11" s="438"/>
      <c r="X11" s="438"/>
    </row>
    <row r="12" spans="1:48" s="433" customFormat="1" ht="24.95" customHeight="1">
      <c r="A12" s="434"/>
      <c r="B12" s="434">
        <v>2</v>
      </c>
      <c r="C12" s="434"/>
      <c r="D12" s="434" t="s">
        <v>43</v>
      </c>
      <c r="E12" s="435"/>
      <c r="F12" s="429" t="s">
        <v>665</v>
      </c>
      <c r="G12" s="429"/>
      <c r="H12" s="438"/>
      <c r="I12" s="438"/>
      <c r="J12" s="464">
        <f t="shared" si="2"/>
        <v>0</v>
      </c>
      <c r="K12" s="443">
        <f t="shared" si="3"/>
        <v>0</v>
      </c>
      <c r="L12" s="462"/>
      <c r="M12" s="462"/>
      <c r="N12" s="442" t="e">
        <f t="shared" si="0"/>
        <v>#DIV/0!</v>
      </c>
      <c r="O12" s="483"/>
      <c r="P12" s="444" t="e">
        <f t="shared" si="5"/>
        <v>#DIV/0!</v>
      </c>
      <c r="Q12" s="527" t="e">
        <f t="shared" si="4"/>
        <v>#DIV/0!</v>
      </c>
      <c r="R12" s="478">
        <f t="shared" si="1"/>
        <v>0</v>
      </c>
      <c r="S12" s="438">
        <v>0</v>
      </c>
      <c r="T12" s="482">
        <v>0</v>
      </c>
      <c r="U12" s="490"/>
      <c r="V12" s="465"/>
      <c r="W12" s="438"/>
      <c r="X12" s="438"/>
    </row>
    <row r="13" spans="1:48" s="433" customFormat="1" ht="24.95" customHeight="1">
      <c r="A13" s="434"/>
      <c r="B13" s="434">
        <v>3</v>
      </c>
      <c r="C13" s="434"/>
      <c r="D13" s="434" t="s">
        <v>0</v>
      </c>
      <c r="E13" s="435"/>
      <c r="F13" s="429" t="s">
        <v>665</v>
      </c>
      <c r="G13" s="429"/>
      <c r="H13" s="438"/>
      <c r="I13" s="438"/>
      <c r="J13" s="464">
        <f t="shared" si="2"/>
        <v>0</v>
      </c>
      <c r="K13" s="443">
        <f t="shared" si="3"/>
        <v>0</v>
      </c>
      <c r="L13" s="462"/>
      <c r="M13" s="462"/>
      <c r="N13" s="442" t="e">
        <f t="shared" si="0"/>
        <v>#DIV/0!</v>
      </c>
      <c r="O13" s="483"/>
      <c r="P13" s="444" t="e">
        <f t="shared" si="5"/>
        <v>#DIV/0!</v>
      </c>
      <c r="Q13" s="527" t="e">
        <f t="shared" si="4"/>
        <v>#DIV/0!</v>
      </c>
      <c r="R13" s="478">
        <f t="shared" si="1"/>
        <v>0</v>
      </c>
      <c r="S13" s="438">
        <v>0</v>
      </c>
      <c r="T13" s="482">
        <v>0</v>
      </c>
      <c r="U13" s="490"/>
      <c r="V13" s="465"/>
      <c r="W13" s="438"/>
      <c r="X13" s="438"/>
    </row>
    <row r="14" spans="1:48" s="433" customFormat="1" ht="24.95" customHeight="1">
      <c r="A14" s="434"/>
      <c r="B14" s="434">
        <v>3</v>
      </c>
      <c r="C14" s="434"/>
      <c r="D14" s="434" t="s">
        <v>43</v>
      </c>
      <c r="E14" s="435"/>
      <c r="F14" s="429" t="s">
        <v>665</v>
      </c>
      <c r="G14" s="429"/>
      <c r="H14" s="438"/>
      <c r="I14" s="438"/>
      <c r="J14" s="464">
        <f t="shared" si="2"/>
        <v>0</v>
      </c>
      <c r="K14" s="443">
        <f t="shared" si="3"/>
        <v>0</v>
      </c>
      <c r="L14" s="462"/>
      <c r="M14" s="462"/>
      <c r="N14" s="442" t="e">
        <f t="shared" si="0"/>
        <v>#DIV/0!</v>
      </c>
      <c r="O14" s="483"/>
      <c r="P14" s="444" t="e">
        <f t="shared" si="5"/>
        <v>#DIV/0!</v>
      </c>
      <c r="Q14" s="527" t="e">
        <f t="shared" si="4"/>
        <v>#DIV/0!</v>
      </c>
      <c r="R14" s="478">
        <f t="shared" si="1"/>
        <v>0</v>
      </c>
      <c r="S14" s="438">
        <v>0</v>
      </c>
      <c r="T14" s="482">
        <v>0</v>
      </c>
      <c r="U14" s="490"/>
      <c r="V14" s="465"/>
      <c r="W14" s="438"/>
      <c r="X14" s="438"/>
    </row>
    <row r="15" spans="1:48" s="433" customFormat="1" ht="24.95" customHeight="1">
      <c r="A15" s="434"/>
      <c r="B15" s="434">
        <v>4</v>
      </c>
      <c r="C15" s="434"/>
      <c r="D15" s="434" t="s">
        <v>0</v>
      </c>
      <c r="E15" s="435"/>
      <c r="F15" s="429" t="s">
        <v>665</v>
      </c>
      <c r="G15" s="429"/>
      <c r="H15" s="438"/>
      <c r="I15" s="438"/>
      <c r="J15" s="464">
        <f t="shared" si="2"/>
        <v>0</v>
      </c>
      <c r="K15" s="443">
        <f t="shared" si="3"/>
        <v>0</v>
      </c>
      <c r="L15" s="462"/>
      <c r="M15" s="462"/>
      <c r="N15" s="442" t="e">
        <f t="shared" si="0"/>
        <v>#DIV/0!</v>
      </c>
      <c r="O15" s="483"/>
      <c r="P15" s="444" t="e">
        <f t="shared" si="5"/>
        <v>#DIV/0!</v>
      </c>
      <c r="Q15" s="527" t="e">
        <f t="shared" si="4"/>
        <v>#DIV/0!</v>
      </c>
      <c r="R15" s="478">
        <f t="shared" si="1"/>
        <v>0</v>
      </c>
      <c r="S15" s="438">
        <v>0</v>
      </c>
      <c r="T15" s="482">
        <v>0</v>
      </c>
      <c r="U15" s="490"/>
      <c r="V15" s="465"/>
      <c r="W15" s="438"/>
      <c r="X15" s="438"/>
    </row>
    <row r="16" spans="1:48" s="433" customFormat="1" ht="24.95" customHeight="1">
      <c r="A16" s="434"/>
      <c r="B16" s="434">
        <v>4</v>
      </c>
      <c r="C16" s="434"/>
      <c r="D16" s="434" t="s">
        <v>43</v>
      </c>
      <c r="E16" s="435"/>
      <c r="F16" s="429" t="s">
        <v>665</v>
      </c>
      <c r="G16" s="429"/>
      <c r="H16" s="438"/>
      <c r="I16" s="438"/>
      <c r="J16" s="464">
        <f t="shared" si="2"/>
        <v>0</v>
      </c>
      <c r="K16" s="443">
        <f t="shared" si="3"/>
        <v>0</v>
      </c>
      <c r="L16" s="462"/>
      <c r="M16" s="462"/>
      <c r="N16" s="442" t="e">
        <f t="shared" si="0"/>
        <v>#DIV/0!</v>
      </c>
      <c r="O16" s="483"/>
      <c r="P16" s="444" t="e">
        <f t="shared" si="5"/>
        <v>#DIV/0!</v>
      </c>
      <c r="Q16" s="527" t="e">
        <f t="shared" si="4"/>
        <v>#DIV/0!</v>
      </c>
      <c r="R16" s="478">
        <f t="shared" si="1"/>
        <v>0</v>
      </c>
      <c r="S16" s="438">
        <v>0</v>
      </c>
      <c r="T16" s="482">
        <v>0</v>
      </c>
      <c r="U16" s="490"/>
      <c r="V16" s="465"/>
      <c r="W16" s="438"/>
      <c r="X16" s="438"/>
    </row>
    <row r="17" spans="1:24" s="433" customFormat="1" ht="24.95" customHeight="1">
      <c r="A17" s="434"/>
      <c r="B17" s="434">
        <v>5</v>
      </c>
      <c r="C17" s="434"/>
      <c r="D17" s="434" t="s">
        <v>0</v>
      </c>
      <c r="E17" s="435"/>
      <c r="F17" s="429" t="s">
        <v>665</v>
      </c>
      <c r="G17" s="429"/>
      <c r="H17" s="438"/>
      <c r="I17" s="438"/>
      <c r="J17" s="464">
        <f t="shared" si="2"/>
        <v>0</v>
      </c>
      <c r="K17" s="443">
        <f t="shared" si="3"/>
        <v>0</v>
      </c>
      <c r="L17" s="462"/>
      <c r="M17" s="462"/>
      <c r="N17" s="442" t="e">
        <f t="shared" si="0"/>
        <v>#DIV/0!</v>
      </c>
      <c r="O17" s="483"/>
      <c r="P17" s="444" t="e">
        <f t="shared" si="5"/>
        <v>#DIV/0!</v>
      </c>
      <c r="Q17" s="527" t="e">
        <f t="shared" si="4"/>
        <v>#DIV/0!</v>
      </c>
      <c r="R17" s="478">
        <f t="shared" si="1"/>
        <v>0</v>
      </c>
      <c r="S17" s="438">
        <v>0</v>
      </c>
      <c r="T17" s="482">
        <v>0</v>
      </c>
      <c r="U17" s="490"/>
      <c r="V17" s="465"/>
      <c r="W17" s="438"/>
      <c r="X17" s="438"/>
    </row>
    <row r="18" spans="1:24" s="433" customFormat="1" ht="24.95" customHeight="1">
      <c r="A18" s="434"/>
      <c r="B18" s="434">
        <v>5</v>
      </c>
      <c r="C18" s="434"/>
      <c r="D18" s="434" t="s">
        <v>43</v>
      </c>
      <c r="E18" s="435"/>
      <c r="F18" s="429" t="s">
        <v>665</v>
      </c>
      <c r="G18" s="429"/>
      <c r="H18" s="438"/>
      <c r="I18" s="438"/>
      <c r="J18" s="464">
        <f t="shared" si="2"/>
        <v>0</v>
      </c>
      <c r="K18" s="443">
        <f t="shared" si="3"/>
        <v>0</v>
      </c>
      <c r="L18" s="462"/>
      <c r="M18" s="462"/>
      <c r="N18" s="442" t="e">
        <f t="shared" si="0"/>
        <v>#DIV/0!</v>
      </c>
      <c r="O18" s="483"/>
      <c r="P18" s="444" t="e">
        <f t="shared" si="5"/>
        <v>#DIV/0!</v>
      </c>
      <c r="Q18" s="527" t="e">
        <f t="shared" si="4"/>
        <v>#DIV/0!</v>
      </c>
      <c r="R18" s="478">
        <f t="shared" si="1"/>
        <v>0</v>
      </c>
      <c r="S18" s="438">
        <v>0</v>
      </c>
      <c r="T18" s="482">
        <v>0</v>
      </c>
      <c r="U18" s="490"/>
      <c r="V18" s="465"/>
      <c r="W18" s="438"/>
      <c r="X18" s="438"/>
    </row>
    <row r="19" spans="1:24" s="433" customFormat="1" ht="24.95" customHeight="1">
      <c r="A19" s="434"/>
      <c r="B19" s="434">
        <v>6</v>
      </c>
      <c r="C19" s="434"/>
      <c r="D19" s="434" t="s">
        <v>0</v>
      </c>
      <c r="E19" s="435"/>
      <c r="F19" s="429" t="s">
        <v>665</v>
      </c>
      <c r="G19" s="429"/>
      <c r="H19" s="438"/>
      <c r="I19" s="438"/>
      <c r="J19" s="464">
        <f t="shared" si="2"/>
        <v>0</v>
      </c>
      <c r="K19" s="443">
        <f t="shared" si="3"/>
        <v>0</v>
      </c>
      <c r="L19" s="462"/>
      <c r="M19" s="462"/>
      <c r="N19" s="442" t="e">
        <f t="shared" si="0"/>
        <v>#DIV/0!</v>
      </c>
      <c r="O19" s="483"/>
      <c r="P19" s="444" t="e">
        <f t="shared" si="5"/>
        <v>#DIV/0!</v>
      </c>
      <c r="Q19" s="527" t="e">
        <f t="shared" si="4"/>
        <v>#DIV/0!</v>
      </c>
      <c r="R19" s="478">
        <f t="shared" si="1"/>
        <v>0</v>
      </c>
      <c r="S19" s="438">
        <v>0</v>
      </c>
      <c r="T19" s="482">
        <v>0</v>
      </c>
      <c r="U19" s="490"/>
      <c r="V19" s="465"/>
      <c r="W19" s="438"/>
      <c r="X19" s="438"/>
    </row>
    <row r="20" spans="1:24" s="433" customFormat="1" ht="24.95" customHeight="1">
      <c r="A20" s="434"/>
      <c r="B20" s="434">
        <v>6</v>
      </c>
      <c r="C20" s="434"/>
      <c r="D20" s="434" t="s">
        <v>43</v>
      </c>
      <c r="E20" s="435"/>
      <c r="F20" s="429" t="s">
        <v>665</v>
      </c>
      <c r="G20" s="429"/>
      <c r="H20" s="438"/>
      <c r="I20" s="438"/>
      <c r="J20" s="464">
        <f t="shared" si="2"/>
        <v>0</v>
      </c>
      <c r="K20" s="443">
        <f t="shared" si="3"/>
        <v>0</v>
      </c>
      <c r="L20" s="462"/>
      <c r="M20" s="462"/>
      <c r="N20" s="442" t="e">
        <f t="shared" si="0"/>
        <v>#DIV/0!</v>
      </c>
      <c r="O20" s="483"/>
      <c r="P20" s="444" t="e">
        <f t="shared" si="5"/>
        <v>#DIV/0!</v>
      </c>
      <c r="Q20" s="527" t="e">
        <f t="shared" si="4"/>
        <v>#DIV/0!</v>
      </c>
      <c r="R20" s="478">
        <f t="shared" si="1"/>
        <v>0</v>
      </c>
      <c r="S20" s="438">
        <v>0</v>
      </c>
      <c r="T20" s="482">
        <v>0</v>
      </c>
      <c r="U20" s="490"/>
      <c r="V20" s="465"/>
      <c r="W20" s="438"/>
      <c r="X20" s="438"/>
    </row>
    <row r="21" spans="1:24" s="433" customFormat="1" ht="24.95" customHeight="1">
      <c r="A21" s="434"/>
      <c r="B21" s="434">
        <v>7</v>
      </c>
      <c r="C21" s="434"/>
      <c r="D21" s="434" t="s">
        <v>0</v>
      </c>
      <c r="E21" s="435"/>
      <c r="F21" s="429" t="s">
        <v>665</v>
      </c>
      <c r="G21" s="429"/>
      <c r="H21" s="438"/>
      <c r="I21" s="438"/>
      <c r="J21" s="464">
        <f t="shared" si="2"/>
        <v>0</v>
      </c>
      <c r="K21" s="443">
        <f t="shared" si="3"/>
        <v>0</v>
      </c>
      <c r="L21" s="462"/>
      <c r="M21" s="462"/>
      <c r="N21" s="442" t="e">
        <f t="shared" si="0"/>
        <v>#DIV/0!</v>
      </c>
      <c r="O21" s="483"/>
      <c r="P21" s="444" t="e">
        <f t="shared" si="5"/>
        <v>#DIV/0!</v>
      </c>
      <c r="Q21" s="527" t="e">
        <f t="shared" si="4"/>
        <v>#DIV/0!</v>
      </c>
      <c r="R21" s="478">
        <f t="shared" si="1"/>
        <v>0</v>
      </c>
      <c r="S21" s="438">
        <v>0</v>
      </c>
      <c r="T21" s="482">
        <v>0</v>
      </c>
      <c r="U21" s="490"/>
      <c r="V21" s="465"/>
      <c r="W21" s="438"/>
      <c r="X21" s="438"/>
    </row>
    <row r="22" spans="1:24" s="433" customFormat="1" ht="24.95" customHeight="1">
      <c r="A22" s="434"/>
      <c r="B22" s="434">
        <v>7</v>
      </c>
      <c r="C22" s="434"/>
      <c r="D22" s="434" t="s">
        <v>43</v>
      </c>
      <c r="E22" s="435"/>
      <c r="F22" s="429" t="s">
        <v>665</v>
      </c>
      <c r="G22" s="429"/>
      <c r="H22" s="438"/>
      <c r="I22" s="438"/>
      <c r="J22" s="464">
        <f t="shared" si="2"/>
        <v>0</v>
      </c>
      <c r="K22" s="443">
        <f t="shared" si="3"/>
        <v>0</v>
      </c>
      <c r="L22" s="462"/>
      <c r="M22" s="462"/>
      <c r="N22" s="442" t="e">
        <f t="shared" si="0"/>
        <v>#DIV/0!</v>
      </c>
      <c r="O22" s="483"/>
      <c r="P22" s="444" t="e">
        <f t="shared" si="5"/>
        <v>#DIV/0!</v>
      </c>
      <c r="Q22" s="527" t="e">
        <f t="shared" si="4"/>
        <v>#DIV/0!</v>
      </c>
      <c r="R22" s="478">
        <f t="shared" si="1"/>
        <v>0</v>
      </c>
      <c r="S22" s="438">
        <v>0</v>
      </c>
      <c r="T22" s="482">
        <v>0</v>
      </c>
      <c r="U22" s="490"/>
      <c r="V22" s="465"/>
      <c r="W22" s="438"/>
      <c r="X22" s="438"/>
    </row>
    <row r="23" spans="1:24" s="433" customFormat="1" ht="24.95" customHeight="1">
      <c r="A23" s="434"/>
      <c r="B23" s="434">
        <v>8</v>
      </c>
      <c r="C23" s="434"/>
      <c r="D23" s="434" t="s">
        <v>0</v>
      </c>
      <c r="E23" s="435"/>
      <c r="F23" s="429" t="s">
        <v>665</v>
      </c>
      <c r="G23" s="429"/>
      <c r="H23" s="438"/>
      <c r="I23" s="438"/>
      <c r="J23" s="464">
        <f t="shared" si="2"/>
        <v>0</v>
      </c>
      <c r="K23" s="443">
        <f t="shared" si="3"/>
        <v>0</v>
      </c>
      <c r="L23" s="462"/>
      <c r="M23" s="462"/>
      <c r="N23" s="442" t="e">
        <f t="shared" si="0"/>
        <v>#DIV/0!</v>
      </c>
      <c r="O23" s="483"/>
      <c r="P23" s="444" t="e">
        <f t="shared" si="5"/>
        <v>#DIV/0!</v>
      </c>
      <c r="Q23" s="527" t="e">
        <f t="shared" si="4"/>
        <v>#DIV/0!</v>
      </c>
      <c r="R23" s="478">
        <f t="shared" si="1"/>
        <v>0</v>
      </c>
      <c r="S23" s="438">
        <v>0</v>
      </c>
      <c r="T23" s="482">
        <v>0</v>
      </c>
      <c r="U23" s="490"/>
      <c r="V23" s="465"/>
      <c r="W23" s="438"/>
      <c r="X23" s="438"/>
    </row>
    <row r="24" spans="1:24" s="433" customFormat="1" ht="24.95" customHeight="1">
      <c r="A24" s="434"/>
      <c r="B24" s="434">
        <v>8</v>
      </c>
      <c r="C24" s="434"/>
      <c r="D24" s="434" t="s">
        <v>43</v>
      </c>
      <c r="E24" s="435"/>
      <c r="F24" s="429" t="s">
        <v>665</v>
      </c>
      <c r="G24" s="429"/>
      <c r="H24" s="438"/>
      <c r="I24" s="438"/>
      <c r="J24" s="464">
        <f t="shared" si="2"/>
        <v>0</v>
      </c>
      <c r="K24" s="443">
        <f t="shared" si="3"/>
        <v>0</v>
      </c>
      <c r="L24" s="462"/>
      <c r="M24" s="462"/>
      <c r="N24" s="442" t="e">
        <f t="shared" si="0"/>
        <v>#DIV/0!</v>
      </c>
      <c r="O24" s="483"/>
      <c r="P24" s="444" t="e">
        <f t="shared" si="5"/>
        <v>#DIV/0!</v>
      </c>
      <c r="Q24" s="527" t="e">
        <f t="shared" si="4"/>
        <v>#DIV/0!</v>
      </c>
      <c r="R24" s="478">
        <f t="shared" si="1"/>
        <v>0</v>
      </c>
      <c r="S24" s="438">
        <v>0</v>
      </c>
      <c r="T24" s="482">
        <v>0</v>
      </c>
      <c r="U24" s="490"/>
      <c r="V24" s="465"/>
      <c r="W24" s="438"/>
      <c r="X24" s="438"/>
    </row>
    <row r="25" spans="1:24" s="433" customFormat="1" ht="24.95" customHeight="1">
      <c r="A25" s="434"/>
      <c r="B25" s="434">
        <v>9</v>
      </c>
      <c r="C25" s="434"/>
      <c r="D25" s="434" t="s">
        <v>0</v>
      </c>
      <c r="E25" s="435"/>
      <c r="F25" s="429" t="s">
        <v>665</v>
      </c>
      <c r="G25" s="429"/>
      <c r="H25" s="438"/>
      <c r="I25" s="438"/>
      <c r="J25" s="464">
        <f t="shared" si="2"/>
        <v>0</v>
      </c>
      <c r="K25" s="443">
        <f t="shared" si="3"/>
        <v>0</v>
      </c>
      <c r="L25" s="462"/>
      <c r="M25" s="462"/>
      <c r="N25" s="442" t="e">
        <f t="shared" si="0"/>
        <v>#DIV/0!</v>
      </c>
      <c r="O25" s="483"/>
      <c r="P25" s="444" t="e">
        <f t="shared" si="5"/>
        <v>#DIV/0!</v>
      </c>
      <c r="Q25" s="527" t="e">
        <f t="shared" si="4"/>
        <v>#DIV/0!</v>
      </c>
      <c r="R25" s="478">
        <f t="shared" si="1"/>
        <v>0</v>
      </c>
      <c r="S25" s="438">
        <v>0</v>
      </c>
      <c r="T25" s="482">
        <v>0</v>
      </c>
      <c r="U25" s="490"/>
      <c r="V25" s="465"/>
      <c r="W25" s="438"/>
      <c r="X25" s="438"/>
    </row>
    <row r="26" spans="1:24" s="433" customFormat="1" ht="24.95" customHeight="1">
      <c r="A26" s="434"/>
      <c r="B26" s="434">
        <v>9</v>
      </c>
      <c r="C26" s="434"/>
      <c r="D26" s="434" t="s">
        <v>43</v>
      </c>
      <c r="E26" s="435"/>
      <c r="F26" s="429" t="s">
        <v>665</v>
      </c>
      <c r="G26" s="429"/>
      <c r="H26" s="438"/>
      <c r="I26" s="438"/>
      <c r="J26" s="464">
        <f t="shared" si="2"/>
        <v>0</v>
      </c>
      <c r="K26" s="443">
        <f t="shared" si="3"/>
        <v>0</v>
      </c>
      <c r="L26" s="462"/>
      <c r="M26" s="462"/>
      <c r="N26" s="442" t="e">
        <f t="shared" si="0"/>
        <v>#DIV/0!</v>
      </c>
      <c r="O26" s="483"/>
      <c r="P26" s="444" t="e">
        <f t="shared" si="5"/>
        <v>#DIV/0!</v>
      </c>
      <c r="Q26" s="527" t="e">
        <f t="shared" si="4"/>
        <v>#DIV/0!</v>
      </c>
      <c r="R26" s="478">
        <f t="shared" si="1"/>
        <v>0</v>
      </c>
      <c r="S26" s="438">
        <v>0</v>
      </c>
      <c r="T26" s="482">
        <v>0</v>
      </c>
      <c r="U26" s="490"/>
      <c r="V26" s="465"/>
      <c r="W26" s="438"/>
      <c r="X26" s="438"/>
    </row>
    <row r="27" spans="1:24" s="433" customFormat="1" ht="24.95" customHeight="1">
      <c r="A27" s="434"/>
      <c r="B27" s="434">
        <v>10</v>
      </c>
      <c r="C27" s="434"/>
      <c r="D27" s="434" t="s">
        <v>0</v>
      </c>
      <c r="E27" s="435"/>
      <c r="F27" s="429" t="s">
        <v>665</v>
      </c>
      <c r="G27" s="429"/>
      <c r="H27" s="438"/>
      <c r="I27" s="438"/>
      <c r="J27" s="464">
        <f t="shared" si="2"/>
        <v>0</v>
      </c>
      <c r="K27" s="443">
        <f t="shared" si="3"/>
        <v>0</v>
      </c>
      <c r="L27" s="462"/>
      <c r="M27" s="462"/>
      <c r="N27" s="442" t="e">
        <f t="shared" si="0"/>
        <v>#DIV/0!</v>
      </c>
      <c r="O27" s="483"/>
      <c r="P27" s="444" t="e">
        <f t="shared" si="5"/>
        <v>#DIV/0!</v>
      </c>
      <c r="Q27" s="527" t="e">
        <f t="shared" si="4"/>
        <v>#DIV/0!</v>
      </c>
      <c r="R27" s="478">
        <f t="shared" si="1"/>
        <v>0</v>
      </c>
      <c r="S27" s="438">
        <v>0</v>
      </c>
      <c r="T27" s="482">
        <v>0</v>
      </c>
      <c r="U27" s="490"/>
      <c r="V27" s="465"/>
      <c r="W27" s="438"/>
      <c r="X27" s="438"/>
    </row>
    <row r="28" spans="1:24" s="433" customFormat="1" ht="24.95" customHeight="1">
      <c r="A28" s="434"/>
      <c r="B28" s="434">
        <v>10</v>
      </c>
      <c r="C28" s="434"/>
      <c r="D28" s="434" t="s">
        <v>43</v>
      </c>
      <c r="E28" s="435"/>
      <c r="F28" s="429" t="s">
        <v>665</v>
      </c>
      <c r="G28" s="429"/>
      <c r="H28" s="438"/>
      <c r="I28" s="438"/>
      <c r="J28" s="464">
        <f t="shared" si="2"/>
        <v>0</v>
      </c>
      <c r="K28" s="443">
        <f t="shared" si="3"/>
        <v>0</v>
      </c>
      <c r="L28" s="462"/>
      <c r="M28" s="462"/>
      <c r="N28" s="442" t="e">
        <f t="shared" si="0"/>
        <v>#DIV/0!</v>
      </c>
      <c r="O28" s="483"/>
      <c r="P28" s="444" t="e">
        <f t="shared" si="5"/>
        <v>#DIV/0!</v>
      </c>
      <c r="Q28" s="527" t="e">
        <f t="shared" si="4"/>
        <v>#DIV/0!</v>
      </c>
      <c r="R28" s="478">
        <f t="shared" si="1"/>
        <v>0</v>
      </c>
      <c r="S28" s="438">
        <v>0</v>
      </c>
      <c r="T28" s="482">
        <v>0</v>
      </c>
      <c r="U28" s="490"/>
      <c r="V28" s="465"/>
      <c r="W28" s="438"/>
      <c r="X28" s="438"/>
    </row>
    <row r="29" spans="1:24" s="433" customFormat="1" ht="24.95" customHeight="1">
      <c r="A29" s="434"/>
      <c r="B29" s="434">
        <v>11</v>
      </c>
      <c r="C29" s="434"/>
      <c r="D29" s="434" t="s">
        <v>0</v>
      </c>
      <c r="E29" s="435"/>
      <c r="F29" s="429" t="s">
        <v>665</v>
      </c>
      <c r="G29" s="429"/>
      <c r="H29" s="438"/>
      <c r="I29" s="438"/>
      <c r="J29" s="464">
        <f t="shared" si="2"/>
        <v>0</v>
      </c>
      <c r="K29" s="443">
        <f t="shared" si="3"/>
        <v>0</v>
      </c>
      <c r="L29" s="462"/>
      <c r="M29" s="462"/>
      <c r="N29" s="442" t="e">
        <f t="shared" si="0"/>
        <v>#DIV/0!</v>
      </c>
      <c r="O29" s="483"/>
      <c r="P29" s="444" t="e">
        <f t="shared" si="5"/>
        <v>#DIV/0!</v>
      </c>
      <c r="Q29" s="527" t="e">
        <f t="shared" si="4"/>
        <v>#DIV/0!</v>
      </c>
      <c r="R29" s="478">
        <f t="shared" si="1"/>
        <v>0</v>
      </c>
      <c r="S29" s="438">
        <v>0</v>
      </c>
      <c r="T29" s="482">
        <v>0</v>
      </c>
      <c r="U29" s="490"/>
      <c r="V29" s="465"/>
      <c r="W29" s="438"/>
      <c r="X29" s="438"/>
    </row>
    <row r="30" spans="1:24" s="433" customFormat="1" ht="24.95" customHeight="1">
      <c r="A30" s="434"/>
      <c r="B30" s="434">
        <v>11</v>
      </c>
      <c r="C30" s="434"/>
      <c r="D30" s="434" t="s">
        <v>43</v>
      </c>
      <c r="E30" s="435"/>
      <c r="F30" s="429" t="s">
        <v>665</v>
      </c>
      <c r="G30" s="429"/>
      <c r="H30" s="438"/>
      <c r="I30" s="438"/>
      <c r="J30" s="464">
        <f t="shared" si="2"/>
        <v>0</v>
      </c>
      <c r="K30" s="443">
        <f t="shared" si="3"/>
        <v>0</v>
      </c>
      <c r="L30" s="462"/>
      <c r="M30" s="462"/>
      <c r="N30" s="442" t="e">
        <f t="shared" si="0"/>
        <v>#DIV/0!</v>
      </c>
      <c r="O30" s="483"/>
      <c r="P30" s="444" t="e">
        <f t="shared" si="5"/>
        <v>#DIV/0!</v>
      </c>
      <c r="Q30" s="527" t="e">
        <f t="shared" si="4"/>
        <v>#DIV/0!</v>
      </c>
      <c r="R30" s="478">
        <f t="shared" si="1"/>
        <v>0</v>
      </c>
      <c r="S30" s="438">
        <v>0</v>
      </c>
      <c r="T30" s="482">
        <v>0</v>
      </c>
      <c r="U30" s="490"/>
      <c r="V30" s="465"/>
      <c r="W30" s="438"/>
      <c r="X30" s="438"/>
    </row>
    <row r="31" spans="1:24" s="433" customFormat="1" ht="24.95" customHeight="1">
      <c r="A31" s="434"/>
      <c r="B31" s="434">
        <v>12</v>
      </c>
      <c r="C31" s="434"/>
      <c r="D31" s="434" t="s">
        <v>0</v>
      </c>
      <c r="E31" s="435"/>
      <c r="F31" s="429" t="s">
        <v>665</v>
      </c>
      <c r="G31" s="429"/>
      <c r="H31" s="438"/>
      <c r="I31" s="438"/>
      <c r="J31" s="464">
        <f t="shared" si="2"/>
        <v>0</v>
      </c>
      <c r="K31" s="443">
        <f t="shared" si="3"/>
        <v>0</v>
      </c>
      <c r="L31" s="462"/>
      <c r="M31" s="462"/>
      <c r="N31" s="442" t="e">
        <f t="shared" si="0"/>
        <v>#DIV/0!</v>
      </c>
      <c r="O31" s="483"/>
      <c r="P31" s="444" t="e">
        <f t="shared" si="5"/>
        <v>#DIV/0!</v>
      </c>
      <c r="Q31" s="527" t="e">
        <f t="shared" si="4"/>
        <v>#DIV/0!</v>
      </c>
      <c r="R31" s="478">
        <f t="shared" si="1"/>
        <v>0</v>
      </c>
      <c r="S31" s="438">
        <v>0</v>
      </c>
      <c r="T31" s="482">
        <v>0</v>
      </c>
      <c r="U31" s="490"/>
      <c r="V31" s="465"/>
      <c r="W31" s="438"/>
      <c r="X31" s="438"/>
    </row>
    <row r="32" spans="1:24" s="433" customFormat="1" ht="24.95" customHeight="1">
      <c r="A32" s="434"/>
      <c r="B32" s="434">
        <v>12</v>
      </c>
      <c r="C32" s="434"/>
      <c r="D32" s="434" t="s">
        <v>43</v>
      </c>
      <c r="E32" s="435"/>
      <c r="F32" s="429" t="s">
        <v>665</v>
      </c>
      <c r="G32" s="429"/>
      <c r="H32" s="438"/>
      <c r="I32" s="438"/>
      <c r="J32" s="464">
        <f t="shared" si="2"/>
        <v>0</v>
      </c>
      <c r="K32" s="443">
        <f t="shared" si="3"/>
        <v>0</v>
      </c>
      <c r="L32" s="462"/>
      <c r="M32" s="462"/>
      <c r="N32" s="442" t="e">
        <f t="shared" si="0"/>
        <v>#DIV/0!</v>
      </c>
      <c r="O32" s="483"/>
      <c r="P32" s="444" t="e">
        <f t="shared" si="5"/>
        <v>#DIV/0!</v>
      </c>
      <c r="Q32" s="527" t="e">
        <f t="shared" si="4"/>
        <v>#DIV/0!</v>
      </c>
      <c r="R32" s="478">
        <f t="shared" si="1"/>
        <v>0</v>
      </c>
      <c r="S32" s="438">
        <v>0</v>
      </c>
      <c r="T32" s="482">
        <v>0</v>
      </c>
      <c r="U32" s="490"/>
      <c r="V32" s="465"/>
      <c r="W32" s="438"/>
      <c r="X32" s="438"/>
    </row>
    <row r="33" spans="1:24" s="433" customFormat="1" ht="24.95" customHeight="1">
      <c r="A33" s="434"/>
      <c r="B33" s="434">
        <v>13</v>
      </c>
      <c r="C33" s="434"/>
      <c r="D33" s="434" t="s">
        <v>0</v>
      </c>
      <c r="E33" s="435"/>
      <c r="F33" s="429" t="s">
        <v>665</v>
      </c>
      <c r="G33" s="429"/>
      <c r="H33" s="438"/>
      <c r="I33" s="438"/>
      <c r="J33" s="464">
        <f t="shared" si="2"/>
        <v>0</v>
      </c>
      <c r="K33" s="443">
        <f t="shared" si="3"/>
        <v>0</v>
      </c>
      <c r="L33" s="462"/>
      <c r="M33" s="462"/>
      <c r="N33" s="442" t="e">
        <f t="shared" si="0"/>
        <v>#DIV/0!</v>
      </c>
      <c r="O33" s="483"/>
      <c r="P33" s="444" t="e">
        <f t="shared" si="5"/>
        <v>#DIV/0!</v>
      </c>
      <c r="Q33" s="527" t="e">
        <f t="shared" si="4"/>
        <v>#DIV/0!</v>
      </c>
      <c r="R33" s="478">
        <f t="shared" si="1"/>
        <v>0</v>
      </c>
      <c r="S33" s="438">
        <v>0</v>
      </c>
      <c r="T33" s="482">
        <v>0</v>
      </c>
      <c r="U33" s="490"/>
      <c r="V33" s="465"/>
      <c r="W33" s="438"/>
      <c r="X33" s="438"/>
    </row>
    <row r="34" spans="1:24" s="433" customFormat="1" ht="24.95" customHeight="1">
      <c r="A34" s="434"/>
      <c r="B34" s="434">
        <v>13</v>
      </c>
      <c r="C34" s="434"/>
      <c r="D34" s="434" t="s">
        <v>43</v>
      </c>
      <c r="E34" s="435"/>
      <c r="F34" s="429" t="s">
        <v>665</v>
      </c>
      <c r="G34" s="429"/>
      <c r="H34" s="438"/>
      <c r="I34" s="438"/>
      <c r="J34" s="464">
        <f t="shared" si="2"/>
        <v>0</v>
      </c>
      <c r="K34" s="443">
        <f t="shared" si="3"/>
        <v>0</v>
      </c>
      <c r="L34" s="462"/>
      <c r="M34" s="462"/>
      <c r="N34" s="442" t="e">
        <f t="shared" si="0"/>
        <v>#DIV/0!</v>
      </c>
      <c r="O34" s="483"/>
      <c r="P34" s="444" t="e">
        <f t="shared" si="5"/>
        <v>#DIV/0!</v>
      </c>
      <c r="Q34" s="527" t="e">
        <f t="shared" si="4"/>
        <v>#DIV/0!</v>
      </c>
      <c r="R34" s="478">
        <f t="shared" si="1"/>
        <v>0</v>
      </c>
      <c r="S34" s="438">
        <v>0</v>
      </c>
      <c r="T34" s="482">
        <v>0</v>
      </c>
      <c r="U34" s="490"/>
      <c r="V34" s="465"/>
      <c r="W34" s="438"/>
      <c r="X34" s="438"/>
    </row>
    <row r="35" spans="1:24" s="433" customFormat="1" ht="24.95" customHeight="1">
      <c r="A35" s="434"/>
      <c r="B35" s="434">
        <v>14</v>
      </c>
      <c r="C35" s="434"/>
      <c r="D35" s="434" t="s">
        <v>0</v>
      </c>
      <c r="E35" s="435"/>
      <c r="F35" s="429" t="s">
        <v>665</v>
      </c>
      <c r="G35" s="429"/>
      <c r="H35" s="438"/>
      <c r="I35" s="438"/>
      <c r="J35" s="464">
        <f t="shared" si="2"/>
        <v>0</v>
      </c>
      <c r="K35" s="443">
        <f t="shared" si="3"/>
        <v>0</v>
      </c>
      <c r="L35" s="462"/>
      <c r="M35" s="462"/>
      <c r="N35" s="442" t="e">
        <f t="shared" si="0"/>
        <v>#DIV/0!</v>
      </c>
      <c r="O35" s="483"/>
      <c r="P35" s="444" t="e">
        <f t="shared" si="5"/>
        <v>#DIV/0!</v>
      </c>
      <c r="Q35" s="527" t="e">
        <f t="shared" si="4"/>
        <v>#DIV/0!</v>
      </c>
      <c r="R35" s="478">
        <f t="shared" si="1"/>
        <v>0</v>
      </c>
      <c r="S35" s="438">
        <v>0</v>
      </c>
      <c r="T35" s="482">
        <v>0</v>
      </c>
      <c r="U35" s="490"/>
      <c r="V35" s="465"/>
      <c r="W35" s="438"/>
      <c r="X35" s="438"/>
    </row>
    <row r="36" spans="1:24" s="433" customFormat="1" ht="24.95" customHeight="1">
      <c r="A36" s="434"/>
      <c r="B36" s="434">
        <v>14</v>
      </c>
      <c r="C36" s="434"/>
      <c r="D36" s="434" t="s">
        <v>43</v>
      </c>
      <c r="E36" s="435"/>
      <c r="F36" s="429" t="s">
        <v>665</v>
      </c>
      <c r="G36" s="429"/>
      <c r="H36" s="438"/>
      <c r="I36" s="438"/>
      <c r="J36" s="464">
        <f t="shared" si="2"/>
        <v>0</v>
      </c>
      <c r="K36" s="443">
        <f t="shared" si="3"/>
        <v>0</v>
      </c>
      <c r="L36" s="462"/>
      <c r="M36" s="462"/>
      <c r="N36" s="442" t="e">
        <f t="shared" si="0"/>
        <v>#DIV/0!</v>
      </c>
      <c r="O36" s="483"/>
      <c r="P36" s="444" t="e">
        <f t="shared" si="5"/>
        <v>#DIV/0!</v>
      </c>
      <c r="Q36" s="527" t="e">
        <f t="shared" si="4"/>
        <v>#DIV/0!</v>
      </c>
      <c r="R36" s="478">
        <f t="shared" si="1"/>
        <v>0</v>
      </c>
      <c r="S36" s="438">
        <v>0</v>
      </c>
      <c r="T36" s="482">
        <v>0</v>
      </c>
      <c r="U36" s="490"/>
      <c r="V36" s="465"/>
      <c r="W36" s="438"/>
      <c r="X36" s="438"/>
    </row>
    <row r="37" spans="1:24" s="433" customFormat="1" ht="24.95" customHeight="1">
      <c r="A37" s="434"/>
      <c r="B37" s="434">
        <v>15</v>
      </c>
      <c r="C37" s="434"/>
      <c r="D37" s="434" t="s">
        <v>0</v>
      </c>
      <c r="E37" s="435"/>
      <c r="F37" s="429" t="s">
        <v>665</v>
      </c>
      <c r="G37" s="429"/>
      <c r="H37" s="438"/>
      <c r="I37" s="438"/>
      <c r="J37" s="464">
        <f t="shared" si="2"/>
        <v>0</v>
      </c>
      <c r="K37" s="443">
        <f t="shared" si="3"/>
        <v>0</v>
      </c>
      <c r="L37" s="462"/>
      <c r="M37" s="462"/>
      <c r="N37" s="442" t="e">
        <f t="shared" si="0"/>
        <v>#DIV/0!</v>
      </c>
      <c r="O37" s="483"/>
      <c r="P37" s="444" t="e">
        <f t="shared" si="5"/>
        <v>#DIV/0!</v>
      </c>
      <c r="Q37" s="527" t="e">
        <f t="shared" si="4"/>
        <v>#DIV/0!</v>
      </c>
      <c r="R37" s="478">
        <f t="shared" si="1"/>
        <v>0</v>
      </c>
      <c r="S37" s="438">
        <v>0</v>
      </c>
      <c r="T37" s="482">
        <v>0</v>
      </c>
      <c r="U37" s="490"/>
      <c r="V37" s="465"/>
      <c r="W37" s="438"/>
      <c r="X37" s="438"/>
    </row>
    <row r="38" spans="1:24" s="433" customFormat="1" ht="24.95" customHeight="1">
      <c r="A38" s="434"/>
      <c r="B38" s="434">
        <v>15</v>
      </c>
      <c r="C38" s="434"/>
      <c r="D38" s="434" t="s">
        <v>43</v>
      </c>
      <c r="E38" s="435"/>
      <c r="F38" s="429" t="s">
        <v>665</v>
      </c>
      <c r="G38" s="429"/>
      <c r="H38" s="438"/>
      <c r="I38" s="438"/>
      <c r="J38" s="464">
        <f t="shared" si="2"/>
        <v>0</v>
      </c>
      <c r="K38" s="443">
        <f t="shared" si="3"/>
        <v>0</v>
      </c>
      <c r="L38" s="462"/>
      <c r="M38" s="462"/>
      <c r="N38" s="442" t="e">
        <f t="shared" si="0"/>
        <v>#DIV/0!</v>
      </c>
      <c r="O38" s="483"/>
      <c r="P38" s="444" t="e">
        <f t="shared" si="5"/>
        <v>#DIV/0!</v>
      </c>
      <c r="Q38" s="527" t="e">
        <f t="shared" si="4"/>
        <v>#DIV/0!</v>
      </c>
      <c r="R38" s="478">
        <f t="shared" si="1"/>
        <v>0</v>
      </c>
      <c r="S38" s="438">
        <v>0</v>
      </c>
      <c r="T38" s="482">
        <v>0</v>
      </c>
      <c r="U38" s="490"/>
      <c r="V38" s="465"/>
      <c r="W38" s="438"/>
      <c r="X38" s="438"/>
    </row>
    <row r="39" spans="1:24" s="433" customFormat="1" ht="24.95" customHeight="1">
      <c r="A39" s="434"/>
      <c r="B39" s="434">
        <v>16</v>
      </c>
      <c r="C39" s="434"/>
      <c r="D39" s="434" t="s">
        <v>0</v>
      </c>
      <c r="E39" s="435"/>
      <c r="F39" s="429" t="s">
        <v>665</v>
      </c>
      <c r="G39" s="429"/>
      <c r="H39" s="438"/>
      <c r="I39" s="438"/>
      <c r="J39" s="464">
        <f t="shared" si="2"/>
        <v>0</v>
      </c>
      <c r="K39" s="443">
        <f t="shared" si="3"/>
        <v>0</v>
      </c>
      <c r="L39" s="462"/>
      <c r="M39" s="462"/>
      <c r="N39" s="442" t="e">
        <f t="shared" si="0"/>
        <v>#DIV/0!</v>
      </c>
      <c r="O39" s="483"/>
      <c r="P39" s="444" t="e">
        <f t="shared" si="5"/>
        <v>#DIV/0!</v>
      </c>
      <c r="Q39" s="527" t="e">
        <f t="shared" si="4"/>
        <v>#DIV/0!</v>
      </c>
      <c r="R39" s="478">
        <f t="shared" si="1"/>
        <v>0</v>
      </c>
      <c r="S39" s="438">
        <v>0</v>
      </c>
      <c r="T39" s="482">
        <v>0</v>
      </c>
      <c r="U39" s="490"/>
      <c r="V39" s="465"/>
      <c r="W39" s="438"/>
      <c r="X39" s="438"/>
    </row>
    <row r="40" spans="1:24" s="433" customFormat="1" ht="24.95" customHeight="1">
      <c r="A40" s="434"/>
      <c r="B40" s="434">
        <v>16</v>
      </c>
      <c r="C40" s="434"/>
      <c r="D40" s="434" t="s">
        <v>43</v>
      </c>
      <c r="E40" s="435"/>
      <c r="F40" s="429" t="s">
        <v>665</v>
      </c>
      <c r="G40" s="429"/>
      <c r="H40" s="438"/>
      <c r="I40" s="438"/>
      <c r="J40" s="464">
        <f t="shared" si="2"/>
        <v>0</v>
      </c>
      <c r="K40" s="443">
        <f t="shared" si="3"/>
        <v>0</v>
      </c>
      <c r="L40" s="462"/>
      <c r="M40" s="462"/>
      <c r="N40" s="442" t="e">
        <f t="shared" si="0"/>
        <v>#DIV/0!</v>
      </c>
      <c r="O40" s="483"/>
      <c r="P40" s="444" t="e">
        <f t="shared" si="5"/>
        <v>#DIV/0!</v>
      </c>
      <c r="Q40" s="527" t="e">
        <f t="shared" si="4"/>
        <v>#DIV/0!</v>
      </c>
      <c r="R40" s="478">
        <f t="shared" si="1"/>
        <v>0</v>
      </c>
      <c r="S40" s="438">
        <v>0</v>
      </c>
      <c r="T40" s="482">
        <v>0</v>
      </c>
      <c r="U40" s="490"/>
      <c r="V40" s="465"/>
      <c r="W40" s="438"/>
      <c r="X40" s="438"/>
    </row>
    <row r="41" spans="1:24" s="433" customFormat="1" ht="24.95" customHeight="1">
      <c r="A41" s="434"/>
      <c r="B41" s="434">
        <v>17</v>
      </c>
      <c r="C41" s="434"/>
      <c r="D41" s="434" t="s">
        <v>0</v>
      </c>
      <c r="E41" s="435"/>
      <c r="F41" s="429" t="s">
        <v>665</v>
      </c>
      <c r="G41" s="429"/>
      <c r="H41" s="438"/>
      <c r="I41" s="438"/>
      <c r="J41" s="464">
        <f t="shared" si="2"/>
        <v>0</v>
      </c>
      <c r="K41" s="443">
        <f t="shared" si="3"/>
        <v>0</v>
      </c>
      <c r="L41" s="462"/>
      <c r="M41" s="462"/>
      <c r="N41" s="442" t="e">
        <f t="shared" si="0"/>
        <v>#DIV/0!</v>
      </c>
      <c r="O41" s="483"/>
      <c r="P41" s="444" t="e">
        <f t="shared" si="5"/>
        <v>#DIV/0!</v>
      </c>
      <c r="Q41" s="527" t="e">
        <f t="shared" si="4"/>
        <v>#DIV/0!</v>
      </c>
      <c r="R41" s="478">
        <f t="shared" si="1"/>
        <v>0</v>
      </c>
      <c r="S41" s="438">
        <v>0</v>
      </c>
      <c r="T41" s="482">
        <v>0</v>
      </c>
      <c r="U41" s="490"/>
      <c r="V41" s="465"/>
      <c r="W41" s="438"/>
      <c r="X41" s="438"/>
    </row>
    <row r="42" spans="1:24" s="433" customFormat="1" ht="24.95" customHeight="1">
      <c r="A42" s="434"/>
      <c r="B42" s="434">
        <v>17</v>
      </c>
      <c r="C42" s="434"/>
      <c r="D42" s="434" t="s">
        <v>43</v>
      </c>
      <c r="E42" s="435"/>
      <c r="F42" s="429" t="s">
        <v>665</v>
      </c>
      <c r="G42" s="429"/>
      <c r="H42" s="438"/>
      <c r="I42" s="438"/>
      <c r="J42" s="464">
        <f t="shared" si="2"/>
        <v>0</v>
      </c>
      <c r="K42" s="443">
        <f t="shared" si="3"/>
        <v>0</v>
      </c>
      <c r="L42" s="462"/>
      <c r="M42" s="462"/>
      <c r="N42" s="442" t="e">
        <f t="shared" si="0"/>
        <v>#DIV/0!</v>
      </c>
      <c r="O42" s="483"/>
      <c r="P42" s="444" t="e">
        <f t="shared" si="5"/>
        <v>#DIV/0!</v>
      </c>
      <c r="Q42" s="527" t="e">
        <f t="shared" si="4"/>
        <v>#DIV/0!</v>
      </c>
      <c r="R42" s="478">
        <f t="shared" si="1"/>
        <v>0</v>
      </c>
      <c r="S42" s="438">
        <v>0</v>
      </c>
      <c r="T42" s="482">
        <v>0</v>
      </c>
      <c r="U42" s="490"/>
      <c r="V42" s="465"/>
      <c r="W42" s="438"/>
      <c r="X42" s="438"/>
    </row>
    <row r="43" spans="1:24" s="433" customFormat="1" ht="24.95" customHeight="1">
      <c r="A43" s="434"/>
      <c r="B43" s="434">
        <v>18</v>
      </c>
      <c r="C43" s="434"/>
      <c r="D43" s="434" t="s">
        <v>0</v>
      </c>
      <c r="E43" s="435"/>
      <c r="F43" s="429" t="s">
        <v>665</v>
      </c>
      <c r="G43" s="429"/>
      <c r="H43" s="438"/>
      <c r="I43" s="438"/>
      <c r="J43" s="464">
        <f t="shared" si="2"/>
        <v>0</v>
      </c>
      <c r="K43" s="443">
        <f t="shared" si="3"/>
        <v>0</v>
      </c>
      <c r="L43" s="462"/>
      <c r="M43" s="462"/>
      <c r="N43" s="442" t="e">
        <f t="shared" si="0"/>
        <v>#DIV/0!</v>
      </c>
      <c r="O43" s="483"/>
      <c r="P43" s="444" t="e">
        <f t="shared" si="5"/>
        <v>#DIV/0!</v>
      </c>
      <c r="Q43" s="527" t="e">
        <f t="shared" si="4"/>
        <v>#DIV/0!</v>
      </c>
      <c r="R43" s="478">
        <f t="shared" si="1"/>
        <v>0</v>
      </c>
      <c r="S43" s="438">
        <v>0</v>
      </c>
      <c r="T43" s="482">
        <v>0</v>
      </c>
      <c r="U43" s="490"/>
      <c r="V43" s="465"/>
      <c r="W43" s="438"/>
      <c r="X43" s="438"/>
    </row>
    <row r="44" spans="1:24" s="433" customFormat="1" ht="24.95" customHeight="1">
      <c r="A44" s="434"/>
      <c r="B44" s="434">
        <v>18</v>
      </c>
      <c r="C44" s="434"/>
      <c r="D44" s="434" t="s">
        <v>43</v>
      </c>
      <c r="E44" s="435"/>
      <c r="F44" s="429" t="s">
        <v>665</v>
      </c>
      <c r="G44" s="429"/>
      <c r="H44" s="438"/>
      <c r="I44" s="438"/>
      <c r="J44" s="464">
        <f t="shared" si="2"/>
        <v>0</v>
      </c>
      <c r="K44" s="443">
        <f t="shared" si="3"/>
        <v>0</v>
      </c>
      <c r="L44" s="462"/>
      <c r="M44" s="462"/>
      <c r="N44" s="442" t="e">
        <f t="shared" si="0"/>
        <v>#DIV/0!</v>
      </c>
      <c r="O44" s="483"/>
      <c r="P44" s="444" t="e">
        <f t="shared" si="5"/>
        <v>#DIV/0!</v>
      </c>
      <c r="Q44" s="527" t="e">
        <f t="shared" si="4"/>
        <v>#DIV/0!</v>
      </c>
      <c r="R44" s="478">
        <f t="shared" si="1"/>
        <v>0</v>
      </c>
      <c r="S44" s="438">
        <v>0</v>
      </c>
      <c r="T44" s="482">
        <v>0</v>
      </c>
      <c r="U44" s="490"/>
      <c r="V44" s="465"/>
      <c r="W44" s="438"/>
      <c r="X44" s="438"/>
    </row>
    <row r="45" spans="1:24" s="433" customFormat="1" ht="24.95" customHeight="1">
      <c r="A45" s="434"/>
      <c r="B45" s="434">
        <v>19</v>
      </c>
      <c r="C45" s="434"/>
      <c r="D45" s="434" t="s">
        <v>0</v>
      </c>
      <c r="E45" s="435"/>
      <c r="F45" s="429" t="s">
        <v>665</v>
      </c>
      <c r="G45" s="429"/>
      <c r="H45" s="438"/>
      <c r="I45" s="438"/>
      <c r="J45" s="464">
        <f t="shared" si="2"/>
        <v>0</v>
      </c>
      <c r="K45" s="443">
        <f t="shared" si="3"/>
        <v>0</v>
      </c>
      <c r="L45" s="462"/>
      <c r="M45" s="462"/>
      <c r="N45" s="442" t="e">
        <f t="shared" si="0"/>
        <v>#DIV/0!</v>
      </c>
      <c r="O45" s="483"/>
      <c r="P45" s="444" t="e">
        <f t="shared" si="5"/>
        <v>#DIV/0!</v>
      </c>
      <c r="Q45" s="527" t="e">
        <f t="shared" si="4"/>
        <v>#DIV/0!</v>
      </c>
      <c r="R45" s="478">
        <f t="shared" si="1"/>
        <v>0</v>
      </c>
      <c r="S45" s="438">
        <v>0</v>
      </c>
      <c r="T45" s="482">
        <v>0</v>
      </c>
      <c r="U45" s="490"/>
      <c r="V45" s="465"/>
      <c r="W45" s="438"/>
      <c r="X45" s="438"/>
    </row>
    <row r="46" spans="1:24" s="433" customFormat="1" ht="24.95" customHeight="1">
      <c r="A46" s="434"/>
      <c r="B46" s="434">
        <v>19</v>
      </c>
      <c r="C46" s="434"/>
      <c r="D46" s="434" t="s">
        <v>43</v>
      </c>
      <c r="E46" s="435"/>
      <c r="F46" s="429" t="s">
        <v>665</v>
      </c>
      <c r="G46" s="429"/>
      <c r="H46" s="438"/>
      <c r="I46" s="438"/>
      <c r="J46" s="464">
        <f t="shared" si="2"/>
        <v>0</v>
      </c>
      <c r="K46" s="443">
        <f t="shared" si="3"/>
        <v>0</v>
      </c>
      <c r="L46" s="462"/>
      <c r="M46" s="462"/>
      <c r="N46" s="442" t="e">
        <f t="shared" si="0"/>
        <v>#DIV/0!</v>
      </c>
      <c r="O46" s="483"/>
      <c r="P46" s="444" t="e">
        <f t="shared" si="5"/>
        <v>#DIV/0!</v>
      </c>
      <c r="Q46" s="527" t="e">
        <f t="shared" si="4"/>
        <v>#DIV/0!</v>
      </c>
      <c r="R46" s="478">
        <f t="shared" si="1"/>
        <v>0</v>
      </c>
      <c r="S46" s="438">
        <v>0</v>
      </c>
      <c r="T46" s="482">
        <v>0</v>
      </c>
      <c r="U46" s="490"/>
      <c r="V46" s="465"/>
      <c r="W46" s="438"/>
      <c r="X46" s="438"/>
    </row>
    <row r="47" spans="1:24" s="433" customFormat="1" ht="24.95" customHeight="1">
      <c r="A47" s="434"/>
      <c r="B47" s="434">
        <v>20</v>
      </c>
      <c r="C47" s="434"/>
      <c r="D47" s="434" t="s">
        <v>0</v>
      </c>
      <c r="E47" s="435"/>
      <c r="F47" s="429" t="s">
        <v>665</v>
      </c>
      <c r="G47" s="429"/>
      <c r="H47" s="438"/>
      <c r="I47" s="438"/>
      <c r="J47" s="464">
        <f t="shared" si="2"/>
        <v>0</v>
      </c>
      <c r="K47" s="443">
        <f t="shared" si="3"/>
        <v>0</v>
      </c>
      <c r="L47" s="462"/>
      <c r="M47" s="462"/>
      <c r="N47" s="442" t="e">
        <f t="shared" si="0"/>
        <v>#DIV/0!</v>
      </c>
      <c r="O47" s="483"/>
      <c r="P47" s="444" t="e">
        <f t="shared" si="5"/>
        <v>#DIV/0!</v>
      </c>
      <c r="Q47" s="527" t="e">
        <f t="shared" si="4"/>
        <v>#DIV/0!</v>
      </c>
      <c r="R47" s="478">
        <f t="shared" si="1"/>
        <v>0</v>
      </c>
      <c r="S47" s="438">
        <v>0</v>
      </c>
      <c r="T47" s="482">
        <v>0</v>
      </c>
      <c r="U47" s="490"/>
      <c r="V47" s="465"/>
      <c r="W47" s="438"/>
      <c r="X47" s="438"/>
    </row>
    <row r="48" spans="1:24" s="433" customFormat="1" ht="24.95" customHeight="1">
      <c r="A48" s="434"/>
      <c r="B48" s="434">
        <v>20</v>
      </c>
      <c r="C48" s="434"/>
      <c r="D48" s="434" t="s">
        <v>43</v>
      </c>
      <c r="E48" s="435"/>
      <c r="F48" s="429" t="s">
        <v>665</v>
      </c>
      <c r="G48" s="429"/>
      <c r="H48" s="438"/>
      <c r="I48" s="438"/>
      <c r="J48" s="464">
        <f t="shared" si="2"/>
        <v>0</v>
      </c>
      <c r="K48" s="443">
        <f t="shared" si="3"/>
        <v>0</v>
      </c>
      <c r="L48" s="462"/>
      <c r="M48" s="462"/>
      <c r="N48" s="442" t="e">
        <f t="shared" si="0"/>
        <v>#DIV/0!</v>
      </c>
      <c r="O48" s="483"/>
      <c r="P48" s="444" t="e">
        <f t="shared" si="5"/>
        <v>#DIV/0!</v>
      </c>
      <c r="Q48" s="527" t="e">
        <f t="shared" si="4"/>
        <v>#DIV/0!</v>
      </c>
      <c r="R48" s="478">
        <f t="shared" si="1"/>
        <v>0</v>
      </c>
      <c r="S48" s="438">
        <v>0</v>
      </c>
      <c r="T48" s="482">
        <v>0</v>
      </c>
      <c r="U48" s="490"/>
      <c r="V48" s="465"/>
      <c r="W48" s="438"/>
      <c r="X48" s="438"/>
    </row>
    <row r="49" spans="1:24" s="433" customFormat="1" ht="24.95" customHeight="1">
      <c r="A49" s="434"/>
      <c r="B49" s="434">
        <v>21</v>
      </c>
      <c r="C49" s="434"/>
      <c r="D49" s="434" t="s">
        <v>0</v>
      </c>
      <c r="E49" s="435"/>
      <c r="F49" s="429" t="s">
        <v>665</v>
      </c>
      <c r="G49" s="429"/>
      <c r="H49" s="438"/>
      <c r="I49" s="438"/>
      <c r="J49" s="464">
        <f t="shared" si="2"/>
        <v>0</v>
      </c>
      <c r="K49" s="443">
        <f t="shared" si="3"/>
        <v>0</v>
      </c>
      <c r="L49" s="462"/>
      <c r="M49" s="462"/>
      <c r="N49" s="442" t="e">
        <f t="shared" si="0"/>
        <v>#DIV/0!</v>
      </c>
      <c r="O49" s="483"/>
      <c r="P49" s="444" t="e">
        <f t="shared" si="5"/>
        <v>#DIV/0!</v>
      </c>
      <c r="Q49" s="527" t="e">
        <f t="shared" si="4"/>
        <v>#DIV/0!</v>
      </c>
      <c r="R49" s="478">
        <f t="shared" si="1"/>
        <v>0</v>
      </c>
      <c r="S49" s="438">
        <v>0</v>
      </c>
      <c r="T49" s="482">
        <v>0</v>
      </c>
      <c r="U49" s="490"/>
      <c r="V49" s="465"/>
      <c r="W49" s="438"/>
      <c r="X49" s="438"/>
    </row>
    <row r="50" spans="1:24" s="433" customFormat="1" ht="24.95" customHeight="1">
      <c r="A50" s="434"/>
      <c r="B50" s="434">
        <v>21</v>
      </c>
      <c r="C50" s="434"/>
      <c r="D50" s="434" t="s">
        <v>43</v>
      </c>
      <c r="E50" s="435"/>
      <c r="F50" s="429" t="s">
        <v>665</v>
      </c>
      <c r="G50" s="429"/>
      <c r="H50" s="438"/>
      <c r="I50" s="438"/>
      <c r="J50" s="464">
        <f t="shared" si="2"/>
        <v>0</v>
      </c>
      <c r="K50" s="443">
        <f t="shared" si="3"/>
        <v>0</v>
      </c>
      <c r="L50" s="462"/>
      <c r="M50" s="462"/>
      <c r="N50" s="442" t="e">
        <f t="shared" si="0"/>
        <v>#DIV/0!</v>
      </c>
      <c r="O50" s="483"/>
      <c r="P50" s="444" t="e">
        <f t="shared" si="5"/>
        <v>#DIV/0!</v>
      </c>
      <c r="Q50" s="527" t="e">
        <f t="shared" si="4"/>
        <v>#DIV/0!</v>
      </c>
      <c r="R50" s="478">
        <f t="shared" si="1"/>
        <v>0</v>
      </c>
      <c r="S50" s="438">
        <v>0</v>
      </c>
      <c r="T50" s="482">
        <v>0</v>
      </c>
      <c r="U50" s="490"/>
      <c r="V50" s="465"/>
      <c r="W50" s="438"/>
      <c r="X50" s="438"/>
    </row>
    <row r="51" spans="1:24" s="433" customFormat="1" ht="24.95" customHeight="1">
      <c r="A51" s="434"/>
      <c r="B51" s="434">
        <v>22</v>
      </c>
      <c r="C51" s="434"/>
      <c r="D51" s="434" t="s">
        <v>0</v>
      </c>
      <c r="E51" s="435"/>
      <c r="F51" s="429" t="s">
        <v>665</v>
      </c>
      <c r="G51" s="429"/>
      <c r="H51" s="438"/>
      <c r="I51" s="438"/>
      <c r="J51" s="464">
        <f t="shared" si="2"/>
        <v>0</v>
      </c>
      <c r="K51" s="443">
        <f t="shared" si="3"/>
        <v>0</v>
      </c>
      <c r="L51" s="462"/>
      <c r="M51" s="462"/>
      <c r="N51" s="442" t="e">
        <f t="shared" si="0"/>
        <v>#DIV/0!</v>
      </c>
      <c r="O51" s="483"/>
      <c r="P51" s="444" t="e">
        <f t="shared" si="5"/>
        <v>#DIV/0!</v>
      </c>
      <c r="Q51" s="527" t="e">
        <f t="shared" si="4"/>
        <v>#DIV/0!</v>
      </c>
      <c r="R51" s="478">
        <f t="shared" si="1"/>
        <v>0</v>
      </c>
      <c r="S51" s="438">
        <v>0</v>
      </c>
      <c r="T51" s="482">
        <v>0</v>
      </c>
      <c r="U51" s="490"/>
      <c r="V51" s="465"/>
      <c r="W51" s="438"/>
      <c r="X51" s="438"/>
    </row>
    <row r="52" spans="1:24" s="433" customFormat="1" ht="24.95" customHeight="1">
      <c r="A52" s="434"/>
      <c r="B52" s="434">
        <v>22</v>
      </c>
      <c r="C52" s="434"/>
      <c r="D52" s="434" t="s">
        <v>43</v>
      </c>
      <c r="E52" s="435"/>
      <c r="F52" s="429" t="s">
        <v>665</v>
      </c>
      <c r="G52" s="429"/>
      <c r="H52" s="438"/>
      <c r="I52" s="438"/>
      <c r="J52" s="464">
        <f t="shared" si="2"/>
        <v>0</v>
      </c>
      <c r="K52" s="443">
        <f t="shared" si="3"/>
        <v>0</v>
      </c>
      <c r="L52" s="462"/>
      <c r="M52" s="462"/>
      <c r="N52" s="442" t="e">
        <f t="shared" si="0"/>
        <v>#DIV/0!</v>
      </c>
      <c r="O52" s="483"/>
      <c r="P52" s="444" t="e">
        <f t="shared" si="5"/>
        <v>#DIV/0!</v>
      </c>
      <c r="Q52" s="527" t="e">
        <f t="shared" si="4"/>
        <v>#DIV/0!</v>
      </c>
      <c r="R52" s="478">
        <f t="shared" si="1"/>
        <v>0</v>
      </c>
      <c r="S52" s="438">
        <v>0</v>
      </c>
      <c r="T52" s="482">
        <v>0</v>
      </c>
      <c r="U52" s="490"/>
      <c r="V52" s="465"/>
      <c r="W52" s="438"/>
      <c r="X52" s="438"/>
    </row>
    <row r="53" spans="1:24" s="433" customFormat="1" ht="24.95" customHeight="1">
      <c r="A53" s="434"/>
      <c r="B53" s="434">
        <v>23</v>
      </c>
      <c r="C53" s="434"/>
      <c r="D53" s="434" t="s">
        <v>0</v>
      </c>
      <c r="E53" s="435"/>
      <c r="F53" s="429" t="s">
        <v>665</v>
      </c>
      <c r="G53" s="429"/>
      <c r="H53" s="438"/>
      <c r="I53" s="438"/>
      <c r="J53" s="464">
        <f t="shared" si="2"/>
        <v>0</v>
      </c>
      <c r="K53" s="443">
        <f t="shared" si="3"/>
        <v>0</v>
      </c>
      <c r="L53" s="462"/>
      <c r="M53" s="462"/>
      <c r="N53" s="442" t="e">
        <f t="shared" si="0"/>
        <v>#DIV/0!</v>
      </c>
      <c r="O53" s="483"/>
      <c r="P53" s="444" t="e">
        <f t="shared" si="5"/>
        <v>#DIV/0!</v>
      </c>
      <c r="Q53" s="527" t="e">
        <f t="shared" si="4"/>
        <v>#DIV/0!</v>
      </c>
      <c r="R53" s="478">
        <f t="shared" si="1"/>
        <v>0</v>
      </c>
      <c r="S53" s="438">
        <v>0</v>
      </c>
      <c r="T53" s="482">
        <v>0</v>
      </c>
      <c r="U53" s="490"/>
      <c r="V53" s="465"/>
      <c r="W53" s="438"/>
      <c r="X53" s="438"/>
    </row>
    <row r="54" spans="1:24" s="433" customFormat="1" ht="24.95" customHeight="1">
      <c r="A54" s="434"/>
      <c r="B54" s="434">
        <v>23</v>
      </c>
      <c r="C54" s="434"/>
      <c r="D54" s="434" t="s">
        <v>43</v>
      </c>
      <c r="E54" s="435"/>
      <c r="F54" s="429" t="s">
        <v>665</v>
      </c>
      <c r="G54" s="429"/>
      <c r="H54" s="438"/>
      <c r="I54" s="438"/>
      <c r="J54" s="464">
        <f t="shared" si="2"/>
        <v>0</v>
      </c>
      <c r="K54" s="443">
        <f t="shared" si="3"/>
        <v>0</v>
      </c>
      <c r="L54" s="462"/>
      <c r="M54" s="462"/>
      <c r="N54" s="442" t="e">
        <f t="shared" si="0"/>
        <v>#DIV/0!</v>
      </c>
      <c r="O54" s="483"/>
      <c r="P54" s="444" t="e">
        <f t="shared" si="5"/>
        <v>#DIV/0!</v>
      </c>
      <c r="Q54" s="527" t="e">
        <f t="shared" si="4"/>
        <v>#DIV/0!</v>
      </c>
      <c r="R54" s="478">
        <f t="shared" si="1"/>
        <v>0</v>
      </c>
      <c r="S54" s="438">
        <v>0</v>
      </c>
      <c r="T54" s="482">
        <v>0</v>
      </c>
      <c r="U54" s="490"/>
      <c r="V54" s="465"/>
      <c r="W54" s="438"/>
      <c r="X54" s="438"/>
    </row>
    <row r="55" spans="1:24" s="433" customFormat="1" ht="24.95" customHeight="1">
      <c r="A55" s="434"/>
      <c r="B55" s="434">
        <v>24</v>
      </c>
      <c r="C55" s="434"/>
      <c r="D55" s="434" t="s">
        <v>0</v>
      </c>
      <c r="E55" s="435"/>
      <c r="F55" s="429" t="s">
        <v>665</v>
      </c>
      <c r="G55" s="429"/>
      <c r="H55" s="438"/>
      <c r="I55" s="438"/>
      <c r="J55" s="464">
        <f t="shared" si="2"/>
        <v>0</v>
      </c>
      <c r="K55" s="443">
        <f t="shared" si="3"/>
        <v>0</v>
      </c>
      <c r="L55" s="462"/>
      <c r="M55" s="462"/>
      <c r="N55" s="442" t="e">
        <f t="shared" si="0"/>
        <v>#DIV/0!</v>
      </c>
      <c r="O55" s="483"/>
      <c r="P55" s="444" t="e">
        <f t="shared" si="5"/>
        <v>#DIV/0!</v>
      </c>
      <c r="Q55" s="527" t="e">
        <f t="shared" si="4"/>
        <v>#DIV/0!</v>
      </c>
      <c r="R55" s="478">
        <f t="shared" si="1"/>
        <v>0</v>
      </c>
      <c r="S55" s="438">
        <v>0</v>
      </c>
      <c r="T55" s="482">
        <v>0</v>
      </c>
      <c r="U55" s="490"/>
      <c r="V55" s="465"/>
      <c r="W55" s="438"/>
      <c r="X55" s="438"/>
    </row>
    <row r="56" spans="1:24" s="433" customFormat="1" ht="24.95" customHeight="1">
      <c r="A56" s="434"/>
      <c r="B56" s="434">
        <v>24</v>
      </c>
      <c r="C56" s="434"/>
      <c r="D56" s="434" t="s">
        <v>43</v>
      </c>
      <c r="E56" s="435"/>
      <c r="F56" s="429" t="s">
        <v>665</v>
      </c>
      <c r="G56" s="429"/>
      <c r="H56" s="438"/>
      <c r="I56" s="438"/>
      <c r="J56" s="464">
        <f t="shared" si="2"/>
        <v>0</v>
      </c>
      <c r="K56" s="443">
        <f t="shared" si="3"/>
        <v>0</v>
      </c>
      <c r="L56" s="462"/>
      <c r="M56" s="462"/>
      <c r="N56" s="442" t="e">
        <f t="shared" si="0"/>
        <v>#DIV/0!</v>
      </c>
      <c r="O56" s="483"/>
      <c r="P56" s="444" t="e">
        <f t="shared" si="5"/>
        <v>#DIV/0!</v>
      </c>
      <c r="Q56" s="527" t="e">
        <f t="shared" si="4"/>
        <v>#DIV/0!</v>
      </c>
      <c r="R56" s="478">
        <f t="shared" si="1"/>
        <v>0</v>
      </c>
      <c r="S56" s="438">
        <v>0</v>
      </c>
      <c r="T56" s="482">
        <v>0</v>
      </c>
      <c r="U56" s="490"/>
      <c r="V56" s="465"/>
      <c r="W56" s="438"/>
      <c r="X56" s="438"/>
    </row>
    <row r="57" spans="1:24" s="433" customFormat="1" ht="24.95" customHeight="1">
      <c r="A57" s="434"/>
      <c r="B57" s="434">
        <v>25</v>
      </c>
      <c r="C57" s="434"/>
      <c r="D57" s="434" t="s">
        <v>0</v>
      </c>
      <c r="E57" s="435"/>
      <c r="F57" s="429" t="s">
        <v>665</v>
      </c>
      <c r="G57" s="429"/>
      <c r="H57" s="438"/>
      <c r="I57" s="438"/>
      <c r="J57" s="464">
        <f t="shared" si="2"/>
        <v>0</v>
      </c>
      <c r="K57" s="443">
        <f t="shared" si="3"/>
        <v>0</v>
      </c>
      <c r="L57" s="462"/>
      <c r="M57" s="462"/>
      <c r="N57" s="442" t="e">
        <f t="shared" si="0"/>
        <v>#DIV/0!</v>
      </c>
      <c r="O57" s="483"/>
      <c r="P57" s="444" t="e">
        <f t="shared" si="5"/>
        <v>#DIV/0!</v>
      </c>
      <c r="Q57" s="527" t="e">
        <f t="shared" si="4"/>
        <v>#DIV/0!</v>
      </c>
      <c r="R57" s="478">
        <f t="shared" si="1"/>
        <v>0</v>
      </c>
      <c r="S57" s="438">
        <v>0</v>
      </c>
      <c r="T57" s="482">
        <v>0</v>
      </c>
      <c r="U57" s="490"/>
      <c r="V57" s="465"/>
      <c r="W57" s="438"/>
      <c r="X57" s="438"/>
    </row>
    <row r="58" spans="1:24" s="433" customFormat="1" ht="24.95" customHeight="1">
      <c r="A58" s="434"/>
      <c r="B58" s="434">
        <v>25</v>
      </c>
      <c r="C58" s="434"/>
      <c r="D58" s="434" t="s">
        <v>43</v>
      </c>
      <c r="E58" s="435"/>
      <c r="F58" s="429" t="s">
        <v>665</v>
      </c>
      <c r="G58" s="429"/>
      <c r="H58" s="438"/>
      <c r="I58" s="438"/>
      <c r="J58" s="464">
        <f t="shared" si="2"/>
        <v>0</v>
      </c>
      <c r="K58" s="443">
        <f t="shared" si="3"/>
        <v>0</v>
      </c>
      <c r="L58" s="462"/>
      <c r="M58" s="462"/>
      <c r="N58" s="442" t="e">
        <f t="shared" si="0"/>
        <v>#DIV/0!</v>
      </c>
      <c r="O58" s="483"/>
      <c r="P58" s="444" t="e">
        <f t="shared" si="5"/>
        <v>#DIV/0!</v>
      </c>
      <c r="Q58" s="527" t="e">
        <f t="shared" si="4"/>
        <v>#DIV/0!</v>
      </c>
      <c r="R58" s="478">
        <f t="shared" si="1"/>
        <v>0</v>
      </c>
      <c r="S58" s="438">
        <v>0</v>
      </c>
      <c r="T58" s="482">
        <v>0</v>
      </c>
      <c r="U58" s="490"/>
      <c r="V58" s="465"/>
      <c r="W58" s="438"/>
      <c r="X58" s="438"/>
    </row>
    <row r="59" spans="1:24" s="433" customFormat="1" ht="24.95" customHeight="1">
      <c r="A59" s="434"/>
      <c r="B59" s="434">
        <v>26</v>
      </c>
      <c r="C59" s="434"/>
      <c r="D59" s="434" t="s">
        <v>0</v>
      </c>
      <c r="E59" s="435"/>
      <c r="F59" s="429" t="s">
        <v>665</v>
      </c>
      <c r="G59" s="429"/>
      <c r="H59" s="438"/>
      <c r="I59" s="438"/>
      <c r="J59" s="464">
        <f t="shared" si="2"/>
        <v>0</v>
      </c>
      <c r="K59" s="443">
        <f t="shared" si="3"/>
        <v>0</v>
      </c>
      <c r="L59" s="462"/>
      <c r="M59" s="462"/>
      <c r="N59" s="442" t="e">
        <f t="shared" si="0"/>
        <v>#DIV/0!</v>
      </c>
      <c r="O59" s="483"/>
      <c r="P59" s="444" t="e">
        <f t="shared" si="5"/>
        <v>#DIV/0!</v>
      </c>
      <c r="Q59" s="527" t="e">
        <f t="shared" si="4"/>
        <v>#DIV/0!</v>
      </c>
      <c r="R59" s="478">
        <f t="shared" si="1"/>
        <v>0</v>
      </c>
      <c r="S59" s="438">
        <v>0</v>
      </c>
      <c r="T59" s="482">
        <v>0</v>
      </c>
      <c r="U59" s="490"/>
      <c r="V59" s="465"/>
      <c r="W59" s="438"/>
      <c r="X59" s="438"/>
    </row>
    <row r="60" spans="1:24" s="433" customFormat="1" ht="24.95" customHeight="1">
      <c r="A60" s="434"/>
      <c r="B60" s="434">
        <v>26</v>
      </c>
      <c r="C60" s="434"/>
      <c r="D60" s="434" t="s">
        <v>43</v>
      </c>
      <c r="E60" s="435"/>
      <c r="F60" s="429" t="s">
        <v>665</v>
      </c>
      <c r="G60" s="429"/>
      <c r="H60" s="438"/>
      <c r="I60" s="438"/>
      <c r="J60" s="464">
        <f t="shared" si="2"/>
        <v>0</v>
      </c>
      <c r="K60" s="443">
        <f t="shared" si="3"/>
        <v>0</v>
      </c>
      <c r="L60" s="462"/>
      <c r="M60" s="462"/>
      <c r="N60" s="442" t="e">
        <f t="shared" si="0"/>
        <v>#DIV/0!</v>
      </c>
      <c r="O60" s="483"/>
      <c r="P60" s="444" t="e">
        <f t="shared" si="5"/>
        <v>#DIV/0!</v>
      </c>
      <c r="Q60" s="527" t="e">
        <f t="shared" si="4"/>
        <v>#DIV/0!</v>
      </c>
      <c r="R60" s="478">
        <f t="shared" si="1"/>
        <v>0</v>
      </c>
      <c r="S60" s="438">
        <v>0</v>
      </c>
      <c r="T60" s="482">
        <v>0</v>
      </c>
      <c r="U60" s="490"/>
      <c r="V60" s="465"/>
      <c r="W60" s="438"/>
      <c r="X60" s="438"/>
    </row>
    <row r="61" spans="1:24" s="433" customFormat="1" ht="24.95" customHeight="1">
      <c r="A61" s="434"/>
      <c r="B61" s="434">
        <v>27</v>
      </c>
      <c r="C61" s="434"/>
      <c r="D61" s="434" t="s">
        <v>0</v>
      </c>
      <c r="E61" s="435"/>
      <c r="F61" s="429"/>
      <c r="G61" s="429"/>
      <c r="H61" s="438"/>
      <c r="I61" s="438"/>
      <c r="J61" s="464">
        <f t="shared" si="2"/>
        <v>0</v>
      </c>
      <c r="K61" s="443">
        <f t="shared" si="3"/>
        <v>0</v>
      </c>
      <c r="L61" s="462"/>
      <c r="M61" s="462"/>
      <c r="N61" s="442" t="e">
        <f t="shared" si="0"/>
        <v>#DIV/0!</v>
      </c>
      <c r="O61" s="483"/>
      <c r="P61" s="444" t="e">
        <f t="shared" si="5"/>
        <v>#DIV/0!</v>
      </c>
      <c r="Q61" s="527" t="e">
        <f t="shared" si="4"/>
        <v>#DIV/0!</v>
      </c>
      <c r="R61" s="478">
        <f t="shared" si="1"/>
        <v>0</v>
      </c>
      <c r="S61" s="438">
        <v>0</v>
      </c>
      <c r="T61" s="482">
        <v>0</v>
      </c>
      <c r="U61" s="490"/>
      <c r="V61" s="465"/>
      <c r="W61" s="438"/>
      <c r="X61" s="438"/>
    </row>
    <row r="62" spans="1:24" s="433" customFormat="1" ht="24.95" customHeight="1">
      <c r="A62" s="434"/>
      <c r="B62" s="434">
        <v>27</v>
      </c>
      <c r="C62" s="434"/>
      <c r="D62" s="434" t="s">
        <v>43</v>
      </c>
      <c r="E62" s="435"/>
      <c r="F62" s="429"/>
      <c r="G62" s="429"/>
      <c r="H62" s="438"/>
      <c r="I62" s="438"/>
      <c r="J62" s="464">
        <f t="shared" si="2"/>
        <v>0</v>
      </c>
      <c r="K62" s="443">
        <f t="shared" si="3"/>
        <v>0</v>
      </c>
      <c r="L62" s="462"/>
      <c r="M62" s="462"/>
      <c r="N62" s="442" t="e">
        <f t="shared" ref="N62:N68" si="6">M62/(J62+M62)</f>
        <v>#DIV/0!</v>
      </c>
      <c r="O62" s="483"/>
      <c r="P62" s="444" t="e">
        <f t="shared" si="5"/>
        <v>#DIV/0!</v>
      </c>
      <c r="Q62" s="527" t="e">
        <f t="shared" si="4"/>
        <v>#DIV/0!</v>
      </c>
      <c r="R62" s="478">
        <f t="shared" si="1"/>
        <v>0</v>
      </c>
      <c r="S62" s="438">
        <v>0</v>
      </c>
      <c r="T62" s="482">
        <v>0</v>
      </c>
      <c r="U62" s="490"/>
      <c r="V62" s="465"/>
      <c r="W62" s="438"/>
      <c r="X62" s="438"/>
    </row>
    <row r="63" spans="1:24" s="433" customFormat="1" ht="24.95" customHeight="1">
      <c r="A63" s="434"/>
      <c r="B63" s="434">
        <v>28</v>
      </c>
      <c r="C63" s="434"/>
      <c r="D63" s="434" t="s">
        <v>0</v>
      </c>
      <c r="E63" s="435"/>
      <c r="F63" s="429"/>
      <c r="G63" s="429"/>
      <c r="H63" s="438"/>
      <c r="I63" s="438"/>
      <c r="J63" s="464">
        <f t="shared" ref="J63:J70" si="7">I63*L63</f>
        <v>0</v>
      </c>
      <c r="K63" s="443">
        <f t="shared" si="3"/>
        <v>0</v>
      </c>
      <c r="L63" s="462"/>
      <c r="M63" s="462"/>
      <c r="N63" s="442" t="e">
        <f t="shared" si="6"/>
        <v>#DIV/0!</v>
      </c>
      <c r="O63" s="483"/>
      <c r="P63" s="444" t="e">
        <f t="shared" si="5"/>
        <v>#DIV/0!</v>
      </c>
      <c r="Q63" s="527" t="e">
        <f t="shared" ref="Q63:Q70" si="8">I63/P63</f>
        <v>#DIV/0!</v>
      </c>
      <c r="R63" s="478">
        <f t="shared" si="1"/>
        <v>0</v>
      </c>
      <c r="S63" s="438">
        <v>0</v>
      </c>
      <c r="T63" s="482">
        <v>0</v>
      </c>
      <c r="U63" s="490"/>
      <c r="V63" s="465"/>
      <c r="W63" s="438"/>
      <c r="X63" s="438"/>
    </row>
    <row r="64" spans="1:24" s="433" customFormat="1" ht="24.95" customHeight="1">
      <c r="A64" s="434"/>
      <c r="B64" s="434">
        <v>28</v>
      </c>
      <c r="C64" s="434"/>
      <c r="D64" s="434" t="s">
        <v>43</v>
      </c>
      <c r="E64" s="435"/>
      <c r="F64" s="429"/>
      <c r="G64" s="429"/>
      <c r="H64" s="438"/>
      <c r="I64" s="438"/>
      <c r="J64" s="464">
        <f t="shared" si="7"/>
        <v>0</v>
      </c>
      <c r="K64" s="443">
        <f t="shared" si="3"/>
        <v>0</v>
      </c>
      <c r="L64" s="462"/>
      <c r="M64" s="462"/>
      <c r="N64" s="442" t="e">
        <f t="shared" si="6"/>
        <v>#DIV/0!</v>
      </c>
      <c r="O64" s="483"/>
      <c r="P64" s="444" t="e">
        <f t="shared" si="5"/>
        <v>#DIV/0!</v>
      </c>
      <c r="Q64" s="527" t="e">
        <f t="shared" si="8"/>
        <v>#DIV/0!</v>
      </c>
      <c r="R64" s="478">
        <f t="shared" si="1"/>
        <v>0</v>
      </c>
      <c r="S64" s="438">
        <v>0</v>
      </c>
      <c r="T64" s="482">
        <v>0</v>
      </c>
      <c r="U64" s="490"/>
      <c r="V64" s="465"/>
      <c r="W64" s="438"/>
      <c r="X64" s="438"/>
    </row>
    <row r="65" spans="1:24" s="433" customFormat="1" ht="24.95" customHeight="1">
      <c r="A65" s="434"/>
      <c r="B65" s="434">
        <v>29</v>
      </c>
      <c r="C65" s="434"/>
      <c r="D65" s="434" t="s">
        <v>0</v>
      </c>
      <c r="E65" s="435"/>
      <c r="F65" s="429"/>
      <c r="G65" s="429"/>
      <c r="H65" s="438"/>
      <c r="I65" s="438"/>
      <c r="J65" s="464">
        <f t="shared" si="7"/>
        <v>0</v>
      </c>
      <c r="K65" s="443">
        <f t="shared" si="3"/>
        <v>0</v>
      </c>
      <c r="L65" s="462"/>
      <c r="M65" s="462"/>
      <c r="N65" s="442" t="e">
        <f t="shared" si="6"/>
        <v>#DIV/0!</v>
      </c>
      <c r="O65" s="483"/>
      <c r="P65" s="444" t="e">
        <f t="shared" si="5"/>
        <v>#DIV/0!</v>
      </c>
      <c r="Q65" s="527" t="e">
        <f t="shared" si="8"/>
        <v>#DIV/0!</v>
      </c>
      <c r="R65" s="478">
        <f t="shared" si="1"/>
        <v>0</v>
      </c>
      <c r="S65" s="438">
        <v>0</v>
      </c>
      <c r="T65" s="482">
        <v>0</v>
      </c>
      <c r="U65" s="490"/>
      <c r="V65" s="465"/>
      <c r="W65" s="438"/>
      <c r="X65" s="438"/>
    </row>
    <row r="66" spans="1:24" s="433" customFormat="1" ht="24.95" customHeight="1">
      <c r="A66" s="434"/>
      <c r="B66" s="434">
        <v>29</v>
      </c>
      <c r="C66" s="434"/>
      <c r="D66" s="434" t="s">
        <v>43</v>
      </c>
      <c r="E66" s="435"/>
      <c r="F66" s="429"/>
      <c r="G66" s="429"/>
      <c r="H66" s="438"/>
      <c r="I66" s="438"/>
      <c r="J66" s="464">
        <f t="shared" si="7"/>
        <v>0</v>
      </c>
      <c r="K66" s="443">
        <f t="shared" si="3"/>
        <v>0</v>
      </c>
      <c r="L66" s="462"/>
      <c r="M66" s="462"/>
      <c r="N66" s="442" t="e">
        <f t="shared" si="6"/>
        <v>#DIV/0!</v>
      </c>
      <c r="O66" s="483"/>
      <c r="P66" s="444" t="e">
        <f t="shared" si="5"/>
        <v>#DIV/0!</v>
      </c>
      <c r="Q66" s="527" t="e">
        <f t="shared" si="8"/>
        <v>#DIV/0!</v>
      </c>
      <c r="R66" s="478">
        <f t="shared" si="1"/>
        <v>0</v>
      </c>
      <c r="S66" s="438">
        <v>0</v>
      </c>
      <c r="T66" s="482">
        <v>0</v>
      </c>
      <c r="U66" s="490"/>
      <c r="V66" s="465"/>
      <c r="W66" s="438"/>
      <c r="X66" s="438"/>
    </row>
    <row r="67" spans="1:24" s="433" customFormat="1" ht="24.95" customHeight="1">
      <c r="A67" s="434"/>
      <c r="B67" s="434">
        <v>30</v>
      </c>
      <c r="C67" s="434"/>
      <c r="D67" s="434" t="s">
        <v>0</v>
      </c>
      <c r="E67" s="435"/>
      <c r="F67" s="429"/>
      <c r="G67" s="429"/>
      <c r="H67" s="438"/>
      <c r="I67" s="438"/>
      <c r="J67" s="464">
        <f t="shared" si="7"/>
        <v>0</v>
      </c>
      <c r="K67" s="443">
        <f>H67*I67</f>
        <v>0</v>
      </c>
      <c r="L67" s="462"/>
      <c r="M67" s="462"/>
      <c r="N67" s="442" t="e">
        <f t="shared" si="6"/>
        <v>#DIV/0!</v>
      </c>
      <c r="O67" s="483"/>
      <c r="P67" s="444" t="e">
        <f t="shared" si="5"/>
        <v>#DIV/0!</v>
      </c>
      <c r="Q67" s="527" t="e">
        <f t="shared" si="8"/>
        <v>#DIV/0!</v>
      </c>
      <c r="R67" s="478">
        <f t="shared" si="1"/>
        <v>0</v>
      </c>
      <c r="S67" s="438">
        <v>0</v>
      </c>
      <c r="T67" s="482">
        <v>0</v>
      </c>
      <c r="U67" s="490"/>
      <c r="V67" s="465"/>
      <c r="W67" s="438"/>
      <c r="X67" s="438"/>
    </row>
    <row r="68" spans="1:24" s="433" customFormat="1" ht="24.95" customHeight="1">
      <c r="A68" s="434"/>
      <c r="B68" s="434">
        <v>30</v>
      </c>
      <c r="C68" s="434"/>
      <c r="D68" s="434" t="s">
        <v>43</v>
      </c>
      <c r="E68" s="435"/>
      <c r="F68" s="429"/>
      <c r="G68" s="429"/>
      <c r="H68" s="438"/>
      <c r="I68" s="438"/>
      <c r="J68" s="464">
        <f t="shared" si="7"/>
        <v>0</v>
      </c>
      <c r="K68" s="443">
        <f>H68*I68</f>
        <v>0</v>
      </c>
      <c r="L68" s="462"/>
      <c r="M68" s="462"/>
      <c r="N68" s="442" t="e">
        <f t="shared" si="6"/>
        <v>#DIV/0!</v>
      </c>
      <c r="O68" s="483"/>
      <c r="P68" s="444" t="e">
        <f t="shared" si="5"/>
        <v>#DIV/0!</v>
      </c>
      <c r="Q68" s="527" t="e">
        <f t="shared" si="8"/>
        <v>#DIV/0!</v>
      </c>
      <c r="R68" s="478">
        <f t="shared" si="1"/>
        <v>0</v>
      </c>
      <c r="S68" s="438">
        <v>0</v>
      </c>
      <c r="T68" s="482">
        <v>0</v>
      </c>
      <c r="U68" s="490"/>
      <c r="V68" s="465"/>
      <c r="W68" s="438"/>
      <c r="X68" s="438"/>
    </row>
    <row r="69" spans="1:24" s="433" customFormat="1" ht="24.95" customHeight="1">
      <c r="A69" s="434"/>
      <c r="B69" s="434">
        <v>31</v>
      </c>
      <c r="C69" s="434"/>
      <c r="D69" s="434" t="s">
        <v>0</v>
      </c>
      <c r="E69" s="435"/>
      <c r="F69" s="429"/>
      <c r="G69" s="429"/>
      <c r="H69" s="438"/>
      <c r="I69" s="438"/>
      <c r="J69" s="464">
        <f t="shared" si="7"/>
        <v>0</v>
      </c>
      <c r="K69" s="443">
        <f>H69*I69</f>
        <v>0</v>
      </c>
      <c r="L69" s="462"/>
      <c r="M69" s="462"/>
      <c r="N69" s="442" t="e">
        <f>M69/(J69+M69)</f>
        <v>#DIV/0!</v>
      </c>
      <c r="O69" s="483"/>
      <c r="P69" s="444" t="e">
        <f t="shared" si="5"/>
        <v>#DIV/0!</v>
      </c>
      <c r="Q69" s="527" t="e">
        <f t="shared" si="8"/>
        <v>#DIV/0!</v>
      </c>
      <c r="R69" s="478">
        <f t="shared" si="1"/>
        <v>0</v>
      </c>
      <c r="S69" s="438">
        <v>0</v>
      </c>
      <c r="T69" s="482">
        <v>0</v>
      </c>
      <c r="U69" s="490"/>
      <c r="V69" s="465"/>
      <c r="W69" s="438"/>
      <c r="X69" s="438"/>
    </row>
    <row r="70" spans="1:24" s="433" customFormat="1" ht="24.95" customHeight="1">
      <c r="A70" s="434"/>
      <c r="B70" s="434">
        <v>31</v>
      </c>
      <c r="C70" s="434"/>
      <c r="D70" s="434" t="s">
        <v>43</v>
      </c>
      <c r="E70" s="435"/>
      <c r="F70" s="429"/>
      <c r="G70" s="429"/>
      <c r="H70" s="438"/>
      <c r="I70" s="438"/>
      <c r="J70" s="464">
        <f t="shared" si="7"/>
        <v>0</v>
      </c>
      <c r="K70" s="443">
        <f>H70*I70</f>
        <v>0</v>
      </c>
      <c r="L70" s="462"/>
      <c r="M70" s="462"/>
      <c r="N70" s="442" t="e">
        <f>M70/(J70+M70)</f>
        <v>#DIV/0!</v>
      </c>
      <c r="O70" s="483"/>
      <c r="P70" s="444" t="e">
        <f t="shared" si="5"/>
        <v>#DIV/0!</v>
      </c>
      <c r="Q70" s="527" t="e">
        <f t="shared" si="8"/>
        <v>#DIV/0!</v>
      </c>
      <c r="R70" s="478">
        <f t="shared" si="1"/>
        <v>0</v>
      </c>
      <c r="S70" s="438">
        <v>0</v>
      </c>
      <c r="T70" s="482">
        <v>0</v>
      </c>
      <c r="U70" s="490"/>
      <c r="V70" s="465"/>
      <c r="W70" s="438"/>
      <c r="X70" s="438"/>
    </row>
    <row r="71" spans="1:24" s="433" customFormat="1" ht="24.95" customHeight="1">
      <c r="A71" s="446"/>
      <c r="B71" s="446"/>
      <c r="C71" s="446"/>
      <c r="D71" s="446"/>
      <c r="E71" s="448"/>
      <c r="F71" s="430"/>
      <c r="G71" s="430"/>
      <c r="H71" s="439"/>
      <c r="I71" s="439"/>
      <c r="J71" s="452"/>
      <c r="K71" s="457"/>
      <c r="L71" s="467"/>
      <c r="M71" s="467"/>
      <c r="N71" s="457"/>
      <c r="O71" s="470"/>
      <c r="P71" s="458"/>
      <c r="Q71" s="487"/>
      <c r="R71" s="488"/>
      <c r="S71" s="489"/>
      <c r="T71" s="489"/>
      <c r="U71" s="538"/>
      <c r="V71" s="469" t="s">
        <v>46</v>
      </c>
      <c r="W71" s="439"/>
      <c r="X71" s="439"/>
    </row>
    <row r="72" spans="1:24" s="469" customFormat="1" ht="30" customHeight="1">
      <c r="A72" s="479"/>
      <c r="B72" s="479"/>
      <c r="C72" s="479"/>
      <c r="D72" s="479"/>
      <c r="E72" s="452"/>
      <c r="F72" s="517"/>
      <c r="G72" s="518"/>
      <c r="H72" s="452"/>
      <c r="I72" s="525" t="s">
        <v>536</v>
      </c>
      <c r="J72" s="525" t="s">
        <v>456</v>
      </c>
      <c r="K72" s="526" t="s">
        <v>458</v>
      </c>
      <c r="L72" s="521"/>
      <c r="M72" s="524" t="s">
        <v>537</v>
      </c>
      <c r="N72" s="524" t="s">
        <v>455</v>
      </c>
      <c r="O72" s="520"/>
      <c r="P72" s="519"/>
      <c r="Q72" s="524" t="s">
        <v>459</v>
      </c>
      <c r="R72" s="459"/>
      <c r="S72" s="489"/>
      <c r="T72" s="489"/>
      <c r="U72" s="538"/>
      <c r="V72" s="469" t="s">
        <v>253</v>
      </c>
      <c r="W72" s="452"/>
      <c r="X72" s="452"/>
    </row>
    <row r="73" spans="1:24" ht="24.95" customHeight="1">
      <c r="G73" s="431"/>
      <c r="I73" s="522">
        <f>SUM(I9:I70)</f>
        <v>0</v>
      </c>
      <c r="J73" s="522">
        <f>SUM(J9:J70)</f>
        <v>0</v>
      </c>
      <c r="K73" s="523">
        <f>SUM(K9:K70)</f>
        <v>0</v>
      </c>
      <c r="M73" s="523">
        <f>SUM(M9:M70)</f>
        <v>0</v>
      </c>
      <c r="N73" s="516" t="e">
        <f>M73/(J73+M73)</f>
        <v>#DIV/0!</v>
      </c>
      <c r="P73" t="e">
        <f>SUM(P9:P70)</f>
        <v>#DIV/0!</v>
      </c>
      <c r="Q73" s="516" t="e">
        <f>J73/P73</f>
        <v>#DIV/0!</v>
      </c>
    </row>
    <row r="74" spans="1:24" ht="24.95" customHeight="1">
      <c r="J74" s="453"/>
      <c r="K74"/>
      <c r="N74"/>
    </row>
    <row r="75" spans="1:24" ht="24.95" customHeight="1"/>
    <row r="76" spans="1:24" ht="24.95" customHeight="1">
      <c r="K76" s="472"/>
    </row>
    <row r="77" spans="1:24" ht="24.95" customHeight="1"/>
    <row r="78" spans="1:24" ht="24.95" customHeight="1"/>
    <row r="79" spans="1:24" ht="24.95" customHeight="1"/>
    <row r="80" spans="1:24" ht="24.95" customHeight="1"/>
    <row r="81" ht="24.95" customHeight="1"/>
    <row r="82" ht="24.95" customHeight="1"/>
    <row r="83" ht="24.95" customHeight="1"/>
    <row r="84" ht="24.95" customHeight="1"/>
    <row r="85" ht="24.95" customHeight="1"/>
    <row r="86" ht="24.95" customHeight="1"/>
    <row r="87" ht="24.95" customHeight="1"/>
    <row r="88" ht="24.95" customHeight="1"/>
    <row r="89" ht="24.95" customHeight="1"/>
    <row r="90" ht="24.95" customHeight="1"/>
    <row r="91" ht="24.95" customHeight="1"/>
    <row r="92" ht="24.95" customHeight="1"/>
    <row r="93" ht="24.95" customHeight="1"/>
    <row r="94" ht="24.95" customHeight="1"/>
    <row r="95" ht="24.95" customHeight="1"/>
    <row r="96" ht="24.95" customHeight="1"/>
    <row r="97" ht="24.95" customHeight="1"/>
    <row r="98" ht="24.95" customHeight="1"/>
    <row r="99" ht="24.95" customHeight="1"/>
    <row r="100" ht="24.95" customHeight="1"/>
    <row r="101" ht="24.95" customHeight="1"/>
    <row r="102" ht="24.95" customHeight="1"/>
    <row r="103" ht="24.95" customHeight="1"/>
    <row r="104" ht="24.95" customHeight="1"/>
    <row r="105" ht="24.95" customHeight="1"/>
    <row r="106" ht="24.95" customHeight="1"/>
    <row r="107" ht="24.95" customHeight="1"/>
    <row r="108" ht="24.95" customHeight="1"/>
    <row r="109" ht="24.95" customHeight="1"/>
    <row r="110" ht="24.95" customHeight="1"/>
    <row r="111" ht="24.95" customHeight="1"/>
    <row r="112" ht="24.95" customHeight="1"/>
    <row r="113" ht="24.95" customHeight="1"/>
    <row r="114" ht="24.95" customHeight="1"/>
    <row r="115" ht="24.95" customHeight="1"/>
    <row r="116" ht="24.95" customHeight="1"/>
    <row r="117" ht="24.95" customHeight="1"/>
    <row r="118" ht="24.95" customHeight="1"/>
    <row r="119" ht="24.95" customHeight="1"/>
    <row r="120" ht="24.95" customHeight="1"/>
    <row r="121" ht="24.95" customHeight="1"/>
    <row r="122" ht="24.95" customHeight="1"/>
    <row r="123" ht="24.95" customHeight="1"/>
    <row r="124" ht="24.95" customHeight="1"/>
    <row r="125" ht="24.95" customHeight="1"/>
    <row r="126" ht="24.95" customHeight="1"/>
    <row r="127" ht="24.95" customHeight="1"/>
    <row r="128" ht="24.95" customHeight="1"/>
    <row r="129" ht="24.95" customHeight="1"/>
    <row r="130" ht="24.95" customHeight="1"/>
    <row r="131" ht="24.95" customHeight="1"/>
    <row r="132" ht="24.95" customHeight="1"/>
    <row r="133" ht="24.95" customHeight="1"/>
    <row r="134" ht="24.95" customHeight="1"/>
    <row r="135" ht="24.95" customHeight="1"/>
    <row r="136" ht="24.95" customHeight="1"/>
    <row r="137" ht="24.95" customHeight="1"/>
    <row r="138" ht="24.95" customHeight="1"/>
    <row r="139" ht="24.95" customHeight="1"/>
    <row r="140" ht="24.95" customHeight="1"/>
    <row r="141" ht="24.95" customHeight="1"/>
    <row r="142" ht="24.95" customHeight="1"/>
    <row r="143" ht="24.95" customHeight="1"/>
    <row r="144" ht="24.95" customHeight="1"/>
    <row r="145" ht="24.95" customHeight="1"/>
    <row r="146" ht="24.95" customHeight="1"/>
    <row r="147" ht="24.95" customHeight="1"/>
    <row r="148" ht="24.95" customHeight="1"/>
    <row r="149" ht="24.95" customHeight="1"/>
    <row r="150" ht="24.95" customHeight="1"/>
    <row r="151" ht="24.95" customHeight="1"/>
    <row r="152" ht="24.95" customHeight="1"/>
    <row r="153" ht="24.95" customHeight="1"/>
    <row r="154" ht="24.95" customHeight="1"/>
    <row r="155" ht="24.95" customHeight="1"/>
    <row r="156" ht="24.95" customHeight="1"/>
    <row r="157" ht="24.95" customHeight="1"/>
    <row r="158" ht="24.95" customHeight="1"/>
    <row r="159" ht="24.95" customHeight="1"/>
    <row r="160" ht="24.95" customHeight="1"/>
    <row r="161" ht="24.95" customHeight="1"/>
    <row r="162" ht="24.95" customHeight="1"/>
    <row r="163" ht="24.95" customHeight="1"/>
    <row r="164" ht="24.95" customHeight="1"/>
    <row r="165" ht="24.95" customHeight="1"/>
    <row r="166" ht="24.95" customHeight="1"/>
    <row r="167" ht="24.95" customHeight="1"/>
    <row r="168" ht="24.95" customHeight="1"/>
    <row r="169" ht="24.95" customHeight="1"/>
    <row r="170" ht="24.95" customHeight="1"/>
    <row r="171" ht="24.95" customHeight="1"/>
    <row r="172" ht="24.95" customHeight="1"/>
    <row r="173" ht="24.95" customHeight="1"/>
    <row r="174" ht="24.95" customHeight="1"/>
    <row r="175" ht="24.95" customHeight="1"/>
    <row r="176" ht="24.95" customHeight="1"/>
    <row r="177" ht="24.95" customHeight="1"/>
    <row r="178" ht="24.95" customHeight="1"/>
    <row r="179" ht="24.95" customHeight="1"/>
    <row r="180" ht="24.95" customHeight="1"/>
    <row r="181" ht="24.95" customHeight="1"/>
    <row r="182" ht="24.95" customHeight="1"/>
    <row r="183" ht="24.95" customHeight="1"/>
    <row r="184" ht="24.95" customHeight="1"/>
    <row r="185" ht="24.95" customHeight="1"/>
    <row r="186" ht="24.95" customHeight="1"/>
    <row r="187" ht="24.95" customHeight="1"/>
    <row r="188" ht="24.95" customHeight="1"/>
    <row r="189" ht="24.95" customHeight="1"/>
    <row r="190" ht="24.95" customHeight="1"/>
    <row r="191" ht="24.95" customHeight="1"/>
    <row r="192" ht="24.95" customHeight="1"/>
    <row r="193" ht="24.95" customHeight="1"/>
    <row r="194" ht="24.95" customHeight="1"/>
    <row r="195" ht="24.95" customHeight="1"/>
  </sheetData>
  <sheetProtection formatCells="0" formatColumns="0" formatRows="0" insertColumns="0" insertRows="0" insertHyperlinks="0" deleteColumns="0" deleteRows="0" sort="0" autoFilter="0" pivotTables="0"/>
  <mergeCells count="24">
    <mergeCell ref="A1:X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W2:W3"/>
    <mergeCell ref="X2:X3"/>
    <mergeCell ref="P2:P3"/>
    <mergeCell ref="Q2:Q3"/>
    <mergeCell ref="R2:R3"/>
    <mergeCell ref="S2:T2"/>
    <mergeCell ref="U2:U3"/>
    <mergeCell ref="V2:V3"/>
  </mergeCells>
  <phoneticPr fontId="26" type="noConversion"/>
  <pageMargins left="0" right="0" top="0.39" bottom="0.39" header="0.51" footer="0.51"/>
  <pageSetup paperSize="9" scale="65" orientation="landscape" r:id="rId1"/>
  <headerFooter alignWithMargins="0"/>
  <colBreaks count="1" manualBreakCount="1">
    <brk id="24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00B050"/>
  </sheetPr>
  <dimension ref="A1:R385"/>
  <sheetViews>
    <sheetView zoomScale="80" zoomScaleNormal="80" workbookViewId="0">
      <pane ySplit="1" topLeftCell="A2" activePane="bottomLeft" state="frozen"/>
      <selection pane="bottomLeft" activeCell="J58" sqref="J58"/>
    </sheetView>
  </sheetViews>
  <sheetFormatPr defaultColWidth="9.375" defaultRowHeight="16.5"/>
  <cols>
    <col min="1" max="1" width="9.375" customWidth="1"/>
    <col min="2" max="2" width="22.125" bestFit="1" customWidth="1"/>
    <col min="3" max="5" width="12.625" customWidth="1"/>
    <col min="6" max="6" width="28.25" bestFit="1" customWidth="1"/>
    <col min="7" max="7" width="12.625" customWidth="1"/>
    <col min="8" max="8" width="14.625" bestFit="1" customWidth="1"/>
    <col min="9" max="9" width="12.625" customWidth="1"/>
    <col min="10" max="10" width="18.375" bestFit="1" customWidth="1"/>
    <col min="11" max="11" width="12.625" customWidth="1"/>
    <col min="12" max="12" width="10" bestFit="1" customWidth="1"/>
    <col min="13" max="13" width="12.625" customWidth="1"/>
    <col min="14" max="14" width="9.375" customWidth="1"/>
  </cols>
  <sheetData>
    <row r="1" spans="1:16" ht="16.5" customHeight="1">
      <c r="A1" s="1885" t="s">
        <v>1292</v>
      </c>
      <c r="B1" s="1885"/>
      <c r="C1" s="1885"/>
      <c r="D1" s="929"/>
      <c r="E1" s="929"/>
      <c r="F1" s="1015" t="s">
        <v>510</v>
      </c>
      <c r="G1" s="1016" t="s">
        <v>1297</v>
      </c>
      <c r="H1" s="1017" t="s">
        <v>1291</v>
      </c>
      <c r="I1" s="1018" t="s">
        <v>365</v>
      </c>
      <c r="J1" s="1018" t="s">
        <v>366</v>
      </c>
      <c r="K1" s="1018" t="s">
        <v>380</v>
      </c>
      <c r="L1" s="864" t="s">
        <v>1290</v>
      </c>
      <c r="M1" s="929"/>
      <c r="N1" s="76"/>
    </row>
    <row r="2" spans="1:16">
      <c r="A2" s="1885"/>
      <c r="B2" s="1885"/>
      <c r="C2" s="1885"/>
      <c r="D2" s="929"/>
      <c r="E2" s="1199">
        <v>202</v>
      </c>
      <c r="F2" s="1019" t="s">
        <v>1463</v>
      </c>
      <c r="G2" s="904" t="s">
        <v>1303</v>
      </c>
      <c r="H2" s="904">
        <v>7.5</v>
      </c>
      <c r="I2" s="928">
        <v>30</v>
      </c>
      <c r="J2" s="928">
        <v>5.8</v>
      </c>
      <c r="K2" s="928">
        <v>1000</v>
      </c>
      <c r="L2" s="905">
        <f>I2*J2*60*H2/K2</f>
        <v>78.3</v>
      </c>
      <c r="M2" s="929"/>
    </row>
    <row r="3" spans="1:16">
      <c r="A3" s="1885"/>
      <c r="B3" s="1885"/>
      <c r="C3" s="1885"/>
      <c r="D3" s="929"/>
      <c r="E3" s="1216"/>
      <c r="F3" s="1022" t="s">
        <v>1463</v>
      </c>
      <c r="G3" s="450" t="s">
        <v>1301</v>
      </c>
      <c r="H3" s="450">
        <v>11</v>
      </c>
      <c r="I3" s="929">
        <v>30</v>
      </c>
      <c r="J3" s="929">
        <v>5.8</v>
      </c>
      <c r="K3" s="929">
        <v>1000</v>
      </c>
      <c r="L3" s="907">
        <f t="shared" ref="L3:L66" si="0">I3*J3*60*H3/K3</f>
        <v>114.84</v>
      </c>
      <c r="M3" s="929"/>
    </row>
    <row r="4" spans="1:16">
      <c r="A4" s="1885"/>
      <c r="B4" s="1885"/>
      <c r="C4" s="1885"/>
      <c r="D4" s="929"/>
      <c r="E4" s="1165"/>
      <c r="F4" s="1021" t="s">
        <v>1463</v>
      </c>
      <c r="G4" s="909" t="s">
        <v>1299</v>
      </c>
      <c r="H4" s="943">
        <v>11.5</v>
      </c>
      <c r="I4" s="1031">
        <v>30</v>
      </c>
      <c r="J4" s="1031">
        <v>5.8</v>
      </c>
      <c r="K4" s="1031">
        <v>1000</v>
      </c>
      <c r="L4" s="910">
        <f t="shared" si="0"/>
        <v>120.06</v>
      </c>
      <c r="M4" s="929"/>
    </row>
    <row r="5" spans="1:16">
      <c r="A5" s="1885"/>
      <c r="B5" s="1885"/>
      <c r="C5" s="1885"/>
      <c r="D5" s="929"/>
      <c r="E5" s="1199">
        <v>203</v>
      </c>
      <c r="F5" s="1019" t="s">
        <v>1470</v>
      </c>
      <c r="G5" s="904" t="s">
        <v>1303</v>
      </c>
      <c r="H5" s="904">
        <v>7.5</v>
      </c>
      <c r="I5" s="867">
        <v>24</v>
      </c>
      <c r="J5" s="867">
        <v>6.1</v>
      </c>
      <c r="K5" s="867">
        <v>600</v>
      </c>
      <c r="L5" s="905">
        <f t="shared" si="0"/>
        <v>109.79999999999997</v>
      </c>
      <c r="M5" s="929"/>
    </row>
    <row r="6" spans="1:16">
      <c r="A6" s="1885"/>
      <c r="B6" s="1885"/>
      <c r="C6" s="1885"/>
      <c r="D6" s="929"/>
      <c r="E6" s="1216"/>
      <c r="F6" s="1022" t="s">
        <v>1470</v>
      </c>
      <c r="G6" s="450" t="s">
        <v>1301</v>
      </c>
      <c r="H6" s="450">
        <v>11</v>
      </c>
      <c r="I6" s="456">
        <v>24</v>
      </c>
      <c r="J6" s="456">
        <v>6.1</v>
      </c>
      <c r="K6" s="456">
        <v>600</v>
      </c>
      <c r="L6" s="907">
        <f t="shared" si="0"/>
        <v>161.03999999999996</v>
      </c>
      <c r="M6" s="929"/>
    </row>
    <row r="7" spans="1:16">
      <c r="A7" s="1885"/>
      <c r="B7" s="1885"/>
      <c r="C7" s="1885"/>
      <c r="D7" s="929"/>
      <c r="E7" s="1165"/>
      <c r="F7" s="1021" t="s">
        <v>1470</v>
      </c>
      <c r="G7" s="909" t="s">
        <v>1299</v>
      </c>
      <c r="H7" s="909">
        <v>11.5</v>
      </c>
      <c r="I7" s="616">
        <v>24</v>
      </c>
      <c r="J7" s="616">
        <v>6.1</v>
      </c>
      <c r="K7" s="616">
        <v>600</v>
      </c>
      <c r="L7" s="910">
        <f t="shared" si="0"/>
        <v>168.35999999999999</v>
      </c>
      <c r="M7" s="929"/>
    </row>
    <row r="8" spans="1:16">
      <c r="A8" s="434" t="s">
        <v>1297</v>
      </c>
      <c r="E8" s="1199">
        <v>204</v>
      </c>
      <c r="F8" s="1026" t="s">
        <v>1478</v>
      </c>
      <c r="G8" s="904" t="s">
        <v>1303</v>
      </c>
      <c r="H8" s="904">
        <v>7.5</v>
      </c>
      <c r="I8" s="867">
        <v>56</v>
      </c>
      <c r="J8" s="867">
        <v>10.5</v>
      </c>
      <c r="K8" s="867">
        <v>1000</v>
      </c>
      <c r="L8" s="905">
        <f t="shared" si="0"/>
        <v>264.60000000000002</v>
      </c>
      <c r="N8" s="471"/>
      <c r="O8" s="470"/>
      <c r="P8" s="439"/>
    </row>
    <row r="9" spans="1:16">
      <c r="A9" s="934" t="s">
        <v>1303</v>
      </c>
      <c r="E9" s="1216"/>
      <c r="F9" s="1023" t="s">
        <v>1478</v>
      </c>
      <c r="G9" s="450" t="s">
        <v>1301</v>
      </c>
      <c r="H9" s="450">
        <v>11</v>
      </c>
      <c r="I9" s="456">
        <v>56</v>
      </c>
      <c r="J9" s="456">
        <v>10.5</v>
      </c>
      <c r="K9" s="456">
        <v>1000</v>
      </c>
      <c r="L9" s="907">
        <f t="shared" si="0"/>
        <v>388.08</v>
      </c>
      <c r="N9" s="471"/>
      <c r="O9" s="470"/>
      <c r="P9" s="439"/>
    </row>
    <row r="10" spans="1:16">
      <c r="A10" s="541" t="s">
        <v>1301</v>
      </c>
      <c r="E10" s="1216"/>
      <c r="F10" s="1023" t="s">
        <v>1478</v>
      </c>
      <c r="G10" s="446" t="s">
        <v>1299</v>
      </c>
      <c r="H10" s="450">
        <v>11.5</v>
      </c>
      <c r="I10" s="456">
        <v>56</v>
      </c>
      <c r="J10" s="456">
        <v>10.5</v>
      </c>
      <c r="K10" s="456">
        <v>1000</v>
      </c>
      <c r="L10" s="907">
        <f t="shared" si="0"/>
        <v>405.72</v>
      </c>
      <c r="N10" s="468"/>
      <c r="O10" s="470"/>
      <c r="P10" s="467"/>
    </row>
    <row r="11" spans="1:16">
      <c r="A11" s="935" t="s">
        <v>1299</v>
      </c>
      <c r="E11" s="1216"/>
      <c r="F11" s="1025" t="s">
        <v>1479</v>
      </c>
      <c r="G11" s="916" t="s">
        <v>1303</v>
      </c>
      <c r="H11" s="916">
        <v>7.5</v>
      </c>
      <c r="I11" s="1032">
        <v>56</v>
      </c>
      <c r="J11" s="1032">
        <v>10.5</v>
      </c>
      <c r="K11" s="1032">
        <v>1000</v>
      </c>
      <c r="L11" s="918">
        <f t="shared" si="0"/>
        <v>264.60000000000002</v>
      </c>
      <c r="N11" s="471"/>
      <c r="O11" s="470"/>
      <c r="P11" s="439"/>
    </row>
    <row r="12" spans="1:16">
      <c r="E12" s="1216"/>
      <c r="F12" s="1025" t="s">
        <v>1479</v>
      </c>
      <c r="G12" s="916" t="s">
        <v>1301</v>
      </c>
      <c r="H12" s="916">
        <v>11</v>
      </c>
      <c r="I12" s="1032">
        <v>56</v>
      </c>
      <c r="J12" s="1032">
        <v>10.5</v>
      </c>
      <c r="K12" s="1032">
        <v>1000</v>
      </c>
      <c r="L12" s="918">
        <f t="shared" si="0"/>
        <v>388.08</v>
      </c>
      <c r="N12" s="468"/>
      <c r="O12" s="470"/>
      <c r="P12" s="467"/>
    </row>
    <row r="13" spans="1:16">
      <c r="E13" s="1216"/>
      <c r="F13" s="1025" t="s">
        <v>1479</v>
      </c>
      <c r="G13" s="917" t="s">
        <v>1299</v>
      </c>
      <c r="H13" s="917">
        <v>11.5</v>
      </c>
      <c r="I13" s="1032">
        <v>56</v>
      </c>
      <c r="J13" s="1032">
        <v>10.5</v>
      </c>
      <c r="K13" s="1032">
        <v>1000</v>
      </c>
      <c r="L13" s="918">
        <f t="shared" si="0"/>
        <v>405.72</v>
      </c>
      <c r="N13" s="468"/>
      <c r="O13" s="470"/>
      <c r="P13" s="467"/>
    </row>
    <row r="14" spans="1:16">
      <c r="E14" s="1216"/>
      <c r="F14" s="1023" t="s">
        <v>1376</v>
      </c>
      <c r="G14" s="450" t="s">
        <v>1303</v>
      </c>
      <c r="H14" s="450">
        <v>7.5</v>
      </c>
      <c r="I14" s="1036">
        <v>56</v>
      </c>
      <c r="J14" s="455">
        <v>10.7</v>
      </c>
      <c r="K14" s="1037">
        <v>1000</v>
      </c>
      <c r="L14" s="907">
        <f t="shared" si="0"/>
        <v>269.63999999999993</v>
      </c>
      <c r="N14" s="476"/>
      <c r="O14" s="475"/>
      <c r="P14" s="515"/>
    </row>
    <row r="15" spans="1:16">
      <c r="E15" s="1216"/>
      <c r="F15" s="1023" t="s">
        <v>1376</v>
      </c>
      <c r="G15" s="450" t="s">
        <v>1301</v>
      </c>
      <c r="H15" s="450">
        <v>11</v>
      </c>
      <c r="I15" s="1036">
        <v>56</v>
      </c>
      <c r="J15" s="455">
        <v>10.7</v>
      </c>
      <c r="K15" s="1037">
        <v>1000</v>
      </c>
      <c r="L15" s="907">
        <f t="shared" si="0"/>
        <v>395.47199999999992</v>
      </c>
      <c r="N15" s="468"/>
      <c r="O15" s="466"/>
      <c r="P15" s="467"/>
    </row>
    <row r="16" spans="1:16">
      <c r="E16" s="1216"/>
      <c r="F16" s="1023" t="s">
        <v>1376</v>
      </c>
      <c r="G16" s="446" t="s">
        <v>1299</v>
      </c>
      <c r="H16" s="450">
        <v>11.5</v>
      </c>
      <c r="I16" s="1036">
        <v>56</v>
      </c>
      <c r="J16" s="455">
        <v>10.7</v>
      </c>
      <c r="K16" s="1037">
        <v>1000</v>
      </c>
      <c r="L16" s="907">
        <f t="shared" si="0"/>
        <v>413.44799999999992</v>
      </c>
      <c r="N16" s="468"/>
      <c r="O16" s="470"/>
      <c r="P16" s="467"/>
    </row>
    <row r="17" spans="5:16">
      <c r="E17" s="1216"/>
      <c r="F17" s="1025" t="s">
        <v>1469</v>
      </c>
      <c r="G17" s="916" t="s">
        <v>1303</v>
      </c>
      <c r="H17" s="916">
        <v>7.5</v>
      </c>
      <c r="I17" s="1051">
        <v>56</v>
      </c>
      <c r="J17" s="1052">
        <v>10.7</v>
      </c>
      <c r="K17" s="1053">
        <v>1000</v>
      </c>
      <c r="L17" s="918">
        <f t="shared" si="0"/>
        <v>269.63999999999993</v>
      </c>
      <c r="N17" s="468"/>
      <c r="O17" s="470"/>
      <c r="P17" s="467"/>
    </row>
    <row r="18" spans="5:16">
      <c r="E18" s="1216"/>
      <c r="F18" s="1025" t="s">
        <v>1469</v>
      </c>
      <c r="G18" s="916" t="s">
        <v>1301</v>
      </c>
      <c r="H18" s="916">
        <v>11</v>
      </c>
      <c r="I18" s="1051">
        <v>56</v>
      </c>
      <c r="J18" s="1052">
        <v>10.7</v>
      </c>
      <c r="K18" s="1053">
        <v>1000</v>
      </c>
      <c r="L18" s="918">
        <f t="shared" si="0"/>
        <v>395.47199999999992</v>
      </c>
      <c r="N18" s="468"/>
      <c r="O18" s="470"/>
      <c r="P18" s="467"/>
    </row>
    <row r="19" spans="5:16">
      <c r="E19" s="1216"/>
      <c r="F19" s="1025" t="s">
        <v>1469</v>
      </c>
      <c r="G19" s="917" t="s">
        <v>1299</v>
      </c>
      <c r="H19" s="917">
        <v>11.5</v>
      </c>
      <c r="I19" s="1051">
        <v>56</v>
      </c>
      <c r="J19" s="1052">
        <v>10.7</v>
      </c>
      <c r="K19" s="1053">
        <v>1000</v>
      </c>
      <c r="L19" s="918">
        <f t="shared" si="0"/>
        <v>413.44799999999992</v>
      </c>
      <c r="N19" s="468"/>
      <c r="O19" s="470"/>
      <c r="P19" s="467"/>
    </row>
    <row r="20" spans="5:16">
      <c r="E20" s="1216"/>
      <c r="F20" s="1023" t="s">
        <v>1480</v>
      </c>
      <c r="G20" s="450" t="s">
        <v>1303</v>
      </c>
      <c r="H20" s="450">
        <v>7.5</v>
      </c>
      <c r="I20" s="1036">
        <v>56</v>
      </c>
      <c r="J20" s="455">
        <v>9.5</v>
      </c>
      <c r="K20" s="1037">
        <v>1000</v>
      </c>
      <c r="L20" s="907">
        <f t="shared" si="0"/>
        <v>239.4</v>
      </c>
    </row>
    <row r="21" spans="5:16">
      <c r="E21" s="1216"/>
      <c r="F21" s="1023" t="s">
        <v>1480</v>
      </c>
      <c r="G21" s="450" t="s">
        <v>1301</v>
      </c>
      <c r="H21" s="450">
        <v>11</v>
      </c>
      <c r="I21" s="1036">
        <v>56</v>
      </c>
      <c r="J21" s="455">
        <v>9.5</v>
      </c>
      <c r="K21" s="1037">
        <v>1000</v>
      </c>
      <c r="L21" s="907">
        <f t="shared" si="0"/>
        <v>351.12</v>
      </c>
    </row>
    <row r="22" spans="5:16">
      <c r="E22" s="1216"/>
      <c r="F22" s="1023" t="s">
        <v>1480</v>
      </c>
      <c r="G22" s="446" t="s">
        <v>1299</v>
      </c>
      <c r="H22" s="450">
        <v>11.5</v>
      </c>
      <c r="I22" s="1036">
        <v>56</v>
      </c>
      <c r="J22" s="455">
        <v>9.5</v>
      </c>
      <c r="K22" s="1037">
        <v>1000</v>
      </c>
      <c r="L22" s="907">
        <f t="shared" si="0"/>
        <v>367.08</v>
      </c>
    </row>
    <row r="23" spans="5:16">
      <c r="E23" s="1216"/>
      <c r="F23" s="1025" t="s">
        <v>1480</v>
      </c>
      <c r="G23" s="916" t="s">
        <v>1303</v>
      </c>
      <c r="H23" s="916">
        <v>7.5</v>
      </c>
      <c r="I23" s="1051">
        <v>56</v>
      </c>
      <c r="J23" s="1052">
        <v>9.5</v>
      </c>
      <c r="K23" s="1053">
        <v>1000</v>
      </c>
      <c r="L23" s="918">
        <f t="shared" si="0"/>
        <v>239.4</v>
      </c>
    </row>
    <row r="24" spans="5:16">
      <c r="E24" s="1216"/>
      <c r="F24" s="1025" t="s">
        <v>1480</v>
      </c>
      <c r="G24" s="916" t="s">
        <v>1301</v>
      </c>
      <c r="H24" s="916">
        <v>11</v>
      </c>
      <c r="I24" s="1051">
        <v>56</v>
      </c>
      <c r="J24" s="1052">
        <v>9.5</v>
      </c>
      <c r="K24" s="1053">
        <v>1000</v>
      </c>
      <c r="L24" s="918">
        <f t="shared" si="0"/>
        <v>351.12</v>
      </c>
    </row>
    <row r="25" spans="5:16">
      <c r="E25" s="1216"/>
      <c r="F25" s="1025" t="s">
        <v>1480</v>
      </c>
      <c r="G25" s="917" t="s">
        <v>1299</v>
      </c>
      <c r="H25" s="917">
        <v>11.5</v>
      </c>
      <c r="I25" s="1051">
        <v>56</v>
      </c>
      <c r="J25" s="1052">
        <v>9.5</v>
      </c>
      <c r="K25" s="1053">
        <v>1000</v>
      </c>
      <c r="L25" s="918">
        <f t="shared" si="0"/>
        <v>367.08</v>
      </c>
    </row>
    <row r="26" spans="5:16">
      <c r="E26" s="1216"/>
      <c r="F26" s="1023" t="s">
        <v>1481</v>
      </c>
      <c r="G26" s="450" t="s">
        <v>1303</v>
      </c>
      <c r="H26" s="450">
        <v>7.5</v>
      </c>
      <c r="I26" s="432">
        <v>56</v>
      </c>
      <c r="J26" s="455">
        <v>10.9</v>
      </c>
      <c r="K26" s="446">
        <v>1000</v>
      </c>
      <c r="L26" s="907">
        <f t="shared" si="0"/>
        <v>274.68</v>
      </c>
    </row>
    <row r="27" spans="5:16">
      <c r="E27" s="1216"/>
      <c r="F27" s="1023" t="s">
        <v>1481</v>
      </c>
      <c r="G27" s="450" t="s">
        <v>1301</v>
      </c>
      <c r="H27" s="450">
        <v>11</v>
      </c>
      <c r="I27" s="432">
        <v>56</v>
      </c>
      <c r="J27" s="455">
        <v>10.9</v>
      </c>
      <c r="K27" s="446">
        <v>1000</v>
      </c>
      <c r="L27" s="907">
        <f t="shared" si="0"/>
        <v>402.86399999999998</v>
      </c>
    </row>
    <row r="28" spans="5:16">
      <c r="E28" s="1216"/>
      <c r="F28" s="1023" t="s">
        <v>1481</v>
      </c>
      <c r="G28" s="446" t="s">
        <v>1299</v>
      </c>
      <c r="H28" s="450">
        <v>11.5</v>
      </c>
      <c r="I28" s="432">
        <v>56</v>
      </c>
      <c r="J28" s="455">
        <v>10.9</v>
      </c>
      <c r="K28" s="446">
        <v>1000</v>
      </c>
      <c r="L28" s="907">
        <f t="shared" si="0"/>
        <v>421.17599999999999</v>
      </c>
    </row>
    <row r="29" spans="5:16">
      <c r="E29" s="1216"/>
      <c r="F29" s="1025" t="s">
        <v>1482</v>
      </c>
      <c r="G29" s="916" t="s">
        <v>1303</v>
      </c>
      <c r="H29" s="916">
        <v>7.5</v>
      </c>
      <c r="I29" s="1051">
        <v>156</v>
      </c>
      <c r="J29" s="1054">
        <v>8.3000000000000007</v>
      </c>
      <c r="K29" s="1053">
        <v>2500</v>
      </c>
      <c r="L29" s="918">
        <f t="shared" si="0"/>
        <v>233.06400000000005</v>
      </c>
    </row>
    <row r="30" spans="5:16">
      <c r="E30" s="1216"/>
      <c r="F30" s="1025" t="s">
        <v>1482</v>
      </c>
      <c r="G30" s="916" t="s">
        <v>1301</v>
      </c>
      <c r="H30" s="916">
        <v>11</v>
      </c>
      <c r="I30" s="1051">
        <v>156</v>
      </c>
      <c r="J30" s="1054">
        <v>8.3000000000000007</v>
      </c>
      <c r="K30" s="1053">
        <v>2500</v>
      </c>
      <c r="L30" s="918">
        <f t="shared" si="0"/>
        <v>341.82720000000006</v>
      </c>
    </row>
    <row r="31" spans="5:16">
      <c r="E31" s="1216"/>
      <c r="F31" s="1025" t="s">
        <v>1482</v>
      </c>
      <c r="G31" s="917" t="s">
        <v>1299</v>
      </c>
      <c r="H31" s="917">
        <v>11.5</v>
      </c>
      <c r="I31" s="1051">
        <v>156</v>
      </c>
      <c r="J31" s="1054">
        <v>8.3000000000000007</v>
      </c>
      <c r="K31" s="1053">
        <v>2500</v>
      </c>
      <c r="L31" s="918">
        <f t="shared" si="0"/>
        <v>357.36480000000006</v>
      </c>
    </row>
    <row r="32" spans="5:16">
      <c r="E32" s="1216"/>
      <c r="F32" s="1023" t="s">
        <v>1483</v>
      </c>
      <c r="G32" s="450" t="s">
        <v>1303</v>
      </c>
      <c r="H32" s="450">
        <v>7.5</v>
      </c>
      <c r="I32" s="1036">
        <v>36</v>
      </c>
      <c r="J32" s="455">
        <v>7.8</v>
      </c>
      <c r="K32" s="1037">
        <v>600</v>
      </c>
      <c r="L32" s="907">
        <f t="shared" si="0"/>
        <v>210.6</v>
      </c>
    </row>
    <row r="33" spans="5:16">
      <c r="E33" s="1216"/>
      <c r="F33" s="1023" t="s">
        <v>1483</v>
      </c>
      <c r="G33" s="450" t="s">
        <v>1301</v>
      </c>
      <c r="H33" s="450">
        <v>11</v>
      </c>
      <c r="I33" s="1036">
        <v>36</v>
      </c>
      <c r="J33" s="455">
        <v>7.8</v>
      </c>
      <c r="K33" s="1037">
        <v>600</v>
      </c>
      <c r="L33" s="907">
        <f t="shared" si="0"/>
        <v>308.88</v>
      </c>
    </row>
    <row r="34" spans="5:16">
      <c r="E34" s="1216"/>
      <c r="F34" s="1023" t="s">
        <v>1483</v>
      </c>
      <c r="G34" s="446" t="s">
        <v>1299</v>
      </c>
      <c r="H34" s="450">
        <v>11.5</v>
      </c>
      <c r="I34" s="1036">
        <v>36</v>
      </c>
      <c r="J34" s="455">
        <v>7.8</v>
      </c>
      <c r="K34" s="1037">
        <v>600</v>
      </c>
      <c r="L34" s="907">
        <f t="shared" si="0"/>
        <v>322.92</v>
      </c>
    </row>
    <row r="35" spans="5:16">
      <c r="E35" s="1216"/>
      <c r="F35" s="1025" t="s">
        <v>1484</v>
      </c>
      <c r="G35" s="916" t="s">
        <v>1303</v>
      </c>
      <c r="H35" s="916">
        <v>7.5</v>
      </c>
      <c r="I35" s="1051">
        <v>36</v>
      </c>
      <c r="J35" s="1052">
        <v>9</v>
      </c>
      <c r="K35" s="1053">
        <v>500</v>
      </c>
      <c r="L35" s="918">
        <f t="shared" si="0"/>
        <v>291.60000000000002</v>
      </c>
    </row>
    <row r="36" spans="5:16">
      <c r="E36" s="1216"/>
      <c r="F36" s="1025" t="s">
        <v>1484</v>
      </c>
      <c r="G36" s="916" t="s">
        <v>1301</v>
      </c>
      <c r="H36" s="916">
        <v>11</v>
      </c>
      <c r="I36" s="1051">
        <v>36</v>
      </c>
      <c r="J36" s="1052">
        <v>9</v>
      </c>
      <c r="K36" s="1053">
        <v>500</v>
      </c>
      <c r="L36" s="918">
        <f t="shared" si="0"/>
        <v>427.68</v>
      </c>
    </row>
    <row r="37" spans="5:16">
      <c r="E37" s="1216"/>
      <c r="F37" s="1025" t="s">
        <v>1484</v>
      </c>
      <c r="G37" s="917" t="s">
        <v>1299</v>
      </c>
      <c r="H37" s="917">
        <v>11.5</v>
      </c>
      <c r="I37" s="1051">
        <v>36</v>
      </c>
      <c r="J37" s="1052">
        <v>9</v>
      </c>
      <c r="K37" s="1053">
        <v>500</v>
      </c>
      <c r="L37" s="918">
        <f t="shared" si="0"/>
        <v>447.12</v>
      </c>
    </row>
    <row r="38" spans="5:16">
      <c r="E38" s="1216"/>
      <c r="F38" s="1023" t="s">
        <v>1485</v>
      </c>
      <c r="G38" s="450" t="s">
        <v>1303</v>
      </c>
      <c r="H38" s="450">
        <v>7.5</v>
      </c>
      <c r="I38" s="1036">
        <v>36</v>
      </c>
      <c r="J38" s="455">
        <v>7.7</v>
      </c>
      <c r="K38" s="1037">
        <v>500</v>
      </c>
      <c r="L38" s="907">
        <f t="shared" si="0"/>
        <v>249.48</v>
      </c>
    </row>
    <row r="39" spans="5:16">
      <c r="E39" s="1216"/>
      <c r="F39" s="1023" t="s">
        <v>1485</v>
      </c>
      <c r="G39" s="450" t="s">
        <v>1301</v>
      </c>
      <c r="H39" s="450">
        <v>11</v>
      </c>
      <c r="I39" s="1036">
        <v>36</v>
      </c>
      <c r="J39" s="455">
        <v>7.7</v>
      </c>
      <c r="K39" s="1037">
        <v>500</v>
      </c>
      <c r="L39" s="907">
        <f t="shared" si="0"/>
        <v>365.904</v>
      </c>
    </row>
    <row r="40" spans="5:16">
      <c r="E40" s="1216"/>
      <c r="F40" s="1023" t="s">
        <v>1485</v>
      </c>
      <c r="G40" s="446" t="s">
        <v>1299</v>
      </c>
      <c r="H40" s="450">
        <v>11.5</v>
      </c>
      <c r="I40" s="1036">
        <v>36</v>
      </c>
      <c r="J40" s="455">
        <v>7.7</v>
      </c>
      <c r="K40" s="1037">
        <v>500</v>
      </c>
      <c r="L40" s="907">
        <f t="shared" si="0"/>
        <v>382.536</v>
      </c>
    </row>
    <row r="41" spans="5:16">
      <c r="E41" s="1216"/>
      <c r="F41" s="1025" t="s">
        <v>1483</v>
      </c>
      <c r="G41" s="916" t="s">
        <v>1303</v>
      </c>
      <c r="H41" s="916">
        <v>7.5</v>
      </c>
      <c r="I41" s="1051">
        <v>36</v>
      </c>
      <c r="J41" s="1052">
        <v>7.8</v>
      </c>
      <c r="K41" s="1053">
        <v>600</v>
      </c>
      <c r="L41" s="918">
        <f t="shared" si="0"/>
        <v>210.6</v>
      </c>
    </row>
    <row r="42" spans="5:16">
      <c r="E42" s="1216"/>
      <c r="F42" s="1025" t="s">
        <v>1483</v>
      </c>
      <c r="G42" s="916" t="s">
        <v>1301</v>
      </c>
      <c r="H42" s="916">
        <v>11</v>
      </c>
      <c r="I42" s="1051">
        <v>36</v>
      </c>
      <c r="J42" s="1052">
        <v>7.8</v>
      </c>
      <c r="K42" s="1053">
        <v>600</v>
      </c>
      <c r="L42" s="918">
        <f t="shared" si="0"/>
        <v>308.88</v>
      </c>
    </row>
    <row r="43" spans="5:16">
      <c r="E43" s="1165"/>
      <c r="F43" s="1030" t="s">
        <v>1483</v>
      </c>
      <c r="G43" s="921" t="s">
        <v>1299</v>
      </c>
      <c r="H43" s="921">
        <v>11.5</v>
      </c>
      <c r="I43" s="1055">
        <v>36</v>
      </c>
      <c r="J43" s="1056">
        <v>7.8</v>
      </c>
      <c r="K43" s="1057">
        <v>600</v>
      </c>
      <c r="L43" s="922">
        <f t="shared" si="0"/>
        <v>322.92</v>
      </c>
    </row>
    <row r="44" spans="5:16">
      <c r="E44" s="1199">
        <v>205</v>
      </c>
      <c r="F44" s="1026" t="s">
        <v>1471</v>
      </c>
      <c r="G44" s="904" t="s">
        <v>1303</v>
      </c>
      <c r="H44" s="904">
        <v>7.5</v>
      </c>
      <c r="I44" s="1042">
        <v>36</v>
      </c>
      <c r="J44" s="1043">
        <v>9</v>
      </c>
      <c r="K44" s="1044">
        <v>500</v>
      </c>
      <c r="L44" s="905">
        <f t="shared" si="0"/>
        <v>291.60000000000002</v>
      </c>
    </row>
    <row r="45" spans="5:16">
      <c r="E45" s="1216"/>
      <c r="F45" s="1023" t="s">
        <v>1471</v>
      </c>
      <c r="G45" s="450" t="s">
        <v>1301</v>
      </c>
      <c r="H45" s="450">
        <v>11</v>
      </c>
      <c r="I45" s="1036">
        <v>36</v>
      </c>
      <c r="J45" s="1038">
        <v>9</v>
      </c>
      <c r="K45" s="1037">
        <v>500</v>
      </c>
      <c r="L45" s="907">
        <f t="shared" si="0"/>
        <v>427.68</v>
      </c>
      <c r="N45" s="1033"/>
      <c r="O45" s="1034"/>
      <c r="P45" s="1035"/>
    </row>
    <row r="46" spans="5:16">
      <c r="E46" s="1216"/>
      <c r="F46" s="1023" t="s">
        <v>1471</v>
      </c>
      <c r="G46" s="446" t="s">
        <v>1299</v>
      </c>
      <c r="H46" s="450">
        <v>11.5</v>
      </c>
      <c r="I46" s="1036">
        <v>36</v>
      </c>
      <c r="J46" s="1038">
        <v>9</v>
      </c>
      <c r="K46" s="1037">
        <v>500</v>
      </c>
      <c r="L46" s="907">
        <f t="shared" si="0"/>
        <v>447.12</v>
      </c>
      <c r="N46" s="1033"/>
      <c r="O46" s="1034"/>
      <c r="P46" s="1035"/>
    </row>
    <row r="47" spans="5:16">
      <c r="E47" s="1216"/>
      <c r="F47" s="1025" t="s">
        <v>1470</v>
      </c>
      <c r="G47" s="916" t="s">
        <v>1303</v>
      </c>
      <c r="H47" s="916">
        <v>7.5</v>
      </c>
      <c r="I47" s="1051">
        <v>30</v>
      </c>
      <c r="J47" s="1054">
        <v>13.3</v>
      </c>
      <c r="K47" s="1053">
        <v>600</v>
      </c>
      <c r="L47" s="918">
        <f t="shared" si="0"/>
        <v>299.25</v>
      </c>
      <c r="N47" s="1033"/>
      <c r="O47" s="1034"/>
      <c r="P47" s="1035"/>
    </row>
    <row r="48" spans="5:16">
      <c r="E48" s="1216"/>
      <c r="F48" s="1025" t="s">
        <v>1470</v>
      </c>
      <c r="G48" s="916" t="s">
        <v>1301</v>
      </c>
      <c r="H48" s="916">
        <v>11</v>
      </c>
      <c r="I48" s="1051">
        <v>30</v>
      </c>
      <c r="J48" s="1054">
        <v>13.3</v>
      </c>
      <c r="K48" s="1053">
        <v>600</v>
      </c>
      <c r="L48" s="918">
        <f t="shared" si="0"/>
        <v>438.9</v>
      </c>
      <c r="N48" s="1033"/>
      <c r="O48" s="1034"/>
      <c r="P48" s="1035"/>
    </row>
    <row r="49" spans="5:16">
      <c r="E49" s="1216"/>
      <c r="F49" s="1025" t="s">
        <v>1470</v>
      </c>
      <c r="G49" s="917" t="s">
        <v>1299</v>
      </c>
      <c r="H49" s="917">
        <v>11.5</v>
      </c>
      <c r="I49" s="1051">
        <v>30</v>
      </c>
      <c r="J49" s="1054">
        <v>13.3</v>
      </c>
      <c r="K49" s="1053">
        <v>600</v>
      </c>
      <c r="L49" s="918">
        <f t="shared" si="0"/>
        <v>458.85</v>
      </c>
      <c r="N49" s="1033"/>
      <c r="O49" s="1034"/>
      <c r="P49" s="1035"/>
    </row>
    <row r="50" spans="5:16">
      <c r="E50" s="1216"/>
      <c r="F50" s="1023" t="s">
        <v>1473</v>
      </c>
      <c r="G50" s="450" t="s">
        <v>1303</v>
      </c>
      <c r="H50" s="450">
        <v>7.5</v>
      </c>
      <c r="I50" s="1036">
        <v>24</v>
      </c>
      <c r="J50" s="1038">
        <v>12.7</v>
      </c>
      <c r="K50" s="1037">
        <v>600</v>
      </c>
      <c r="L50" s="907">
        <f t="shared" si="0"/>
        <v>228.59999999999994</v>
      </c>
      <c r="N50" s="1033"/>
      <c r="O50" s="1034"/>
      <c r="P50" s="1035"/>
    </row>
    <row r="51" spans="5:16">
      <c r="E51" s="1216"/>
      <c r="F51" s="1023" t="s">
        <v>1473</v>
      </c>
      <c r="G51" s="450" t="s">
        <v>1301</v>
      </c>
      <c r="H51" s="450">
        <v>11</v>
      </c>
      <c r="I51" s="1036">
        <v>24</v>
      </c>
      <c r="J51" s="1038">
        <v>12.7</v>
      </c>
      <c r="K51" s="1037">
        <v>600</v>
      </c>
      <c r="L51" s="907">
        <f t="shared" si="0"/>
        <v>335.28</v>
      </c>
      <c r="N51" s="476"/>
      <c r="O51" s="475"/>
      <c r="P51" s="515"/>
    </row>
    <row r="52" spans="5:16">
      <c r="E52" s="1216"/>
      <c r="F52" s="1023" t="s">
        <v>1473</v>
      </c>
      <c r="G52" s="446" t="s">
        <v>1299</v>
      </c>
      <c r="H52" s="450">
        <v>11.5</v>
      </c>
      <c r="I52" s="1036">
        <v>24</v>
      </c>
      <c r="J52" s="1038">
        <v>12.7</v>
      </c>
      <c r="K52" s="1037">
        <v>600</v>
      </c>
      <c r="L52" s="907">
        <f t="shared" si="0"/>
        <v>350.51999999999992</v>
      </c>
      <c r="N52" s="1033"/>
      <c r="O52" s="1034"/>
      <c r="P52" s="1035"/>
    </row>
    <row r="53" spans="5:16">
      <c r="E53" s="1216"/>
      <c r="F53" s="1027" t="s">
        <v>1462</v>
      </c>
      <c r="G53" s="916" t="s">
        <v>1303</v>
      </c>
      <c r="H53" s="916">
        <v>7.5</v>
      </c>
      <c r="I53" s="1051">
        <v>56</v>
      </c>
      <c r="J53" s="1054">
        <v>10.7</v>
      </c>
      <c r="K53" s="1053">
        <v>1000</v>
      </c>
      <c r="L53" s="918">
        <f t="shared" si="0"/>
        <v>269.63999999999993</v>
      </c>
      <c r="N53" s="476"/>
      <c r="O53" s="475"/>
      <c r="P53" s="515"/>
    </row>
    <row r="54" spans="5:16">
      <c r="E54" s="1216"/>
      <c r="F54" s="1027" t="s">
        <v>1462</v>
      </c>
      <c r="G54" s="916" t="s">
        <v>1301</v>
      </c>
      <c r="H54" s="916">
        <v>11</v>
      </c>
      <c r="I54" s="1051">
        <v>56</v>
      </c>
      <c r="J54" s="1054">
        <v>10.7</v>
      </c>
      <c r="K54" s="1053">
        <v>1000</v>
      </c>
      <c r="L54" s="918">
        <f t="shared" si="0"/>
        <v>395.47199999999992</v>
      </c>
      <c r="N54" s="476"/>
      <c r="O54" s="475"/>
      <c r="P54" s="515"/>
    </row>
    <row r="55" spans="5:16">
      <c r="E55" s="1216"/>
      <c r="F55" s="1027" t="s">
        <v>1462</v>
      </c>
      <c r="G55" s="917" t="s">
        <v>1299</v>
      </c>
      <c r="H55" s="917">
        <v>11.5</v>
      </c>
      <c r="I55" s="1051">
        <v>56</v>
      </c>
      <c r="J55" s="1054">
        <v>10.7</v>
      </c>
      <c r="K55" s="1053">
        <v>1000</v>
      </c>
      <c r="L55" s="918">
        <f t="shared" si="0"/>
        <v>413.44799999999992</v>
      </c>
    </row>
    <row r="56" spans="5:16">
      <c r="E56" s="1216"/>
      <c r="F56" s="1022" t="s">
        <v>1463</v>
      </c>
      <c r="G56" s="450" t="s">
        <v>1303</v>
      </c>
      <c r="H56" s="450">
        <v>7.5</v>
      </c>
      <c r="I56" s="1036">
        <v>30</v>
      </c>
      <c r="J56" s="1038">
        <v>9.5</v>
      </c>
      <c r="K56" s="1037">
        <v>1000</v>
      </c>
      <c r="L56" s="907">
        <f t="shared" si="0"/>
        <v>128.25</v>
      </c>
    </row>
    <row r="57" spans="5:16">
      <c r="E57" s="1216"/>
      <c r="F57" s="1022" t="s">
        <v>1463</v>
      </c>
      <c r="G57" s="450" t="s">
        <v>1301</v>
      </c>
      <c r="H57" s="450">
        <v>11</v>
      </c>
      <c r="I57" s="1036">
        <v>30</v>
      </c>
      <c r="J57" s="1038">
        <v>9.5</v>
      </c>
      <c r="K57" s="1037">
        <v>1000</v>
      </c>
      <c r="L57" s="907">
        <f t="shared" si="0"/>
        <v>188.1</v>
      </c>
    </row>
    <row r="58" spans="5:16">
      <c r="E58" s="1216"/>
      <c r="F58" s="1022" t="s">
        <v>1463</v>
      </c>
      <c r="G58" s="446" t="s">
        <v>1299</v>
      </c>
      <c r="H58" s="450">
        <v>11.5</v>
      </c>
      <c r="I58" s="1036">
        <v>30</v>
      </c>
      <c r="J58" s="1038">
        <v>9.5</v>
      </c>
      <c r="K58" s="1037">
        <v>1000</v>
      </c>
      <c r="L58" s="907">
        <f t="shared" si="0"/>
        <v>196.65</v>
      </c>
    </row>
    <row r="59" spans="5:16">
      <c r="E59" s="1216"/>
      <c r="F59" s="1025" t="s">
        <v>1475</v>
      </c>
      <c r="G59" s="916" t="s">
        <v>1303</v>
      </c>
      <c r="H59" s="916">
        <v>7.5</v>
      </c>
      <c r="I59" s="1051">
        <v>24</v>
      </c>
      <c r="J59" s="1054">
        <v>8.8000000000000007</v>
      </c>
      <c r="K59" s="1053">
        <v>600</v>
      </c>
      <c r="L59" s="918">
        <f t="shared" si="0"/>
        <v>158.40000000000003</v>
      </c>
    </row>
    <row r="60" spans="5:16">
      <c r="E60" s="1216"/>
      <c r="F60" s="1025" t="s">
        <v>1475</v>
      </c>
      <c r="G60" s="916" t="s">
        <v>1301</v>
      </c>
      <c r="H60" s="916">
        <v>11</v>
      </c>
      <c r="I60" s="1051">
        <v>24</v>
      </c>
      <c r="J60" s="1054">
        <v>8.8000000000000007</v>
      </c>
      <c r="K60" s="1053">
        <v>600</v>
      </c>
      <c r="L60" s="918">
        <f t="shared" si="0"/>
        <v>232.32000000000005</v>
      </c>
    </row>
    <row r="61" spans="5:16">
      <c r="E61" s="1216"/>
      <c r="F61" s="1025" t="s">
        <v>1475</v>
      </c>
      <c r="G61" s="917" t="s">
        <v>1299</v>
      </c>
      <c r="H61" s="917">
        <v>11.5</v>
      </c>
      <c r="I61" s="1051">
        <v>24</v>
      </c>
      <c r="J61" s="1054">
        <v>8.8000000000000007</v>
      </c>
      <c r="K61" s="1053">
        <v>600</v>
      </c>
      <c r="L61" s="918">
        <f t="shared" si="0"/>
        <v>242.88000000000005</v>
      </c>
    </row>
    <row r="62" spans="5:16">
      <c r="E62" s="1216"/>
      <c r="F62" s="1029" t="s">
        <v>1476</v>
      </c>
      <c r="G62" s="450" t="s">
        <v>1303</v>
      </c>
      <c r="H62" s="450">
        <v>7.5</v>
      </c>
      <c r="I62" s="432">
        <v>120</v>
      </c>
      <c r="J62" s="455">
        <v>8.6999999999999993</v>
      </c>
      <c r="K62" s="446">
        <v>2500</v>
      </c>
      <c r="L62" s="907">
        <f t="shared" si="0"/>
        <v>187.92</v>
      </c>
    </row>
    <row r="63" spans="5:16">
      <c r="E63" s="1216"/>
      <c r="F63" s="1029" t="s">
        <v>1476</v>
      </c>
      <c r="G63" s="450" t="s">
        <v>1301</v>
      </c>
      <c r="H63" s="450">
        <v>11</v>
      </c>
      <c r="I63" s="432">
        <v>120</v>
      </c>
      <c r="J63" s="455">
        <v>8.6999999999999993</v>
      </c>
      <c r="K63" s="446">
        <v>2500</v>
      </c>
      <c r="L63" s="907">
        <f t="shared" si="0"/>
        <v>275.61599999999999</v>
      </c>
    </row>
    <row r="64" spans="5:16">
      <c r="E64" s="1216"/>
      <c r="F64" s="1029" t="s">
        <v>1476</v>
      </c>
      <c r="G64" s="446" t="s">
        <v>1299</v>
      </c>
      <c r="H64" s="450">
        <v>11.5</v>
      </c>
      <c r="I64" s="432">
        <v>120</v>
      </c>
      <c r="J64" s="455">
        <v>8.6999999999999993</v>
      </c>
      <c r="K64" s="446">
        <v>2500</v>
      </c>
      <c r="L64" s="907">
        <f t="shared" si="0"/>
        <v>288.14400000000001</v>
      </c>
    </row>
    <row r="65" spans="5:16">
      <c r="E65" s="1216"/>
      <c r="F65" s="1025" t="s">
        <v>1477</v>
      </c>
      <c r="G65" s="916" t="s">
        <v>1303</v>
      </c>
      <c r="H65" s="916">
        <v>7.5</v>
      </c>
      <c r="I65" s="1051">
        <v>90</v>
      </c>
      <c r="J65" s="1054">
        <v>8.3000000000000007</v>
      </c>
      <c r="K65" s="1053">
        <v>2500</v>
      </c>
      <c r="L65" s="918">
        <f t="shared" si="0"/>
        <v>134.46000000000004</v>
      </c>
    </row>
    <row r="66" spans="5:16">
      <c r="E66" s="1216"/>
      <c r="F66" s="1025" t="s">
        <v>1477</v>
      </c>
      <c r="G66" s="916" t="s">
        <v>1301</v>
      </c>
      <c r="H66" s="916">
        <v>11</v>
      </c>
      <c r="I66" s="1051">
        <v>90</v>
      </c>
      <c r="J66" s="1054">
        <v>8.3000000000000007</v>
      </c>
      <c r="K66" s="1053">
        <v>2500</v>
      </c>
      <c r="L66" s="918">
        <f t="shared" si="0"/>
        <v>197.20800000000003</v>
      </c>
    </row>
    <row r="67" spans="5:16">
      <c r="E67" s="1216"/>
      <c r="F67" s="1025" t="s">
        <v>1477</v>
      </c>
      <c r="G67" s="917" t="s">
        <v>1299</v>
      </c>
      <c r="H67" s="917">
        <v>11.5</v>
      </c>
      <c r="I67" s="1051">
        <v>90</v>
      </c>
      <c r="J67" s="1054">
        <v>8.3000000000000007</v>
      </c>
      <c r="K67" s="1053">
        <v>2500</v>
      </c>
      <c r="L67" s="918">
        <f t="shared" ref="L67:L130" si="1">I67*J67*60*H67/K67</f>
        <v>206.17200000000003</v>
      </c>
    </row>
    <row r="68" spans="5:16">
      <c r="E68" s="1216"/>
      <c r="F68" s="1023" t="s">
        <v>260</v>
      </c>
      <c r="G68" s="450" t="s">
        <v>1303</v>
      </c>
      <c r="H68" s="450">
        <v>7.5</v>
      </c>
      <c r="I68" s="432">
        <v>12</v>
      </c>
      <c r="J68" s="455">
        <v>8.6999999999999993</v>
      </c>
      <c r="K68" s="446">
        <v>400</v>
      </c>
      <c r="L68" s="907">
        <f t="shared" si="1"/>
        <v>117.44999999999999</v>
      </c>
    </row>
    <row r="69" spans="5:16">
      <c r="E69" s="1216"/>
      <c r="F69" s="1023" t="s">
        <v>260</v>
      </c>
      <c r="G69" s="450" t="s">
        <v>1301</v>
      </c>
      <c r="H69" s="450">
        <v>11</v>
      </c>
      <c r="I69" s="432">
        <v>12</v>
      </c>
      <c r="J69" s="455">
        <v>8.6999999999999993</v>
      </c>
      <c r="K69" s="446">
        <v>400</v>
      </c>
      <c r="L69" s="907">
        <f t="shared" si="1"/>
        <v>172.25999999999996</v>
      </c>
    </row>
    <row r="70" spans="5:16">
      <c r="E70" s="1216"/>
      <c r="F70" s="1023" t="s">
        <v>260</v>
      </c>
      <c r="G70" s="446" t="s">
        <v>1299</v>
      </c>
      <c r="H70" s="450">
        <v>11.5</v>
      </c>
      <c r="I70" s="432">
        <v>12</v>
      </c>
      <c r="J70" s="455">
        <v>8.6999999999999993</v>
      </c>
      <c r="K70" s="446">
        <v>400</v>
      </c>
      <c r="L70" s="907">
        <f t="shared" si="1"/>
        <v>180.08999999999997</v>
      </c>
    </row>
    <row r="71" spans="5:16">
      <c r="E71" s="1216"/>
      <c r="F71" s="1025" t="s">
        <v>264</v>
      </c>
      <c r="G71" s="916" t="s">
        <v>1303</v>
      </c>
      <c r="H71" s="916">
        <v>7.5</v>
      </c>
      <c r="I71" s="1058">
        <v>12</v>
      </c>
      <c r="J71" s="1052">
        <v>10.3</v>
      </c>
      <c r="K71" s="917">
        <v>400</v>
      </c>
      <c r="L71" s="918">
        <f t="shared" si="1"/>
        <v>139.05000000000001</v>
      </c>
    </row>
    <row r="72" spans="5:16">
      <c r="E72" s="1216"/>
      <c r="F72" s="1025" t="s">
        <v>264</v>
      </c>
      <c r="G72" s="916" t="s">
        <v>1301</v>
      </c>
      <c r="H72" s="916">
        <v>11</v>
      </c>
      <c r="I72" s="1058">
        <v>12</v>
      </c>
      <c r="J72" s="1052">
        <v>10.3</v>
      </c>
      <c r="K72" s="917">
        <v>400</v>
      </c>
      <c r="L72" s="918">
        <f t="shared" si="1"/>
        <v>203.94000000000003</v>
      </c>
    </row>
    <row r="73" spans="5:16">
      <c r="E73" s="1165"/>
      <c r="F73" s="1030" t="s">
        <v>264</v>
      </c>
      <c r="G73" s="921" t="s">
        <v>1299</v>
      </c>
      <c r="H73" s="921">
        <v>11.5</v>
      </c>
      <c r="I73" s="1059">
        <v>12</v>
      </c>
      <c r="J73" s="1056">
        <v>10.3</v>
      </c>
      <c r="K73" s="921">
        <v>400</v>
      </c>
      <c r="L73" s="922">
        <f t="shared" si="1"/>
        <v>213.21000000000004</v>
      </c>
    </row>
    <row r="74" spans="5:16">
      <c r="E74" s="1199">
        <v>206</v>
      </c>
      <c r="F74" s="1019" t="s">
        <v>1470</v>
      </c>
      <c r="G74" s="904" t="s">
        <v>1303</v>
      </c>
      <c r="H74" s="904">
        <v>7.5</v>
      </c>
      <c r="I74" s="1046">
        <v>30</v>
      </c>
      <c r="J74" s="1047">
        <v>13.3</v>
      </c>
      <c r="K74" s="866">
        <v>600</v>
      </c>
      <c r="L74" s="905">
        <f t="shared" si="1"/>
        <v>299.25</v>
      </c>
    </row>
    <row r="75" spans="5:16">
      <c r="E75" s="1216"/>
      <c r="F75" s="1022" t="s">
        <v>1470</v>
      </c>
      <c r="G75" s="450" t="s">
        <v>1301</v>
      </c>
      <c r="H75" s="450">
        <v>11</v>
      </c>
      <c r="I75" s="432">
        <v>30</v>
      </c>
      <c r="J75" s="455">
        <v>13.3</v>
      </c>
      <c r="K75" s="446">
        <v>600</v>
      </c>
      <c r="L75" s="907">
        <f t="shared" si="1"/>
        <v>438.9</v>
      </c>
      <c r="N75" s="471"/>
      <c r="O75" s="470"/>
      <c r="P75" s="439"/>
    </row>
    <row r="76" spans="5:16">
      <c r="E76" s="1216"/>
      <c r="F76" s="1022" t="s">
        <v>1470</v>
      </c>
      <c r="G76" s="446" t="s">
        <v>1299</v>
      </c>
      <c r="H76" s="450">
        <v>11.5</v>
      </c>
      <c r="I76" s="432">
        <v>30</v>
      </c>
      <c r="J76" s="455">
        <v>13.3</v>
      </c>
      <c r="K76" s="446">
        <v>600</v>
      </c>
      <c r="L76" s="907">
        <f t="shared" si="1"/>
        <v>458.85</v>
      </c>
      <c r="N76" s="468"/>
      <c r="O76" s="470"/>
      <c r="P76" s="467"/>
    </row>
    <row r="77" spans="5:16">
      <c r="E77" s="1216"/>
      <c r="F77" s="1020" t="s">
        <v>1471</v>
      </c>
      <c r="G77" s="916" t="s">
        <v>1303</v>
      </c>
      <c r="H77" s="916">
        <v>7.5</v>
      </c>
      <c r="I77" s="1051">
        <v>36</v>
      </c>
      <c r="J77" s="1052">
        <v>9</v>
      </c>
      <c r="K77" s="1053">
        <v>500</v>
      </c>
      <c r="L77" s="918">
        <f t="shared" si="1"/>
        <v>291.60000000000002</v>
      </c>
      <c r="N77" s="468"/>
      <c r="O77" s="470"/>
      <c r="P77" s="467"/>
    </row>
    <row r="78" spans="5:16">
      <c r="E78" s="1216"/>
      <c r="F78" s="1020" t="s">
        <v>1471</v>
      </c>
      <c r="G78" s="916" t="s">
        <v>1301</v>
      </c>
      <c r="H78" s="916">
        <v>11</v>
      </c>
      <c r="I78" s="1051">
        <v>36</v>
      </c>
      <c r="J78" s="1052">
        <v>9</v>
      </c>
      <c r="K78" s="1053">
        <v>500</v>
      </c>
      <c r="L78" s="918">
        <f t="shared" si="1"/>
        <v>427.68</v>
      </c>
      <c r="N78" s="468"/>
      <c r="O78" s="470"/>
      <c r="P78" s="467"/>
    </row>
    <row r="79" spans="5:16">
      <c r="E79" s="1216"/>
      <c r="F79" s="1020" t="s">
        <v>1471</v>
      </c>
      <c r="G79" s="917" t="s">
        <v>1299</v>
      </c>
      <c r="H79" s="917">
        <v>11.5</v>
      </c>
      <c r="I79" s="1051">
        <v>36</v>
      </c>
      <c r="J79" s="1052">
        <v>9</v>
      </c>
      <c r="K79" s="1053">
        <v>500</v>
      </c>
      <c r="L79" s="918">
        <f t="shared" si="1"/>
        <v>447.12</v>
      </c>
      <c r="N79" s="471"/>
      <c r="O79" s="470"/>
      <c r="P79" s="439"/>
    </row>
    <row r="80" spans="5:16">
      <c r="E80" s="1216"/>
      <c r="F80" s="1022" t="s">
        <v>1472</v>
      </c>
      <c r="G80" s="450" t="s">
        <v>1303</v>
      </c>
      <c r="H80" s="450">
        <v>7.5</v>
      </c>
      <c r="I80" s="1036">
        <v>70</v>
      </c>
      <c r="J80" s="455">
        <v>9</v>
      </c>
      <c r="K80" s="1037">
        <v>1000</v>
      </c>
      <c r="L80" s="907">
        <f t="shared" si="1"/>
        <v>283.5</v>
      </c>
      <c r="N80" s="471"/>
      <c r="O80" s="470"/>
      <c r="P80" s="439"/>
    </row>
    <row r="81" spans="5:16">
      <c r="E81" s="1216"/>
      <c r="F81" s="1022" t="s">
        <v>1472</v>
      </c>
      <c r="G81" s="450" t="s">
        <v>1301</v>
      </c>
      <c r="H81" s="450">
        <v>11</v>
      </c>
      <c r="I81" s="1036">
        <v>70</v>
      </c>
      <c r="J81" s="455">
        <v>9</v>
      </c>
      <c r="K81" s="1037">
        <v>1000</v>
      </c>
      <c r="L81" s="907">
        <f t="shared" si="1"/>
        <v>415.8</v>
      </c>
      <c r="N81" s="471"/>
      <c r="O81" s="470"/>
      <c r="P81" s="439"/>
    </row>
    <row r="82" spans="5:16">
      <c r="E82" s="1216"/>
      <c r="F82" s="1022" t="s">
        <v>1472</v>
      </c>
      <c r="G82" s="446" t="s">
        <v>1299</v>
      </c>
      <c r="H82" s="450">
        <v>11.5</v>
      </c>
      <c r="I82" s="1036">
        <v>70</v>
      </c>
      <c r="J82" s="455">
        <v>9</v>
      </c>
      <c r="K82" s="1037">
        <v>1000</v>
      </c>
      <c r="L82" s="907">
        <f t="shared" si="1"/>
        <v>434.7</v>
      </c>
      <c r="N82" s="471"/>
      <c r="O82" s="470"/>
      <c r="P82" s="439"/>
    </row>
    <row r="83" spans="5:16">
      <c r="E83" s="1216"/>
      <c r="F83" s="1020" t="s">
        <v>1463</v>
      </c>
      <c r="G83" s="916" t="s">
        <v>1303</v>
      </c>
      <c r="H83" s="916">
        <v>7.5</v>
      </c>
      <c r="I83" s="1051">
        <v>30</v>
      </c>
      <c r="J83" s="1052">
        <v>9.5</v>
      </c>
      <c r="K83" s="1053">
        <v>1000</v>
      </c>
      <c r="L83" s="918">
        <f t="shared" si="1"/>
        <v>128.25</v>
      </c>
    </row>
    <row r="84" spans="5:16">
      <c r="E84" s="1216"/>
      <c r="F84" s="1020" t="s">
        <v>1463</v>
      </c>
      <c r="G84" s="916" t="s">
        <v>1301</v>
      </c>
      <c r="H84" s="916">
        <v>11</v>
      </c>
      <c r="I84" s="1051">
        <v>30</v>
      </c>
      <c r="J84" s="1052">
        <v>9.5</v>
      </c>
      <c r="K84" s="1053">
        <v>1000</v>
      </c>
      <c r="L84" s="918">
        <f t="shared" si="1"/>
        <v>188.1</v>
      </c>
    </row>
    <row r="85" spans="5:16">
      <c r="E85" s="1216"/>
      <c r="F85" s="1020" t="s">
        <v>1463</v>
      </c>
      <c r="G85" s="917" t="s">
        <v>1299</v>
      </c>
      <c r="H85" s="917">
        <v>11.5</v>
      </c>
      <c r="I85" s="1051">
        <v>30</v>
      </c>
      <c r="J85" s="1052">
        <v>9.5</v>
      </c>
      <c r="K85" s="1053">
        <v>1000</v>
      </c>
      <c r="L85" s="918">
        <f t="shared" si="1"/>
        <v>196.65</v>
      </c>
    </row>
    <row r="86" spans="5:16">
      <c r="E86" s="1216"/>
      <c r="F86" s="1022" t="s">
        <v>1473</v>
      </c>
      <c r="G86" s="450" t="s">
        <v>1303</v>
      </c>
      <c r="H86" s="450">
        <v>7.5</v>
      </c>
      <c r="I86" s="432">
        <v>24</v>
      </c>
      <c r="J86" s="455">
        <v>4.7</v>
      </c>
      <c r="K86" s="446">
        <v>600</v>
      </c>
      <c r="L86" s="907">
        <f t="shared" si="1"/>
        <v>84.600000000000009</v>
      </c>
    </row>
    <row r="87" spans="5:16">
      <c r="E87" s="1216"/>
      <c r="F87" s="1022" t="s">
        <v>1473</v>
      </c>
      <c r="G87" s="450" t="s">
        <v>1301</v>
      </c>
      <c r="H87" s="450">
        <v>11</v>
      </c>
      <c r="I87" s="432">
        <v>24</v>
      </c>
      <c r="J87" s="455">
        <v>4.7</v>
      </c>
      <c r="K87" s="446">
        <v>600</v>
      </c>
      <c r="L87" s="907">
        <f t="shared" si="1"/>
        <v>124.08000000000003</v>
      </c>
    </row>
    <row r="88" spans="5:16">
      <c r="E88" s="1216"/>
      <c r="F88" s="1022" t="s">
        <v>1473</v>
      </c>
      <c r="G88" s="446" t="s">
        <v>1299</v>
      </c>
      <c r="H88" s="450">
        <v>11.5</v>
      </c>
      <c r="I88" s="432">
        <v>24</v>
      </c>
      <c r="J88" s="455">
        <v>4.7</v>
      </c>
      <c r="K88" s="446">
        <v>600</v>
      </c>
      <c r="L88" s="907">
        <f t="shared" si="1"/>
        <v>129.72000000000003</v>
      </c>
    </row>
    <row r="89" spans="5:16">
      <c r="E89" s="1216"/>
      <c r="F89" s="1027" t="s">
        <v>1462</v>
      </c>
      <c r="G89" s="916" t="s">
        <v>1303</v>
      </c>
      <c r="H89" s="916">
        <v>7.5</v>
      </c>
      <c r="I89" s="1058">
        <v>56</v>
      </c>
      <c r="J89" s="1052">
        <v>10.7</v>
      </c>
      <c r="K89" s="917">
        <v>2000</v>
      </c>
      <c r="L89" s="918">
        <f t="shared" si="1"/>
        <v>134.81999999999996</v>
      </c>
    </row>
    <row r="90" spans="5:16">
      <c r="E90" s="1216"/>
      <c r="F90" s="1027" t="s">
        <v>1462</v>
      </c>
      <c r="G90" s="916" t="s">
        <v>1301</v>
      </c>
      <c r="H90" s="916">
        <v>11</v>
      </c>
      <c r="I90" s="1058">
        <v>56</v>
      </c>
      <c r="J90" s="1052">
        <v>10.7</v>
      </c>
      <c r="K90" s="917">
        <v>2000</v>
      </c>
      <c r="L90" s="918">
        <f t="shared" si="1"/>
        <v>197.73599999999996</v>
      </c>
    </row>
    <row r="91" spans="5:16">
      <c r="E91" s="1216"/>
      <c r="F91" s="1027" t="s">
        <v>1462</v>
      </c>
      <c r="G91" s="917" t="s">
        <v>1299</v>
      </c>
      <c r="H91" s="917">
        <v>11.5</v>
      </c>
      <c r="I91" s="1058">
        <v>56</v>
      </c>
      <c r="J91" s="1052">
        <v>10.7</v>
      </c>
      <c r="K91" s="917">
        <v>2000</v>
      </c>
      <c r="L91" s="918">
        <f t="shared" si="1"/>
        <v>206.72399999999996</v>
      </c>
    </row>
    <row r="92" spans="5:16">
      <c r="E92" s="1216"/>
      <c r="F92" s="1022" t="s">
        <v>1474</v>
      </c>
      <c r="G92" s="450" t="s">
        <v>1303</v>
      </c>
      <c r="H92" s="450">
        <v>7.5</v>
      </c>
      <c r="I92" s="432">
        <v>48</v>
      </c>
      <c r="J92" s="455">
        <v>10.7</v>
      </c>
      <c r="K92" s="446">
        <v>1000</v>
      </c>
      <c r="L92" s="907">
        <f t="shared" si="1"/>
        <v>231.11999999999995</v>
      </c>
    </row>
    <row r="93" spans="5:16">
      <c r="E93" s="1216"/>
      <c r="F93" s="1022" t="s">
        <v>1474</v>
      </c>
      <c r="G93" s="450" t="s">
        <v>1301</v>
      </c>
      <c r="H93" s="450">
        <v>11</v>
      </c>
      <c r="I93" s="432">
        <v>48</v>
      </c>
      <c r="J93" s="455">
        <v>10.7</v>
      </c>
      <c r="K93" s="446">
        <v>1000</v>
      </c>
      <c r="L93" s="907">
        <f t="shared" si="1"/>
        <v>338.97599999999994</v>
      </c>
    </row>
    <row r="94" spans="5:16">
      <c r="E94" s="1216"/>
      <c r="F94" s="1022" t="s">
        <v>1474</v>
      </c>
      <c r="G94" s="446" t="s">
        <v>1299</v>
      </c>
      <c r="H94" s="450">
        <v>11.5</v>
      </c>
      <c r="I94" s="432">
        <v>48</v>
      </c>
      <c r="J94" s="455">
        <v>10.7</v>
      </c>
      <c r="K94" s="446">
        <v>1000</v>
      </c>
      <c r="L94" s="907">
        <f t="shared" si="1"/>
        <v>354.38399999999996</v>
      </c>
    </row>
    <row r="95" spans="5:16">
      <c r="E95" s="1216"/>
      <c r="F95" s="1027" t="s">
        <v>1464</v>
      </c>
      <c r="G95" s="916" t="s">
        <v>1303</v>
      </c>
      <c r="H95" s="916">
        <v>7.5</v>
      </c>
      <c r="I95" s="1058">
        <v>120</v>
      </c>
      <c r="J95" s="1052">
        <v>8.6999999999999993</v>
      </c>
      <c r="K95" s="917">
        <v>2500</v>
      </c>
      <c r="L95" s="918">
        <f t="shared" si="1"/>
        <v>187.92</v>
      </c>
    </row>
    <row r="96" spans="5:16">
      <c r="E96" s="1216"/>
      <c r="F96" s="1027" t="s">
        <v>1464</v>
      </c>
      <c r="G96" s="916" t="s">
        <v>1301</v>
      </c>
      <c r="H96" s="916">
        <v>11</v>
      </c>
      <c r="I96" s="1058">
        <v>120</v>
      </c>
      <c r="J96" s="1052">
        <v>8.6999999999999993</v>
      </c>
      <c r="K96" s="917">
        <v>2500</v>
      </c>
      <c r="L96" s="918">
        <f t="shared" si="1"/>
        <v>275.61599999999999</v>
      </c>
    </row>
    <row r="97" spans="5:16">
      <c r="E97" s="1165"/>
      <c r="F97" s="1028" t="s">
        <v>1464</v>
      </c>
      <c r="G97" s="921" t="s">
        <v>1299</v>
      </c>
      <c r="H97" s="921">
        <v>11.5</v>
      </c>
      <c r="I97" s="1059">
        <v>120</v>
      </c>
      <c r="J97" s="1056">
        <v>8.6999999999999993</v>
      </c>
      <c r="K97" s="921">
        <v>2500</v>
      </c>
      <c r="L97" s="922">
        <f t="shared" si="1"/>
        <v>288.14400000000001</v>
      </c>
    </row>
    <row r="98" spans="5:16">
      <c r="E98" s="1199">
        <v>207</v>
      </c>
      <c r="F98" s="1019" t="s">
        <v>453</v>
      </c>
      <c r="G98" s="904" t="s">
        <v>1303</v>
      </c>
      <c r="H98" s="904">
        <v>7.5</v>
      </c>
      <c r="I98" s="1046">
        <v>12</v>
      </c>
      <c r="J98" s="1047">
        <v>8.6999999999999993</v>
      </c>
      <c r="K98" s="866">
        <v>400</v>
      </c>
      <c r="L98" s="905">
        <f t="shared" si="1"/>
        <v>117.44999999999999</v>
      </c>
    </row>
    <row r="99" spans="5:16">
      <c r="E99" s="1216"/>
      <c r="F99" s="1022" t="s">
        <v>453</v>
      </c>
      <c r="G99" s="450" t="s">
        <v>1301</v>
      </c>
      <c r="H99" s="450">
        <v>11</v>
      </c>
      <c r="I99" s="432">
        <v>12</v>
      </c>
      <c r="J99" s="455">
        <v>8.6999999999999993</v>
      </c>
      <c r="K99" s="446">
        <v>400</v>
      </c>
      <c r="L99" s="907">
        <f t="shared" si="1"/>
        <v>172.25999999999996</v>
      </c>
      <c r="N99" s="471"/>
      <c r="O99" s="470"/>
      <c r="P99" s="439"/>
    </row>
    <row r="100" spans="5:16">
      <c r="E100" s="1216"/>
      <c r="F100" s="1022" t="s">
        <v>453</v>
      </c>
      <c r="G100" s="446" t="s">
        <v>1299</v>
      </c>
      <c r="H100" s="450">
        <v>11.5</v>
      </c>
      <c r="I100" s="432">
        <v>12</v>
      </c>
      <c r="J100" s="455">
        <v>8.6999999999999993</v>
      </c>
      <c r="K100" s="446">
        <v>400</v>
      </c>
      <c r="L100" s="907">
        <f t="shared" si="1"/>
        <v>180.08999999999997</v>
      </c>
      <c r="N100" s="471"/>
      <c r="O100" s="470"/>
      <c r="P100" s="439"/>
    </row>
    <row r="101" spans="5:16">
      <c r="E101" s="1216"/>
      <c r="F101" s="1020" t="s">
        <v>468</v>
      </c>
      <c r="G101" s="916" t="s">
        <v>1303</v>
      </c>
      <c r="H101" s="916">
        <v>7.5</v>
      </c>
      <c r="I101" s="1058">
        <v>12</v>
      </c>
      <c r="J101" s="1052">
        <v>10.3</v>
      </c>
      <c r="K101" s="917">
        <v>400</v>
      </c>
      <c r="L101" s="918">
        <f t="shared" si="1"/>
        <v>139.05000000000001</v>
      </c>
      <c r="N101" s="468"/>
      <c r="O101" s="470"/>
      <c r="P101" s="467"/>
    </row>
    <row r="102" spans="5:16">
      <c r="E102" s="1216"/>
      <c r="F102" s="1020" t="s">
        <v>468</v>
      </c>
      <c r="G102" s="916" t="s">
        <v>1301</v>
      </c>
      <c r="H102" s="916">
        <v>11</v>
      </c>
      <c r="I102" s="1058">
        <v>12</v>
      </c>
      <c r="J102" s="1052">
        <v>10.3</v>
      </c>
      <c r="K102" s="917">
        <v>400</v>
      </c>
      <c r="L102" s="918">
        <f t="shared" si="1"/>
        <v>203.94000000000003</v>
      </c>
      <c r="N102" s="471"/>
      <c r="O102" s="470"/>
      <c r="P102" s="439"/>
    </row>
    <row r="103" spans="5:16">
      <c r="E103" s="1216"/>
      <c r="F103" s="1020" t="s">
        <v>468</v>
      </c>
      <c r="G103" s="917" t="s">
        <v>1299</v>
      </c>
      <c r="H103" s="917">
        <v>11.5</v>
      </c>
      <c r="I103" s="1058">
        <v>12</v>
      </c>
      <c r="J103" s="1052">
        <v>10.3</v>
      </c>
      <c r="K103" s="917">
        <v>400</v>
      </c>
      <c r="L103" s="918">
        <f t="shared" si="1"/>
        <v>213.21000000000004</v>
      </c>
      <c r="N103" s="468"/>
      <c r="O103" s="470"/>
      <c r="P103" s="467"/>
    </row>
    <row r="104" spans="5:16">
      <c r="E104" s="1216"/>
      <c r="F104" s="1023" t="s">
        <v>1467</v>
      </c>
      <c r="G104" s="450" t="s">
        <v>1303</v>
      </c>
      <c r="H104" s="450">
        <v>7.5</v>
      </c>
      <c r="I104" s="1036">
        <v>56</v>
      </c>
      <c r="J104" s="455">
        <v>8.6</v>
      </c>
      <c r="K104" s="1037">
        <v>1000</v>
      </c>
      <c r="L104" s="907">
        <f t="shared" si="1"/>
        <v>216.71999999999997</v>
      </c>
      <c r="N104" s="471"/>
      <c r="O104" s="470"/>
      <c r="P104" s="439"/>
    </row>
    <row r="105" spans="5:16">
      <c r="E105" s="1216"/>
      <c r="F105" s="1023" t="s">
        <v>1467</v>
      </c>
      <c r="G105" s="450" t="s">
        <v>1301</v>
      </c>
      <c r="H105" s="450">
        <v>11</v>
      </c>
      <c r="I105" s="1036">
        <v>56</v>
      </c>
      <c r="J105" s="455">
        <v>8.6</v>
      </c>
      <c r="K105" s="1037">
        <v>1000</v>
      </c>
      <c r="L105" s="907">
        <f t="shared" si="1"/>
        <v>317.85599999999994</v>
      </c>
      <c r="N105" s="468"/>
      <c r="O105" s="470"/>
      <c r="P105" s="467"/>
    </row>
    <row r="106" spans="5:16">
      <c r="E106" s="1216"/>
      <c r="F106" s="1023" t="s">
        <v>1467</v>
      </c>
      <c r="G106" s="446" t="s">
        <v>1299</v>
      </c>
      <c r="H106" s="450">
        <v>11.5</v>
      </c>
      <c r="I106" s="1036">
        <v>56</v>
      </c>
      <c r="J106" s="455">
        <v>8.6</v>
      </c>
      <c r="K106" s="1037">
        <v>1000</v>
      </c>
      <c r="L106" s="907">
        <f t="shared" si="1"/>
        <v>332.30399999999992</v>
      </c>
    </row>
    <row r="107" spans="5:16">
      <c r="E107" s="1216"/>
      <c r="F107" s="1025" t="s">
        <v>1468</v>
      </c>
      <c r="G107" s="916" t="s">
        <v>1303</v>
      </c>
      <c r="H107" s="916">
        <v>7.5</v>
      </c>
      <c r="I107" s="1058">
        <v>36</v>
      </c>
      <c r="J107" s="1052">
        <v>9</v>
      </c>
      <c r="K107" s="917">
        <v>500</v>
      </c>
      <c r="L107" s="918">
        <f t="shared" si="1"/>
        <v>291.60000000000002</v>
      </c>
    </row>
    <row r="108" spans="5:16">
      <c r="E108" s="1216"/>
      <c r="F108" s="1025" t="s">
        <v>1468</v>
      </c>
      <c r="G108" s="916" t="s">
        <v>1301</v>
      </c>
      <c r="H108" s="916">
        <v>11</v>
      </c>
      <c r="I108" s="1058">
        <v>36</v>
      </c>
      <c r="J108" s="1052">
        <v>9</v>
      </c>
      <c r="K108" s="917">
        <v>500</v>
      </c>
      <c r="L108" s="918">
        <f t="shared" si="1"/>
        <v>427.68</v>
      </c>
    </row>
    <row r="109" spans="5:16">
      <c r="E109" s="1216"/>
      <c r="F109" s="1025" t="s">
        <v>1468</v>
      </c>
      <c r="G109" s="917" t="s">
        <v>1299</v>
      </c>
      <c r="H109" s="917">
        <v>11.5</v>
      </c>
      <c r="I109" s="1058">
        <v>36</v>
      </c>
      <c r="J109" s="1052">
        <v>9</v>
      </c>
      <c r="K109" s="917">
        <v>500</v>
      </c>
      <c r="L109" s="918">
        <f t="shared" si="1"/>
        <v>447.12</v>
      </c>
    </row>
    <row r="110" spans="5:16">
      <c r="E110" s="1216"/>
      <c r="F110" s="1022" t="s">
        <v>1376</v>
      </c>
      <c r="G110" s="450" t="s">
        <v>1303</v>
      </c>
      <c r="H110" s="450">
        <v>7.5</v>
      </c>
      <c r="I110" s="1036">
        <v>56</v>
      </c>
      <c r="J110" s="455">
        <v>10.7</v>
      </c>
      <c r="K110" s="1037">
        <v>1000</v>
      </c>
      <c r="L110" s="907">
        <f t="shared" si="1"/>
        <v>269.63999999999993</v>
      </c>
    </row>
    <row r="111" spans="5:16">
      <c r="E111" s="1216"/>
      <c r="F111" s="1022" t="s">
        <v>1376</v>
      </c>
      <c r="G111" s="450" t="s">
        <v>1301</v>
      </c>
      <c r="H111" s="450">
        <v>11</v>
      </c>
      <c r="I111" s="1036">
        <v>56</v>
      </c>
      <c r="J111" s="455">
        <v>10.7</v>
      </c>
      <c r="K111" s="1037">
        <v>1000</v>
      </c>
      <c r="L111" s="907">
        <f t="shared" si="1"/>
        <v>395.47199999999992</v>
      </c>
    </row>
    <row r="112" spans="5:16">
      <c r="E112" s="1216"/>
      <c r="F112" s="1022" t="s">
        <v>1376</v>
      </c>
      <c r="G112" s="446" t="s">
        <v>1299</v>
      </c>
      <c r="H112" s="450">
        <v>11.5</v>
      </c>
      <c r="I112" s="1036">
        <v>56</v>
      </c>
      <c r="J112" s="455">
        <v>10.7</v>
      </c>
      <c r="K112" s="1037">
        <v>1000</v>
      </c>
      <c r="L112" s="907">
        <f t="shared" si="1"/>
        <v>413.44799999999992</v>
      </c>
    </row>
    <row r="113" spans="5:16">
      <c r="E113" s="1216"/>
      <c r="F113" s="1020" t="s">
        <v>1469</v>
      </c>
      <c r="G113" s="916" t="s">
        <v>1303</v>
      </c>
      <c r="H113" s="916">
        <v>7.5</v>
      </c>
      <c r="I113" s="1058">
        <v>56</v>
      </c>
      <c r="J113" s="1052">
        <v>10.7</v>
      </c>
      <c r="K113" s="917">
        <v>1000</v>
      </c>
      <c r="L113" s="918">
        <f t="shared" si="1"/>
        <v>269.63999999999993</v>
      </c>
    </row>
    <row r="114" spans="5:16">
      <c r="E114" s="1216"/>
      <c r="F114" s="1020" t="s">
        <v>1469</v>
      </c>
      <c r="G114" s="916" t="s">
        <v>1301</v>
      </c>
      <c r="H114" s="916">
        <v>11</v>
      </c>
      <c r="I114" s="1058">
        <v>56</v>
      </c>
      <c r="J114" s="1052">
        <v>10.7</v>
      </c>
      <c r="K114" s="917">
        <v>1000</v>
      </c>
      <c r="L114" s="918">
        <f t="shared" si="1"/>
        <v>395.47199999999992</v>
      </c>
    </row>
    <row r="115" spans="5:16">
      <c r="E115" s="1216"/>
      <c r="F115" s="1020" t="s">
        <v>1469</v>
      </c>
      <c r="G115" s="917" t="s">
        <v>1299</v>
      </c>
      <c r="H115" s="917">
        <v>11.5</v>
      </c>
      <c r="I115" s="1058">
        <v>56</v>
      </c>
      <c r="J115" s="1052">
        <v>10.7</v>
      </c>
      <c r="K115" s="917">
        <v>1000</v>
      </c>
      <c r="L115" s="918">
        <f t="shared" si="1"/>
        <v>413.44799999999992</v>
      </c>
    </row>
    <row r="116" spans="5:16">
      <c r="E116" s="1216"/>
      <c r="F116" s="1022" t="s">
        <v>1461</v>
      </c>
      <c r="G116" s="450" t="s">
        <v>1303</v>
      </c>
      <c r="H116" s="450">
        <v>7.5</v>
      </c>
      <c r="I116" s="1036">
        <v>56</v>
      </c>
      <c r="J116" s="455">
        <v>8.6</v>
      </c>
      <c r="K116" s="1037">
        <v>1000</v>
      </c>
      <c r="L116" s="907">
        <f t="shared" si="1"/>
        <v>216.71999999999997</v>
      </c>
    </row>
    <row r="117" spans="5:16">
      <c r="E117" s="1216"/>
      <c r="F117" s="1022" t="s">
        <v>1461</v>
      </c>
      <c r="G117" s="450" t="s">
        <v>1301</v>
      </c>
      <c r="H117" s="450">
        <v>11</v>
      </c>
      <c r="I117" s="1036">
        <v>56</v>
      </c>
      <c r="J117" s="455">
        <v>8.6</v>
      </c>
      <c r="K117" s="1037">
        <v>1000</v>
      </c>
      <c r="L117" s="907">
        <f t="shared" si="1"/>
        <v>317.85599999999994</v>
      </c>
    </row>
    <row r="118" spans="5:16">
      <c r="E118" s="1165"/>
      <c r="F118" s="1021" t="s">
        <v>1461</v>
      </c>
      <c r="G118" s="909" t="s">
        <v>1299</v>
      </c>
      <c r="H118" s="943">
        <v>11.5</v>
      </c>
      <c r="I118" s="1039">
        <v>56</v>
      </c>
      <c r="J118" s="1040">
        <v>8.6</v>
      </c>
      <c r="K118" s="1041">
        <v>1000</v>
      </c>
      <c r="L118" s="910">
        <f t="shared" si="1"/>
        <v>332.30399999999992</v>
      </c>
    </row>
    <row r="119" spans="5:16">
      <c r="E119" s="1199">
        <v>208</v>
      </c>
      <c r="F119" s="1019" t="s">
        <v>1465</v>
      </c>
      <c r="G119" s="904" t="s">
        <v>1303</v>
      </c>
      <c r="H119" s="904">
        <v>7.5</v>
      </c>
      <c r="I119" s="1042">
        <v>56</v>
      </c>
      <c r="J119" s="1047">
        <v>8.3000000000000007</v>
      </c>
      <c r="K119" s="866">
        <v>1000</v>
      </c>
      <c r="L119" s="905">
        <f t="shared" si="1"/>
        <v>209.16000000000003</v>
      </c>
    </row>
    <row r="120" spans="5:16">
      <c r="E120" s="1216"/>
      <c r="F120" s="1022" t="s">
        <v>1465</v>
      </c>
      <c r="G120" s="450" t="s">
        <v>1301</v>
      </c>
      <c r="H120" s="450">
        <v>11</v>
      </c>
      <c r="I120" s="1036">
        <v>56</v>
      </c>
      <c r="J120" s="455">
        <v>8.3000000000000007</v>
      </c>
      <c r="K120" s="446">
        <v>1000</v>
      </c>
      <c r="L120" s="907">
        <f t="shared" si="1"/>
        <v>306.76800000000009</v>
      </c>
      <c r="N120" s="468"/>
      <c r="O120" s="470"/>
      <c r="P120" s="439"/>
    </row>
    <row r="121" spans="5:16">
      <c r="E121" s="1216"/>
      <c r="F121" s="1022" t="s">
        <v>1465</v>
      </c>
      <c r="G121" s="446" t="s">
        <v>1299</v>
      </c>
      <c r="H121" s="446">
        <v>11.5</v>
      </c>
      <c r="I121" s="1036">
        <v>56</v>
      </c>
      <c r="J121" s="455">
        <v>8.3000000000000007</v>
      </c>
      <c r="K121" s="446">
        <v>1000</v>
      </c>
      <c r="L121" s="907">
        <f t="shared" si="1"/>
        <v>320.71200000000005</v>
      </c>
      <c r="N121" s="468"/>
      <c r="O121" s="470"/>
      <c r="P121" s="467"/>
    </row>
    <row r="122" spans="5:16">
      <c r="E122" s="1216"/>
      <c r="F122" s="1020" t="s">
        <v>1466</v>
      </c>
      <c r="G122" s="916" t="s">
        <v>1303</v>
      </c>
      <c r="H122" s="916">
        <v>7.5</v>
      </c>
      <c r="I122" s="1051">
        <v>56</v>
      </c>
      <c r="J122" s="1052">
        <v>8.6</v>
      </c>
      <c r="K122" s="1053">
        <v>1000</v>
      </c>
      <c r="L122" s="918">
        <f t="shared" si="1"/>
        <v>216.71999999999997</v>
      </c>
      <c r="N122" s="468"/>
      <c r="O122" s="470"/>
      <c r="P122" s="439"/>
    </row>
    <row r="123" spans="5:16">
      <c r="E123" s="1216"/>
      <c r="F123" s="1020" t="s">
        <v>1466</v>
      </c>
      <c r="G123" s="916" t="s">
        <v>1301</v>
      </c>
      <c r="H123" s="916">
        <v>11</v>
      </c>
      <c r="I123" s="1051">
        <v>56</v>
      </c>
      <c r="J123" s="1052">
        <v>8.6</v>
      </c>
      <c r="K123" s="1053">
        <v>1000</v>
      </c>
      <c r="L123" s="918">
        <f t="shared" si="1"/>
        <v>317.85599999999994</v>
      </c>
      <c r="N123" s="468"/>
      <c r="O123" s="470"/>
      <c r="P123" s="467"/>
    </row>
    <row r="124" spans="5:16">
      <c r="E124" s="1216"/>
      <c r="F124" s="1020" t="s">
        <v>1466</v>
      </c>
      <c r="G124" s="917" t="s">
        <v>1299</v>
      </c>
      <c r="H124" s="916">
        <v>11.5</v>
      </c>
      <c r="I124" s="1051">
        <v>56</v>
      </c>
      <c r="J124" s="1052">
        <v>8.6</v>
      </c>
      <c r="K124" s="1053">
        <v>1000</v>
      </c>
      <c r="L124" s="918">
        <f t="shared" si="1"/>
        <v>332.30399999999992</v>
      </c>
      <c r="N124" s="471"/>
      <c r="O124" s="470"/>
      <c r="P124" s="439"/>
    </row>
    <row r="125" spans="5:16">
      <c r="E125" s="1216"/>
      <c r="F125" s="1022" t="s">
        <v>1465</v>
      </c>
      <c r="G125" s="450" t="s">
        <v>1303</v>
      </c>
      <c r="H125" s="450">
        <v>7.5</v>
      </c>
      <c r="I125" s="1036">
        <v>56</v>
      </c>
      <c r="J125" s="455">
        <v>8.3000000000000007</v>
      </c>
      <c r="K125" s="446">
        <v>1000</v>
      </c>
      <c r="L125" s="907">
        <f t="shared" si="1"/>
        <v>209.16000000000003</v>
      </c>
      <c r="N125" s="471"/>
      <c r="O125" s="470"/>
      <c r="P125" s="439"/>
    </row>
    <row r="126" spans="5:16">
      <c r="E126" s="1216"/>
      <c r="F126" s="1022" t="s">
        <v>1465</v>
      </c>
      <c r="G126" s="450" t="s">
        <v>1301</v>
      </c>
      <c r="H126" s="450">
        <v>11</v>
      </c>
      <c r="I126" s="1036">
        <v>56</v>
      </c>
      <c r="J126" s="455">
        <v>8.3000000000000007</v>
      </c>
      <c r="K126" s="446">
        <v>1000</v>
      </c>
      <c r="L126" s="907">
        <f t="shared" si="1"/>
        <v>306.76800000000009</v>
      </c>
      <c r="N126" s="471"/>
      <c r="O126" s="470"/>
      <c r="P126" s="439"/>
    </row>
    <row r="127" spans="5:16">
      <c r="E127" s="1216"/>
      <c r="F127" s="1022" t="s">
        <v>1465</v>
      </c>
      <c r="G127" s="446" t="s">
        <v>1299</v>
      </c>
      <c r="H127" s="450">
        <v>11.5</v>
      </c>
      <c r="I127" s="1036">
        <v>56</v>
      </c>
      <c r="J127" s="455">
        <v>8.3000000000000007</v>
      </c>
      <c r="K127" s="446">
        <v>1000</v>
      </c>
      <c r="L127" s="907">
        <f t="shared" si="1"/>
        <v>320.71200000000005</v>
      </c>
    </row>
    <row r="128" spans="5:16">
      <c r="E128" s="1216"/>
      <c r="F128" s="1020" t="s">
        <v>1466</v>
      </c>
      <c r="G128" s="916" t="s">
        <v>1303</v>
      </c>
      <c r="H128" s="916">
        <v>7.5</v>
      </c>
      <c r="I128" s="1051">
        <v>56</v>
      </c>
      <c r="J128" s="1052">
        <v>8.6</v>
      </c>
      <c r="K128" s="1053">
        <v>1000</v>
      </c>
      <c r="L128" s="918">
        <f t="shared" si="1"/>
        <v>216.71999999999997</v>
      </c>
    </row>
    <row r="129" spans="5:18">
      <c r="E129" s="1216"/>
      <c r="F129" s="1020" t="s">
        <v>1466</v>
      </c>
      <c r="G129" s="916" t="s">
        <v>1301</v>
      </c>
      <c r="H129" s="916">
        <v>11</v>
      </c>
      <c r="I129" s="1051">
        <v>56</v>
      </c>
      <c r="J129" s="1052">
        <v>8.6</v>
      </c>
      <c r="K129" s="1053">
        <v>1000</v>
      </c>
      <c r="L129" s="918">
        <f t="shared" si="1"/>
        <v>317.85599999999994</v>
      </c>
    </row>
    <row r="130" spans="5:18">
      <c r="E130" s="1216"/>
      <c r="F130" s="1020" t="s">
        <v>1466</v>
      </c>
      <c r="G130" s="917" t="s">
        <v>1299</v>
      </c>
      <c r="H130" s="917">
        <v>11.5</v>
      </c>
      <c r="I130" s="1051">
        <v>56</v>
      </c>
      <c r="J130" s="1052">
        <v>8.6</v>
      </c>
      <c r="K130" s="1053">
        <v>1000</v>
      </c>
      <c r="L130" s="918">
        <f t="shared" si="1"/>
        <v>332.30399999999992</v>
      </c>
    </row>
    <row r="131" spans="5:18">
      <c r="E131" s="1216"/>
      <c r="F131" s="1022" t="s">
        <v>1460</v>
      </c>
      <c r="G131" s="450" t="s">
        <v>1303</v>
      </c>
      <c r="H131" s="450">
        <v>7.5</v>
      </c>
      <c r="I131" s="432">
        <v>140</v>
      </c>
      <c r="J131" s="455">
        <v>8.6</v>
      </c>
      <c r="K131" s="446">
        <v>2400</v>
      </c>
      <c r="L131" s="907">
        <f t="shared" ref="L131:L194" si="2">I131*J131*60*H131/K131</f>
        <v>225.75</v>
      </c>
    </row>
    <row r="132" spans="5:18">
      <c r="E132" s="1216"/>
      <c r="F132" s="1022" t="s">
        <v>1460</v>
      </c>
      <c r="G132" s="450" t="s">
        <v>1301</v>
      </c>
      <c r="H132" s="450">
        <v>11</v>
      </c>
      <c r="I132" s="432">
        <v>140</v>
      </c>
      <c r="J132" s="455">
        <v>8.6</v>
      </c>
      <c r="K132" s="446">
        <v>2400</v>
      </c>
      <c r="L132" s="907">
        <f t="shared" si="2"/>
        <v>331.1</v>
      </c>
    </row>
    <row r="133" spans="5:18">
      <c r="E133" s="1216"/>
      <c r="F133" s="1022" t="s">
        <v>1460</v>
      </c>
      <c r="G133" s="446" t="s">
        <v>1299</v>
      </c>
      <c r="H133" s="450">
        <v>11.5</v>
      </c>
      <c r="I133" s="432">
        <v>140</v>
      </c>
      <c r="J133" s="455">
        <v>8.6</v>
      </c>
      <c r="K133" s="446">
        <v>2400</v>
      </c>
      <c r="L133" s="907">
        <f t="shared" si="2"/>
        <v>346.15</v>
      </c>
    </row>
    <row r="134" spans="5:18">
      <c r="E134" s="1216"/>
      <c r="F134" s="1020" t="s">
        <v>1374</v>
      </c>
      <c r="G134" s="916" t="s">
        <v>1303</v>
      </c>
      <c r="H134" s="916">
        <v>7.5</v>
      </c>
      <c r="I134" s="1058">
        <v>12</v>
      </c>
      <c r="J134" s="1052">
        <v>9.1999999999999993</v>
      </c>
      <c r="K134" s="917">
        <v>1000</v>
      </c>
      <c r="L134" s="918">
        <f t="shared" si="2"/>
        <v>49.679999999999993</v>
      </c>
    </row>
    <row r="135" spans="5:18">
      <c r="E135" s="1216"/>
      <c r="F135" s="1020" t="s">
        <v>1374</v>
      </c>
      <c r="G135" s="916" t="s">
        <v>1301</v>
      </c>
      <c r="H135" s="916">
        <v>11</v>
      </c>
      <c r="I135" s="1058">
        <v>12</v>
      </c>
      <c r="J135" s="1052">
        <v>9.1999999999999993</v>
      </c>
      <c r="K135" s="917">
        <v>1000</v>
      </c>
      <c r="L135" s="918">
        <f t="shared" si="2"/>
        <v>72.86399999999999</v>
      </c>
    </row>
    <row r="136" spans="5:18">
      <c r="E136" s="1216"/>
      <c r="F136" s="1020" t="s">
        <v>1374</v>
      </c>
      <c r="G136" s="917" t="s">
        <v>1299</v>
      </c>
      <c r="H136" s="917">
        <v>11.5</v>
      </c>
      <c r="I136" s="1058">
        <v>12</v>
      </c>
      <c r="J136" s="1052">
        <v>9.1999999999999993</v>
      </c>
      <c r="K136" s="917">
        <v>1000</v>
      </c>
      <c r="L136" s="918">
        <f t="shared" si="2"/>
        <v>76.175999999999988</v>
      </c>
    </row>
    <row r="137" spans="5:18">
      <c r="E137" s="1216"/>
      <c r="F137" s="1022" t="s">
        <v>1374</v>
      </c>
      <c r="G137" s="450" t="s">
        <v>1303</v>
      </c>
      <c r="H137" s="450">
        <v>7.5</v>
      </c>
      <c r="I137" s="432">
        <v>12</v>
      </c>
      <c r="J137" s="455">
        <v>9.1999999999999993</v>
      </c>
      <c r="K137" s="446">
        <v>1000</v>
      </c>
      <c r="L137" s="907">
        <f t="shared" si="2"/>
        <v>49.679999999999993</v>
      </c>
    </row>
    <row r="138" spans="5:18">
      <c r="E138" s="1216"/>
      <c r="F138" s="1022" t="s">
        <v>1374</v>
      </c>
      <c r="G138" s="450" t="s">
        <v>1301</v>
      </c>
      <c r="H138" s="450">
        <v>11</v>
      </c>
      <c r="I138" s="432">
        <v>12</v>
      </c>
      <c r="J138" s="455">
        <v>9.1999999999999993</v>
      </c>
      <c r="K138" s="446">
        <v>1000</v>
      </c>
      <c r="L138" s="907">
        <f t="shared" si="2"/>
        <v>72.86399999999999</v>
      </c>
    </row>
    <row r="139" spans="5:18">
      <c r="E139" s="1165"/>
      <c r="F139" s="1021" t="s">
        <v>1374</v>
      </c>
      <c r="G139" s="909" t="s">
        <v>1299</v>
      </c>
      <c r="H139" s="943">
        <v>11.5</v>
      </c>
      <c r="I139" s="1045">
        <v>12</v>
      </c>
      <c r="J139" s="1040">
        <v>9.1999999999999993</v>
      </c>
      <c r="K139" s="909">
        <v>1000</v>
      </c>
      <c r="L139" s="910">
        <f t="shared" si="2"/>
        <v>76.175999999999988</v>
      </c>
      <c r="P139" s="471"/>
      <c r="Q139" s="470"/>
      <c r="R139" s="439"/>
    </row>
    <row r="140" spans="5:18">
      <c r="E140" s="1199">
        <v>209</v>
      </c>
      <c r="F140" s="1026" t="s">
        <v>1376</v>
      </c>
      <c r="G140" s="904" t="s">
        <v>1303</v>
      </c>
      <c r="H140" s="904">
        <v>7.5</v>
      </c>
      <c r="I140" s="1046">
        <v>56</v>
      </c>
      <c r="J140" s="1047">
        <v>8.6</v>
      </c>
      <c r="K140" s="866">
        <v>1000</v>
      </c>
      <c r="L140" s="905">
        <f t="shared" si="2"/>
        <v>216.71999999999997</v>
      </c>
      <c r="P140" s="468"/>
      <c r="Q140" s="470"/>
      <c r="R140" s="467"/>
    </row>
    <row r="141" spans="5:18">
      <c r="E141" s="1216"/>
      <c r="F141" s="1023" t="s">
        <v>1376</v>
      </c>
      <c r="G141" s="450" t="s">
        <v>1301</v>
      </c>
      <c r="H141" s="450">
        <v>11</v>
      </c>
      <c r="I141" s="432">
        <v>56</v>
      </c>
      <c r="J141" s="455">
        <v>8.6</v>
      </c>
      <c r="K141" s="446">
        <v>1000</v>
      </c>
      <c r="L141" s="907">
        <f t="shared" si="2"/>
        <v>317.85599999999994</v>
      </c>
    </row>
    <row r="142" spans="5:18">
      <c r="E142" s="1216"/>
      <c r="F142" s="1023" t="s">
        <v>1376</v>
      </c>
      <c r="G142" s="446" t="s">
        <v>1299</v>
      </c>
      <c r="H142" s="446">
        <v>11.5</v>
      </c>
      <c r="I142" s="432">
        <v>56</v>
      </c>
      <c r="J142" s="455">
        <v>8.6</v>
      </c>
      <c r="K142" s="446">
        <v>1000</v>
      </c>
      <c r="L142" s="907">
        <f t="shared" si="2"/>
        <v>332.30399999999992</v>
      </c>
    </row>
    <row r="143" spans="5:18">
      <c r="E143" s="1216"/>
      <c r="F143" s="1020" t="s">
        <v>1464</v>
      </c>
      <c r="G143" s="916" t="s">
        <v>1303</v>
      </c>
      <c r="H143" s="916">
        <v>7.5</v>
      </c>
      <c r="I143" s="1051">
        <v>120</v>
      </c>
      <c r="J143" s="1052">
        <v>8.6999999999999993</v>
      </c>
      <c r="K143" s="1053">
        <v>2500</v>
      </c>
      <c r="L143" s="918">
        <f t="shared" si="2"/>
        <v>187.92</v>
      </c>
    </row>
    <row r="144" spans="5:18">
      <c r="E144" s="1216"/>
      <c r="F144" s="1020" t="s">
        <v>1464</v>
      </c>
      <c r="G144" s="916" t="s">
        <v>1301</v>
      </c>
      <c r="H144" s="916">
        <v>11</v>
      </c>
      <c r="I144" s="1051">
        <v>120</v>
      </c>
      <c r="J144" s="1052">
        <v>8.6999999999999993</v>
      </c>
      <c r="K144" s="1053">
        <v>2500</v>
      </c>
      <c r="L144" s="918">
        <f t="shared" si="2"/>
        <v>275.61599999999999</v>
      </c>
    </row>
    <row r="145" spans="5:16">
      <c r="E145" s="1165"/>
      <c r="F145" s="1024" t="s">
        <v>1464</v>
      </c>
      <c r="G145" s="921" t="s">
        <v>1299</v>
      </c>
      <c r="H145" s="920">
        <v>11.5</v>
      </c>
      <c r="I145" s="1055">
        <v>120</v>
      </c>
      <c r="J145" s="1056">
        <v>8.6999999999999993</v>
      </c>
      <c r="K145" s="1057">
        <v>2500</v>
      </c>
      <c r="L145" s="922">
        <f t="shared" si="2"/>
        <v>288.14400000000001</v>
      </c>
    </row>
    <row r="146" spans="5:16">
      <c r="E146" s="1199">
        <v>210</v>
      </c>
      <c r="F146" s="1019" t="s">
        <v>1490</v>
      </c>
      <c r="G146" s="904" t="s">
        <v>1303</v>
      </c>
      <c r="H146" s="904">
        <v>7.5</v>
      </c>
      <c r="I146" s="1046">
        <v>12</v>
      </c>
      <c r="J146" s="1047">
        <v>9.1999999999999993</v>
      </c>
      <c r="K146" s="866">
        <v>1000</v>
      </c>
      <c r="L146" s="905">
        <f t="shared" si="2"/>
        <v>49.679999999999993</v>
      </c>
      <c r="N146" s="471"/>
      <c r="O146" s="470"/>
      <c r="P146" s="439"/>
    </row>
    <row r="147" spans="5:16">
      <c r="E147" s="1216"/>
      <c r="F147" s="1022" t="s">
        <v>1490</v>
      </c>
      <c r="G147" s="450" t="s">
        <v>1301</v>
      </c>
      <c r="H147" s="450">
        <v>11</v>
      </c>
      <c r="I147" s="432">
        <v>12</v>
      </c>
      <c r="J147" s="455">
        <v>9.1999999999999993</v>
      </c>
      <c r="K147" s="446">
        <v>1000</v>
      </c>
      <c r="L147" s="907">
        <f t="shared" si="2"/>
        <v>72.86399999999999</v>
      </c>
      <c r="N147" s="471"/>
      <c r="O147" s="470"/>
      <c r="P147" s="439"/>
    </row>
    <row r="148" spans="5:16">
      <c r="E148" s="1216"/>
      <c r="F148" s="1022" t="s">
        <v>1490</v>
      </c>
      <c r="G148" s="446" t="s">
        <v>1299</v>
      </c>
      <c r="H148" s="446">
        <v>11.5</v>
      </c>
      <c r="I148" s="432">
        <v>12</v>
      </c>
      <c r="J148" s="455">
        <v>9.1999999999999993</v>
      </c>
      <c r="K148" s="446">
        <v>1000</v>
      </c>
      <c r="L148" s="907">
        <f t="shared" si="2"/>
        <v>76.175999999999988</v>
      </c>
      <c r="N148" s="471"/>
      <c r="O148" s="470"/>
      <c r="P148" s="439"/>
    </row>
    <row r="149" spans="5:16">
      <c r="E149" s="1216"/>
      <c r="F149" s="1020" t="s">
        <v>1492</v>
      </c>
      <c r="G149" s="916" t="s">
        <v>1303</v>
      </c>
      <c r="H149" s="916">
        <v>7.5</v>
      </c>
      <c r="I149" s="1058">
        <v>30</v>
      </c>
      <c r="J149" s="1052">
        <v>13.3</v>
      </c>
      <c r="K149" s="917">
        <v>1000</v>
      </c>
      <c r="L149" s="918">
        <f t="shared" si="2"/>
        <v>179.55</v>
      </c>
      <c r="N149" s="471"/>
      <c r="O149" s="470"/>
      <c r="P149" s="439"/>
    </row>
    <row r="150" spans="5:16">
      <c r="E150" s="1216"/>
      <c r="F150" s="1020" t="s">
        <v>1492</v>
      </c>
      <c r="G150" s="916" t="s">
        <v>1301</v>
      </c>
      <c r="H150" s="916">
        <v>11</v>
      </c>
      <c r="I150" s="1058">
        <v>30</v>
      </c>
      <c r="J150" s="1052">
        <v>13.3</v>
      </c>
      <c r="K150" s="917">
        <v>1000</v>
      </c>
      <c r="L150" s="918">
        <f t="shared" si="2"/>
        <v>263.33999999999997</v>
      </c>
      <c r="N150" s="471"/>
      <c r="O150" s="470"/>
      <c r="P150" s="439"/>
    </row>
    <row r="151" spans="5:16">
      <c r="E151" s="1216"/>
      <c r="F151" s="1020" t="s">
        <v>1492</v>
      </c>
      <c r="G151" s="917" t="s">
        <v>1299</v>
      </c>
      <c r="H151" s="916">
        <v>11.5</v>
      </c>
      <c r="I151" s="1058">
        <v>30</v>
      </c>
      <c r="J151" s="1052">
        <v>13.3</v>
      </c>
      <c r="K151" s="917">
        <v>1000</v>
      </c>
      <c r="L151" s="918">
        <f t="shared" si="2"/>
        <v>275.31</v>
      </c>
      <c r="N151" s="468"/>
      <c r="O151" s="470"/>
      <c r="P151" s="467"/>
    </row>
    <row r="152" spans="5:16">
      <c r="E152" s="1216"/>
      <c r="F152" s="1022" t="s">
        <v>1470</v>
      </c>
      <c r="G152" s="450" t="s">
        <v>1303</v>
      </c>
      <c r="H152" s="450">
        <v>7.5</v>
      </c>
      <c r="I152" s="432">
        <v>30</v>
      </c>
      <c r="J152" s="455">
        <v>13.3</v>
      </c>
      <c r="K152" s="446">
        <v>600</v>
      </c>
      <c r="L152" s="907">
        <f t="shared" si="2"/>
        <v>299.25</v>
      </c>
    </row>
    <row r="153" spans="5:16">
      <c r="E153" s="1216"/>
      <c r="F153" s="1022" t="s">
        <v>1470</v>
      </c>
      <c r="G153" s="450" t="s">
        <v>1301</v>
      </c>
      <c r="H153" s="450">
        <v>11</v>
      </c>
      <c r="I153" s="432">
        <v>30</v>
      </c>
      <c r="J153" s="455">
        <v>13.3</v>
      </c>
      <c r="K153" s="446">
        <v>600</v>
      </c>
      <c r="L153" s="907">
        <f t="shared" si="2"/>
        <v>438.9</v>
      </c>
    </row>
    <row r="154" spans="5:16">
      <c r="E154" s="1216"/>
      <c r="F154" s="1022" t="s">
        <v>1470</v>
      </c>
      <c r="G154" s="446" t="s">
        <v>1299</v>
      </c>
      <c r="H154" s="446">
        <v>11.5</v>
      </c>
      <c r="I154" s="432">
        <v>30</v>
      </c>
      <c r="J154" s="455">
        <v>13.3</v>
      </c>
      <c r="K154" s="446">
        <v>600</v>
      </c>
      <c r="L154" s="907">
        <f t="shared" si="2"/>
        <v>458.85</v>
      </c>
    </row>
    <row r="155" spans="5:16">
      <c r="E155" s="1216"/>
      <c r="F155" s="1025" t="s">
        <v>1475</v>
      </c>
      <c r="G155" s="916" t="s">
        <v>1303</v>
      </c>
      <c r="H155" s="916">
        <v>7.5</v>
      </c>
      <c r="I155" s="1058">
        <v>24</v>
      </c>
      <c r="J155" s="1052">
        <v>8.8000000000000007</v>
      </c>
      <c r="K155" s="917">
        <v>600</v>
      </c>
      <c r="L155" s="918">
        <f t="shared" si="2"/>
        <v>158.40000000000003</v>
      </c>
    </row>
    <row r="156" spans="5:16">
      <c r="E156" s="1216"/>
      <c r="F156" s="1025" t="s">
        <v>1475</v>
      </c>
      <c r="G156" s="916" t="s">
        <v>1301</v>
      </c>
      <c r="H156" s="916">
        <v>11</v>
      </c>
      <c r="I156" s="1058">
        <v>24</v>
      </c>
      <c r="J156" s="1052">
        <v>8.8000000000000007</v>
      </c>
      <c r="K156" s="917">
        <v>600</v>
      </c>
      <c r="L156" s="918">
        <f t="shared" si="2"/>
        <v>232.32000000000005</v>
      </c>
    </row>
    <row r="157" spans="5:16">
      <c r="E157" s="1216"/>
      <c r="F157" s="1025" t="s">
        <v>1475</v>
      </c>
      <c r="G157" s="917" t="s">
        <v>1299</v>
      </c>
      <c r="H157" s="917">
        <v>11.5</v>
      </c>
      <c r="I157" s="1058">
        <v>24</v>
      </c>
      <c r="J157" s="1052">
        <v>8.8000000000000007</v>
      </c>
      <c r="K157" s="917">
        <v>600</v>
      </c>
      <c r="L157" s="918">
        <f t="shared" si="2"/>
        <v>242.88000000000005</v>
      </c>
    </row>
    <row r="158" spans="5:16">
      <c r="E158" s="1216"/>
      <c r="F158" s="1023" t="s">
        <v>1496</v>
      </c>
      <c r="G158" s="450" t="s">
        <v>1303</v>
      </c>
      <c r="H158" s="450">
        <v>7.5</v>
      </c>
      <c r="I158" s="432">
        <v>24</v>
      </c>
      <c r="J158" s="455">
        <v>8.8000000000000007</v>
      </c>
      <c r="K158" s="446">
        <v>600</v>
      </c>
      <c r="L158" s="907">
        <f t="shared" si="2"/>
        <v>158.40000000000003</v>
      </c>
    </row>
    <row r="159" spans="5:16">
      <c r="E159" s="1216"/>
      <c r="F159" s="1023" t="s">
        <v>1496</v>
      </c>
      <c r="G159" s="450" t="s">
        <v>1301</v>
      </c>
      <c r="H159" s="450">
        <v>11</v>
      </c>
      <c r="I159" s="432">
        <v>24</v>
      </c>
      <c r="J159" s="455">
        <v>8.8000000000000007</v>
      </c>
      <c r="K159" s="446">
        <v>600</v>
      </c>
      <c r="L159" s="907">
        <f t="shared" si="2"/>
        <v>232.32000000000005</v>
      </c>
    </row>
    <row r="160" spans="5:16">
      <c r="E160" s="1216"/>
      <c r="F160" s="1023" t="s">
        <v>1496</v>
      </c>
      <c r="G160" s="446" t="s">
        <v>1299</v>
      </c>
      <c r="H160" s="450">
        <v>11.5</v>
      </c>
      <c r="I160" s="432">
        <v>24</v>
      </c>
      <c r="J160" s="455">
        <v>8.8000000000000007</v>
      </c>
      <c r="K160" s="446">
        <v>600</v>
      </c>
      <c r="L160" s="907">
        <f t="shared" si="2"/>
        <v>242.88000000000005</v>
      </c>
    </row>
    <row r="161" spans="5:16">
      <c r="E161" s="1216"/>
      <c r="F161" s="1020" t="s">
        <v>1498</v>
      </c>
      <c r="G161" s="916" t="s">
        <v>1303</v>
      </c>
      <c r="H161" s="916">
        <v>7.5</v>
      </c>
      <c r="I161" s="1051">
        <v>24</v>
      </c>
      <c r="J161" s="1052">
        <v>12</v>
      </c>
      <c r="K161" s="1053">
        <v>600</v>
      </c>
      <c r="L161" s="918">
        <f t="shared" si="2"/>
        <v>216</v>
      </c>
    </row>
    <row r="162" spans="5:16">
      <c r="E162" s="1216"/>
      <c r="F162" s="1020" t="s">
        <v>1498</v>
      </c>
      <c r="G162" s="916" t="s">
        <v>1301</v>
      </c>
      <c r="H162" s="916">
        <v>11</v>
      </c>
      <c r="I162" s="1051">
        <v>24</v>
      </c>
      <c r="J162" s="1052">
        <v>12</v>
      </c>
      <c r="K162" s="1053">
        <v>600</v>
      </c>
      <c r="L162" s="918">
        <f t="shared" si="2"/>
        <v>316.8</v>
      </c>
    </row>
    <row r="163" spans="5:16">
      <c r="E163" s="1165"/>
      <c r="F163" s="1024" t="s">
        <v>1498</v>
      </c>
      <c r="G163" s="921" t="s">
        <v>1299</v>
      </c>
      <c r="H163" s="921">
        <v>11.5</v>
      </c>
      <c r="I163" s="1055">
        <v>24</v>
      </c>
      <c r="J163" s="1056">
        <v>12</v>
      </c>
      <c r="K163" s="1057">
        <v>600</v>
      </c>
      <c r="L163" s="922">
        <f t="shared" si="2"/>
        <v>331.2</v>
      </c>
    </row>
    <row r="164" spans="5:16">
      <c r="E164" s="1199">
        <v>211</v>
      </c>
      <c r="F164" s="1019" t="s">
        <v>1460</v>
      </c>
      <c r="G164" s="904" t="s">
        <v>1303</v>
      </c>
      <c r="H164" s="904">
        <v>7.5</v>
      </c>
      <c r="I164" s="1046">
        <v>56</v>
      </c>
      <c r="J164" s="1047">
        <v>10.7</v>
      </c>
      <c r="K164" s="866">
        <v>2000</v>
      </c>
      <c r="L164" s="905">
        <f t="shared" si="2"/>
        <v>134.81999999999996</v>
      </c>
      <c r="N164" s="471"/>
      <c r="O164" s="470"/>
      <c r="P164" s="439"/>
    </row>
    <row r="165" spans="5:16">
      <c r="E165" s="1216"/>
      <c r="F165" s="1022" t="s">
        <v>1460</v>
      </c>
      <c r="G165" s="450" t="s">
        <v>1301</v>
      </c>
      <c r="H165" s="450">
        <v>11</v>
      </c>
      <c r="I165" s="432">
        <v>56</v>
      </c>
      <c r="J165" s="455">
        <v>10.7</v>
      </c>
      <c r="K165" s="446">
        <v>2000</v>
      </c>
      <c r="L165" s="907">
        <f t="shared" si="2"/>
        <v>197.73599999999996</v>
      </c>
      <c r="N165" s="471"/>
      <c r="O165" s="470"/>
      <c r="P165" s="439"/>
    </row>
    <row r="166" spans="5:16">
      <c r="E166" s="1216"/>
      <c r="F166" s="1022" t="s">
        <v>1460</v>
      </c>
      <c r="G166" s="446" t="s">
        <v>1299</v>
      </c>
      <c r="H166" s="450">
        <v>11.5</v>
      </c>
      <c r="I166" s="432">
        <v>56</v>
      </c>
      <c r="J166" s="455">
        <v>10.7</v>
      </c>
      <c r="K166" s="446">
        <v>2000</v>
      </c>
      <c r="L166" s="907">
        <f t="shared" si="2"/>
        <v>206.72399999999996</v>
      </c>
      <c r="N166" s="471"/>
      <c r="O166" s="470"/>
      <c r="P166" s="439"/>
    </row>
    <row r="167" spans="5:16">
      <c r="E167" s="1216"/>
      <c r="F167" s="1020" t="s">
        <v>1461</v>
      </c>
      <c r="G167" s="916" t="s">
        <v>1303</v>
      </c>
      <c r="H167" s="916">
        <v>7.5</v>
      </c>
      <c r="I167" s="1058">
        <v>56</v>
      </c>
      <c r="J167" s="1052">
        <v>8.6</v>
      </c>
      <c r="K167" s="917">
        <v>1000</v>
      </c>
      <c r="L167" s="918">
        <f t="shared" si="2"/>
        <v>216.71999999999997</v>
      </c>
      <c r="N167" s="468"/>
      <c r="O167" s="470"/>
      <c r="P167" s="467"/>
    </row>
    <row r="168" spans="5:16">
      <c r="E168" s="1216"/>
      <c r="F168" s="1020" t="s">
        <v>1461</v>
      </c>
      <c r="G168" s="916" t="s">
        <v>1301</v>
      </c>
      <c r="H168" s="916">
        <v>11</v>
      </c>
      <c r="I168" s="1058">
        <v>56</v>
      </c>
      <c r="J168" s="1052">
        <v>8.6</v>
      </c>
      <c r="K168" s="917">
        <v>1000</v>
      </c>
      <c r="L168" s="918">
        <f t="shared" si="2"/>
        <v>317.85599999999994</v>
      </c>
    </row>
    <row r="169" spans="5:16">
      <c r="E169" s="1216"/>
      <c r="F169" s="1020" t="s">
        <v>1461</v>
      </c>
      <c r="G169" s="917" t="s">
        <v>1299</v>
      </c>
      <c r="H169" s="917">
        <v>11.5</v>
      </c>
      <c r="I169" s="1058">
        <v>56</v>
      </c>
      <c r="J169" s="1052">
        <v>8.6</v>
      </c>
      <c r="K169" s="917">
        <v>1000</v>
      </c>
      <c r="L169" s="918">
        <f t="shared" si="2"/>
        <v>332.30399999999992</v>
      </c>
    </row>
    <row r="170" spans="5:16">
      <c r="E170" s="1216"/>
      <c r="F170" s="1022" t="s">
        <v>1462</v>
      </c>
      <c r="G170" s="450" t="s">
        <v>1303</v>
      </c>
      <c r="H170" s="450">
        <v>7.5</v>
      </c>
      <c r="I170" s="432">
        <v>56</v>
      </c>
      <c r="J170" s="455">
        <v>10.7</v>
      </c>
      <c r="K170" s="446">
        <v>2000</v>
      </c>
      <c r="L170" s="907">
        <f t="shared" si="2"/>
        <v>134.81999999999996</v>
      </c>
    </row>
    <row r="171" spans="5:16">
      <c r="E171" s="1216"/>
      <c r="F171" s="1022" t="s">
        <v>1462</v>
      </c>
      <c r="G171" s="450" t="s">
        <v>1301</v>
      </c>
      <c r="H171" s="450">
        <v>11</v>
      </c>
      <c r="I171" s="432">
        <v>56</v>
      </c>
      <c r="J171" s="455">
        <v>10.7</v>
      </c>
      <c r="K171" s="446">
        <v>2000</v>
      </c>
      <c r="L171" s="907">
        <f t="shared" si="2"/>
        <v>197.73599999999996</v>
      </c>
    </row>
    <row r="172" spans="5:16">
      <c r="E172" s="1216"/>
      <c r="F172" s="1022" t="s">
        <v>1462</v>
      </c>
      <c r="G172" s="446" t="s">
        <v>1299</v>
      </c>
      <c r="H172" s="450">
        <v>11.5</v>
      </c>
      <c r="I172" s="432">
        <v>56</v>
      </c>
      <c r="J172" s="455">
        <v>10.7</v>
      </c>
      <c r="K172" s="446">
        <v>2000</v>
      </c>
      <c r="L172" s="907">
        <f t="shared" si="2"/>
        <v>206.72399999999996</v>
      </c>
    </row>
    <row r="173" spans="5:16">
      <c r="E173" s="1216"/>
      <c r="F173" s="1020" t="s">
        <v>1463</v>
      </c>
      <c r="G173" s="916" t="s">
        <v>1303</v>
      </c>
      <c r="H173" s="916">
        <v>7.5</v>
      </c>
      <c r="I173" s="1051">
        <v>30</v>
      </c>
      <c r="J173" s="1052">
        <v>9.5</v>
      </c>
      <c r="K173" s="1053">
        <v>1000</v>
      </c>
      <c r="L173" s="918">
        <f t="shared" si="2"/>
        <v>128.25</v>
      </c>
    </row>
    <row r="174" spans="5:16">
      <c r="E174" s="1216"/>
      <c r="F174" s="1020" t="s">
        <v>1463</v>
      </c>
      <c r="G174" s="916" t="s">
        <v>1301</v>
      </c>
      <c r="H174" s="916">
        <v>11</v>
      </c>
      <c r="I174" s="1051">
        <v>30</v>
      </c>
      <c r="J174" s="1052">
        <v>9.5</v>
      </c>
      <c r="K174" s="1053">
        <v>1000</v>
      </c>
      <c r="L174" s="918">
        <f t="shared" si="2"/>
        <v>188.1</v>
      </c>
    </row>
    <row r="175" spans="5:16">
      <c r="E175" s="1165"/>
      <c r="F175" s="1024" t="s">
        <v>1463</v>
      </c>
      <c r="G175" s="921" t="s">
        <v>1299</v>
      </c>
      <c r="H175" s="921">
        <v>11.5</v>
      </c>
      <c r="I175" s="1055">
        <v>30</v>
      </c>
      <c r="J175" s="1056">
        <v>9.5</v>
      </c>
      <c r="K175" s="1057">
        <v>1000</v>
      </c>
      <c r="L175" s="922">
        <f t="shared" si="2"/>
        <v>196.65</v>
      </c>
    </row>
    <row r="176" spans="5:16">
      <c r="E176" s="1199">
        <v>301</v>
      </c>
      <c r="F176" s="1019" t="s">
        <v>1456</v>
      </c>
      <c r="G176" s="904" t="s">
        <v>1303</v>
      </c>
      <c r="H176" s="904">
        <v>7.5</v>
      </c>
      <c r="I176" s="1046">
        <v>10</v>
      </c>
      <c r="J176" s="1047">
        <v>16</v>
      </c>
      <c r="K176" s="866">
        <v>300</v>
      </c>
      <c r="L176" s="905">
        <f t="shared" si="2"/>
        <v>240</v>
      </c>
    </row>
    <row r="177" spans="5:16">
      <c r="E177" s="1216"/>
      <c r="F177" s="1022" t="s">
        <v>1456</v>
      </c>
      <c r="G177" s="450" t="s">
        <v>1301</v>
      </c>
      <c r="H177" s="450">
        <v>11</v>
      </c>
      <c r="I177" s="432">
        <v>10</v>
      </c>
      <c r="J177" s="455">
        <v>16</v>
      </c>
      <c r="K177" s="446">
        <v>300</v>
      </c>
      <c r="L177" s="907">
        <f t="shared" si="2"/>
        <v>352</v>
      </c>
      <c r="N177" s="471"/>
      <c r="O177" s="470"/>
      <c r="P177" s="439"/>
    </row>
    <row r="178" spans="5:16">
      <c r="E178" s="1216"/>
      <c r="F178" s="1022" t="s">
        <v>1456</v>
      </c>
      <c r="G178" s="446" t="s">
        <v>1299</v>
      </c>
      <c r="H178" s="450">
        <v>11.5</v>
      </c>
      <c r="I178" s="432">
        <v>10</v>
      </c>
      <c r="J178" s="455">
        <v>16</v>
      </c>
      <c r="K178" s="446">
        <v>300</v>
      </c>
      <c r="L178" s="907">
        <f t="shared" si="2"/>
        <v>368</v>
      </c>
      <c r="N178" s="471"/>
      <c r="O178" s="470"/>
      <c r="P178" s="439"/>
    </row>
    <row r="179" spans="5:16">
      <c r="E179" s="1216"/>
      <c r="F179" s="1020" t="s">
        <v>1438</v>
      </c>
      <c r="G179" s="916" t="s">
        <v>1303</v>
      </c>
      <c r="H179" s="916">
        <v>7.5</v>
      </c>
      <c r="I179" s="1058">
        <v>21</v>
      </c>
      <c r="J179" s="1052">
        <v>28</v>
      </c>
      <c r="K179" s="917">
        <v>1000</v>
      </c>
      <c r="L179" s="918">
        <f t="shared" si="2"/>
        <v>264.60000000000002</v>
      </c>
      <c r="N179" s="471"/>
      <c r="O179" s="470"/>
      <c r="P179" s="439"/>
    </row>
    <row r="180" spans="5:16">
      <c r="E180" s="1216"/>
      <c r="F180" s="1020" t="s">
        <v>1438</v>
      </c>
      <c r="G180" s="916" t="s">
        <v>1301</v>
      </c>
      <c r="H180" s="916">
        <v>11</v>
      </c>
      <c r="I180" s="1058">
        <v>21</v>
      </c>
      <c r="J180" s="1052">
        <v>28</v>
      </c>
      <c r="K180" s="917">
        <v>1000</v>
      </c>
      <c r="L180" s="918">
        <f t="shared" si="2"/>
        <v>388.08</v>
      </c>
      <c r="N180" s="471"/>
      <c r="O180" s="470"/>
      <c r="P180" s="439"/>
    </row>
    <row r="181" spans="5:16">
      <c r="E181" s="1216"/>
      <c r="F181" s="1020" t="s">
        <v>1438</v>
      </c>
      <c r="G181" s="917" t="s">
        <v>1299</v>
      </c>
      <c r="H181" s="917">
        <v>11.5</v>
      </c>
      <c r="I181" s="1058">
        <v>21</v>
      </c>
      <c r="J181" s="1052">
        <v>28</v>
      </c>
      <c r="K181" s="917">
        <v>1000</v>
      </c>
      <c r="L181" s="918">
        <f t="shared" si="2"/>
        <v>405.72</v>
      </c>
      <c r="N181" s="471"/>
      <c r="O181" s="470"/>
      <c r="P181" s="439"/>
    </row>
    <row r="182" spans="5:16">
      <c r="E182" s="1216"/>
      <c r="F182" s="1022" t="s">
        <v>1439</v>
      </c>
      <c r="G182" s="450" t="s">
        <v>1303</v>
      </c>
      <c r="H182" s="450">
        <v>7.5</v>
      </c>
      <c r="I182" s="432">
        <v>21</v>
      </c>
      <c r="J182" s="455">
        <v>28</v>
      </c>
      <c r="K182" s="446">
        <v>1000</v>
      </c>
      <c r="L182" s="907">
        <f t="shared" si="2"/>
        <v>264.60000000000002</v>
      </c>
      <c r="N182" s="471"/>
      <c r="O182" s="470"/>
      <c r="P182" s="439"/>
    </row>
    <row r="183" spans="5:16">
      <c r="E183" s="1216"/>
      <c r="F183" s="1022" t="s">
        <v>1439</v>
      </c>
      <c r="G183" s="450" t="s">
        <v>1301</v>
      </c>
      <c r="H183" s="450">
        <v>11</v>
      </c>
      <c r="I183" s="432">
        <v>21</v>
      </c>
      <c r="J183" s="455">
        <v>28</v>
      </c>
      <c r="K183" s="446">
        <v>1000</v>
      </c>
      <c r="L183" s="907">
        <f t="shared" si="2"/>
        <v>388.08</v>
      </c>
      <c r="N183" s="471"/>
      <c r="O183" s="470"/>
      <c r="P183" s="439"/>
    </row>
    <row r="184" spans="5:16">
      <c r="E184" s="1216"/>
      <c r="F184" s="1022" t="s">
        <v>1439</v>
      </c>
      <c r="G184" s="446" t="s">
        <v>1299</v>
      </c>
      <c r="H184" s="450">
        <v>11.5</v>
      </c>
      <c r="I184" s="432">
        <v>21</v>
      </c>
      <c r="J184" s="455">
        <v>28</v>
      </c>
      <c r="K184" s="446">
        <v>1000</v>
      </c>
      <c r="L184" s="907">
        <f t="shared" si="2"/>
        <v>405.72</v>
      </c>
      <c r="N184" s="471"/>
      <c r="O184" s="470"/>
      <c r="P184" s="439"/>
    </row>
    <row r="185" spans="5:16">
      <c r="E185" s="1216"/>
      <c r="F185" s="1020" t="s">
        <v>1424</v>
      </c>
      <c r="G185" s="916" t="s">
        <v>1303</v>
      </c>
      <c r="H185" s="916">
        <v>7.5</v>
      </c>
      <c r="I185" s="1058">
        <v>21</v>
      </c>
      <c r="J185" s="1052">
        <v>28</v>
      </c>
      <c r="K185" s="917">
        <v>1000</v>
      </c>
      <c r="L185" s="918">
        <f t="shared" si="2"/>
        <v>264.60000000000002</v>
      </c>
    </row>
    <row r="186" spans="5:16">
      <c r="E186" s="1216"/>
      <c r="F186" s="1020" t="s">
        <v>1424</v>
      </c>
      <c r="G186" s="916" t="s">
        <v>1301</v>
      </c>
      <c r="H186" s="916">
        <v>11</v>
      </c>
      <c r="I186" s="1058">
        <v>21</v>
      </c>
      <c r="J186" s="1052">
        <v>28</v>
      </c>
      <c r="K186" s="917">
        <v>1000</v>
      </c>
      <c r="L186" s="918">
        <f t="shared" si="2"/>
        <v>388.08</v>
      </c>
    </row>
    <row r="187" spans="5:16">
      <c r="E187" s="1216"/>
      <c r="F187" s="1020" t="s">
        <v>1424</v>
      </c>
      <c r="G187" s="917" t="s">
        <v>1299</v>
      </c>
      <c r="H187" s="917">
        <v>11.5</v>
      </c>
      <c r="I187" s="1058">
        <v>21</v>
      </c>
      <c r="J187" s="1052">
        <v>28</v>
      </c>
      <c r="K187" s="917">
        <v>1000</v>
      </c>
      <c r="L187" s="918">
        <f t="shared" si="2"/>
        <v>405.72</v>
      </c>
    </row>
    <row r="188" spans="5:16">
      <c r="E188" s="1216"/>
      <c r="F188" s="1022" t="s">
        <v>1427</v>
      </c>
      <c r="G188" s="450" t="s">
        <v>1303</v>
      </c>
      <c r="H188" s="450">
        <v>7.5</v>
      </c>
      <c r="I188" s="432">
        <v>14</v>
      </c>
      <c r="J188" s="455">
        <v>20</v>
      </c>
      <c r="K188" s="446">
        <v>1000</v>
      </c>
      <c r="L188" s="907">
        <f t="shared" si="2"/>
        <v>126</v>
      </c>
    </row>
    <row r="189" spans="5:16">
      <c r="E189" s="1216"/>
      <c r="F189" s="1022" t="s">
        <v>1427</v>
      </c>
      <c r="G189" s="450" t="s">
        <v>1301</v>
      </c>
      <c r="H189" s="450">
        <v>11</v>
      </c>
      <c r="I189" s="432">
        <v>14</v>
      </c>
      <c r="J189" s="455">
        <v>20</v>
      </c>
      <c r="K189" s="446">
        <v>1000</v>
      </c>
      <c r="L189" s="907">
        <f t="shared" si="2"/>
        <v>184.8</v>
      </c>
    </row>
    <row r="190" spans="5:16">
      <c r="E190" s="1216"/>
      <c r="F190" s="1022" t="s">
        <v>1427</v>
      </c>
      <c r="G190" s="446" t="s">
        <v>1299</v>
      </c>
      <c r="H190" s="450">
        <v>11.5</v>
      </c>
      <c r="I190" s="432">
        <v>14</v>
      </c>
      <c r="J190" s="455">
        <v>20</v>
      </c>
      <c r="K190" s="446">
        <v>1000</v>
      </c>
      <c r="L190" s="907">
        <f t="shared" si="2"/>
        <v>193.2</v>
      </c>
    </row>
    <row r="191" spans="5:16">
      <c r="E191" s="1216"/>
      <c r="F191" s="1020" t="s">
        <v>1432</v>
      </c>
      <c r="G191" s="916" t="s">
        <v>1303</v>
      </c>
      <c r="H191" s="916">
        <v>7.5</v>
      </c>
      <c r="I191" s="1058">
        <v>14</v>
      </c>
      <c r="J191" s="1052">
        <v>21</v>
      </c>
      <c r="K191" s="917">
        <v>1000</v>
      </c>
      <c r="L191" s="918">
        <f t="shared" si="2"/>
        <v>132.30000000000001</v>
      </c>
    </row>
    <row r="192" spans="5:16">
      <c r="E192" s="1216"/>
      <c r="F192" s="1020" t="s">
        <v>1432</v>
      </c>
      <c r="G192" s="916" t="s">
        <v>1301</v>
      </c>
      <c r="H192" s="916">
        <v>11</v>
      </c>
      <c r="I192" s="1058">
        <v>14</v>
      </c>
      <c r="J192" s="1052">
        <v>21</v>
      </c>
      <c r="K192" s="917">
        <v>1000</v>
      </c>
      <c r="L192" s="918">
        <f t="shared" si="2"/>
        <v>194.04</v>
      </c>
    </row>
    <row r="193" spans="5:16">
      <c r="E193" s="1216"/>
      <c r="F193" s="1020" t="s">
        <v>1432</v>
      </c>
      <c r="G193" s="917" t="s">
        <v>1299</v>
      </c>
      <c r="H193" s="917">
        <v>11.5</v>
      </c>
      <c r="I193" s="1058">
        <v>14</v>
      </c>
      <c r="J193" s="1052">
        <v>21</v>
      </c>
      <c r="K193" s="917">
        <v>1000</v>
      </c>
      <c r="L193" s="918">
        <f t="shared" si="2"/>
        <v>202.86</v>
      </c>
    </row>
    <row r="194" spans="5:16">
      <c r="E194" s="1216"/>
      <c r="F194" s="1022" t="s">
        <v>1436</v>
      </c>
      <c r="G194" s="450" t="s">
        <v>1303</v>
      </c>
      <c r="H194" s="450">
        <v>7.5</v>
      </c>
      <c r="I194" s="432">
        <v>14</v>
      </c>
      <c r="J194" s="455">
        <v>21</v>
      </c>
      <c r="K194" s="446">
        <v>1000</v>
      </c>
      <c r="L194" s="907">
        <f t="shared" si="2"/>
        <v>132.30000000000001</v>
      </c>
    </row>
    <row r="195" spans="5:16">
      <c r="E195" s="1216"/>
      <c r="F195" s="1022" t="s">
        <v>1436</v>
      </c>
      <c r="G195" s="450" t="s">
        <v>1301</v>
      </c>
      <c r="H195" s="450">
        <v>11</v>
      </c>
      <c r="I195" s="432">
        <v>14</v>
      </c>
      <c r="J195" s="455">
        <v>21</v>
      </c>
      <c r="K195" s="446">
        <v>1000</v>
      </c>
      <c r="L195" s="907">
        <f t="shared" ref="L195:L258" si="3">I195*J195*60*H195/K195</f>
        <v>194.04</v>
      </c>
    </row>
    <row r="196" spans="5:16">
      <c r="E196" s="1216"/>
      <c r="F196" s="1022" t="s">
        <v>1436</v>
      </c>
      <c r="G196" s="446" t="s">
        <v>1299</v>
      </c>
      <c r="H196" s="450">
        <v>11.5</v>
      </c>
      <c r="I196" s="432">
        <v>14</v>
      </c>
      <c r="J196" s="455">
        <v>21</v>
      </c>
      <c r="K196" s="446">
        <v>1000</v>
      </c>
      <c r="L196" s="907">
        <f t="shared" si="3"/>
        <v>202.86</v>
      </c>
    </row>
    <row r="197" spans="5:16">
      <c r="E197" s="1216"/>
      <c r="F197" s="1020" t="s">
        <v>1437</v>
      </c>
      <c r="G197" s="916" t="s">
        <v>1303</v>
      </c>
      <c r="H197" s="916">
        <v>7.5</v>
      </c>
      <c r="I197" s="1058">
        <v>14</v>
      </c>
      <c r="J197" s="1052">
        <v>20</v>
      </c>
      <c r="K197" s="917">
        <v>1000</v>
      </c>
      <c r="L197" s="918">
        <f t="shared" si="3"/>
        <v>126</v>
      </c>
    </row>
    <row r="198" spans="5:16">
      <c r="E198" s="1216"/>
      <c r="F198" s="1020" t="s">
        <v>1437</v>
      </c>
      <c r="G198" s="916" t="s">
        <v>1301</v>
      </c>
      <c r="H198" s="916">
        <v>11</v>
      </c>
      <c r="I198" s="1058">
        <v>14</v>
      </c>
      <c r="J198" s="1052">
        <v>20</v>
      </c>
      <c r="K198" s="917">
        <v>1000</v>
      </c>
      <c r="L198" s="918">
        <f t="shared" si="3"/>
        <v>184.8</v>
      </c>
    </row>
    <row r="199" spans="5:16">
      <c r="E199" s="1165"/>
      <c r="F199" s="1024" t="s">
        <v>1437</v>
      </c>
      <c r="G199" s="921" t="s">
        <v>1299</v>
      </c>
      <c r="H199" s="921">
        <v>11.5</v>
      </c>
      <c r="I199" s="1059">
        <v>14</v>
      </c>
      <c r="J199" s="1056">
        <v>20</v>
      </c>
      <c r="K199" s="921">
        <v>1000</v>
      </c>
      <c r="L199" s="922">
        <f t="shared" si="3"/>
        <v>193.2</v>
      </c>
    </row>
    <row r="200" spans="5:16">
      <c r="E200" s="1199">
        <v>302</v>
      </c>
      <c r="F200" s="1019" t="s">
        <v>1452</v>
      </c>
      <c r="G200" s="904" t="s">
        <v>1303</v>
      </c>
      <c r="H200" s="904">
        <v>7.5</v>
      </c>
      <c r="I200" s="1046">
        <v>14</v>
      </c>
      <c r="J200" s="1047">
        <v>20.8</v>
      </c>
      <c r="K200" s="866">
        <v>2000</v>
      </c>
      <c r="L200" s="905">
        <f t="shared" si="3"/>
        <v>65.52</v>
      </c>
      <c r="N200" s="471"/>
      <c r="O200" s="470"/>
      <c r="P200" s="439"/>
    </row>
    <row r="201" spans="5:16">
      <c r="E201" s="1216"/>
      <c r="F201" s="1022" t="s">
        <v>1452</v>
      </c>
      <c r="G201" s="450" t="s">
        <v>1301</v>
      </c>
      <c r="H201" s="450">
        <v>11</v>
      </c>
      <c r="I201" s="432">
        <v>14</v>
      </c>
      <c r="J201" s="455">
        <v>20.8</v>
      </c>
      <c r="K201" s="446">
        <v>2000</v>
      </c>
      <c r="L201" s="907">
        <f t="shared" si="3"/>
        <v>96.096000000000004</v>
      </c>
      <c r="N201" s="471"/>
      <c r="O201" s="470"/>
      <c r="P201" s="439"/>
    </row>
    <row r="202" spans="5:16">
      <c r="E202" s="1216"/>
      <c r="F202" s="1022" t="s">
        <v>1452</v>
      </c>
      <c r="G202" s="446" t="s">
        <v>1299</v>
      </c>
      <c r="H202" s="450">
        <v>11.5</v>
      </c>
      <c r="I202" s="432">
        <v>14</v>
      </c>
      <c r="J202" s="455">
        <v>20.8</v>
      </c>
      <c r="K202" s="446">
        <v>2000</v>
      </c>
      <c r="L202" s="907">
        <f t="shared" si="3"/>
        <v>100.464</v>
      </c>
      <c r="N202" s="471"/>
      <c r="O202" s="470"/>
      <c r="P202" s="439"/>
    </row>
    <row r="203" spans="5:16">
      <c r="E203" s="1216"/>
      <c r="F203" s="1020" t="s">
        <v>1453</v>
      </c>
      <c r="G203" s="916" t="s">
        <v>1303</v>
      </c>
      <c r="H203" s="916">
        <v>7.5</v>
      </c>
      <c r="I203" s="1058">
        <v>14</v>
      </c>
      <c r="J203" s="1052">
        <v>20.8</v>
      </c>
      <c r="K203" s="917">
        <v>2000</v>
      </c>
      <c r="L203" s="918">
        <f t="shared" si="3"/>
        <v>65.52</v>
      </c>
      <c r="N203" s="471"/>
      <c r="O203" s="470"/>
      <c r="P203" s="439"/>
    </row>
    <row r="204" spans="5:16">
      <c r="E204" s="1216"/>
      <c r="F204" s="1020" t="s">
        <v>1453</v>
      </c>
      <c r="G204" s="916" t="s">
        <v>1301</v>
      </c>
      <c r="H204" s="916">
        <v>11</v>
      </c>
      <c r="I204" s="1058">
        <v>14</v>
      </c>
      <c r="J204" s="1052">
        <v>20.8</v>
      </c>
      <c r="K204" s="917">
        <v>2000</v>
      </c>
      <c r="L204" s="918">
        <f t="shared" si="3"/>
        <v>96.096000000000004</v>
      </c>
      <c r="N204" s="471"/>
      <c r="O204" s="470"/>
      <c r="P204" s="439"/>
    </row>
    <row r="205" spans="5:16">
      <c r="E205" s="1216"/>
      <c r="F205" s="1020" t="s">
        <v>1453</v>
      </c>
      <c r="G205" s="917" t="s">
        <v>1299</v>
      </c>
      <c r="H205" s="917">
        <v>11.5</v>
      </c>
      <c r="I205" s="1058">
        <v>14</v>
      </c>
      <c r="J205" s="1052">
        <v>20.8</v>
      </c>
      <c r="K205" s="917">
        <v>2000</v>
      </c>
      <c r="L205" s="918">
        <f t="shared" si="3"/>
        <v>100.464</v>
      </c>
      <c r="N205" s="471"/>
      <c r="O205" s="470"/>
      <c r="P205" s="439"/>
    </row>
    <row r="206" spans="5:16">
      <c r="E206" s="1216"/>
      <c r="F206" s="1022" t="s">
        <v>1454</v>
      </c>
      <c r="G206" s="450" t="s">
        <v>1303</v>
      </c>
      <c r="H206" s="450">
        <v>7.5</v>
      </c>
      <c r="I206" s="432">
        <v>10</v>
      </c>
      <c r="J206" s="455">
        <v>20</v>
      </c>
      <c r="K206" s="446">
        <v>500</v>
      </c>
      <c r="L206" s="907">
        <f t="shared" si="3"/>
        <v>180</v>
      </c>
      <c r="N206" s="471"/>
      <c r="O206" s="470"/>
      <c r="P206" s="439"/>
    </row>
    <row r="207" spans="5:16">
      <c r="E207" s="1216"/>
      <c r="F207" s="1022" t="s">
        <v>1454</v>
      </c>
      <c r="G207" s="450" t="s">
        <v>1301</v>
      </c>
      <c r="H207" s="450">
        <v>11</v>
      </c>
      <c r="I207" s="432">
        <v>10</v>
      </c>
      <c r="J207" s="455">
        <v>20</v>
      </c>
      <c r="K207" s="446">
        <v>500</v>
      </c>
      <c r="L207" s="907">
        <f t="shared" si="3"/>
        <v>264</v>
      </c>
      <c r="N207" s="471"/>
      <c r="O207" s="470"/>
      <c r="P207" s="439"/>
    </row>
    <row r="208" spans="5:16">
      <c r="E208" s="1216"/>
      <c r="F208" s="1022" t="s">
        <v>1454</v>
      </c>
      <c r="G208" s="446" t="s">
        <v>1299</v>
      </c>
      <c r="H208" s="450">
        <v>11.5</v>
      </c>
      <c r="I208" s="432">
        <v>10</v>
      </c>
      <c r="J208" s="455">
        <v>20</v>
      </c>
      <c r="K208" s="446">
        <v>500</v>
      </c>
      <c r="L208" s="907">
        <f t="shared" si="3"/>
        <v>276</v>
      </c>
      <c r="N208" s="471"/>
      <c r="O208" s="470"/>
      <c r="P208" s="439"/>
    </row>
    <row r="209" spans="5:16">
      <c r="E209" s="1216"/>
      <c r="F209" s="1020" t="s">
        <v>1488</v>
      </c>
      <c r="G209" s="916" t="s">
        <v>1303</v>
      </c>
      <c r="H209" s="916">
        <v>7.5</v>
      </c>
      <c r="I209" s="1058">
        <v>11</v>
      </c>
      <c r="J209" s="1052">
        <v>20.100000000000001</v>
      </c>
      <c r="K209" s="917">
        <v>500</v>
      </c>
      <c r="L209" s="918">
        <f t="shared" si="3"/>
        <v>198.99000000000004</v>
      </c>
      <c r="N209" s="468"/>
      <c r="O209" s="470"/>
      <c r="P209" s="467"/>
    </row>
    <row r="210" spans="5:16">
      <c r="E210" s="1216"/>
      <c r="F210" s="1020" t="s">
        <v>1488</v>
      </c>
      <c r="G210" s="916" t="s">
        <v>1301</v>
      </c>
      <c r="H210" s="916">
        <v>11</v>
      </c>
      <c r="I210" s="1058">
        <v>11</v>
      </c>
      <c r="J210" s="1052">
        <v>20.100000000000001</v>
      </c>
      <c r="K210" s="917">
        <v>500</v>
      </c>
      <c r="L210" s="918">
        <f t="shared" si="3"/>
        <v>291.85200000000003</v>
      </c>
    </row>
    <row r="211" spans="5:16">
      <c r="E211" s="1216"/>
      <c r="F211" s="1020" t="s">
        <v>1488</v>
      </c>
      <c r="G211" s="917" t="s">
        <v>1299</v>
      </c>
      <c r="H211" s="917">
        <v>11.5</v>
      </c>
      <c r="I211" s="1058">
        <v>11</v>
      </c>
      <c r="J211" s="1052">
        <v>20.100000000000001</v>
      </c>
      <c r="K211" s="917">
        <v>500</v>
      </c>
      <c r="L211" s="918">
        <f t="shared" si="3"/>
        <v>305.11800000000005</v>
      </c>
    </row>
    <row r="212" spans="5:16">
      <c r="E212" s="1216"/>
      <c r="F212" s="1022" t="s">
        <v>1486</v>
      </c>
      <c r="G212" s="450" t="s">
        <v>1303</v>
      </c>
      <c r="H212" s="450">
        <v>7.5</v>
      </c>
      <c r="I212" s="432">
        <v>33</v>
      </c>
      <c r="J212" s="455">
        <v>21.6</v>
      </c>
      <c r="K212" s="446">
        <v>2500</v>
      </c>
      <c r="L212" s="907">
        <f t="shared" si="3"/>
        <v>128.30400000000003</v>
      </c>
    </row>
    <row r="213" spans="5:16">
      <c r="E213" s="1216"/>
      <c r="F213" s="1022" t="s">
        <v>1486</v>
      </c>
      <c r="G213" s="450" t="s">
        <v>1301</v>
      </c>
      <c r="H213" s="450">
        <v>11</v>
      </c>
      <c r="I213" s="432">
        <v>33</v>
      </c>
      <c r="J213" s="455">
        <v>21.6</v>
      </c>
      <c r="K213" s="446">
        <v>2500</v>
      </c>
      <c r="L213" s="907">
        <f t="shared" si="3"/>
        <v>188.17920000000004</v>
      </c>
    </row>
    <row r="214" spans="5:16">
      <c r="E214" s="1216"/>
      <c r="F214" s="1022" t="s">
        <v>1486</v>
      </c>
      <c r="G214" s="446" t="s">
        <v>1299</v>
      </c>
      <c r="H214" s="450">
        <v>11.5</v>
      </c>
      <c r="I214" s="432">
        <v>33</v>
      </c>
      <c r="J214" s="455">
        <v>21.6</v>
      </c>
      <c r="K214" s="446">
        <v>2500</v>
      </c>
      <c r="L214" s="907">
        <f t="shared" si="3"/>
        <v>196.73280000000003</v>
      </c>
    </row>
    <row r="215" spans="5:16">
      <c r="E215" s="1216"/>
      <c r="F215" s="1020" t="s">
        <v>1455</v>
      </c>
      <c r="G215" s="916" t="s">
        <v>1303</v>
      </c>
      <c r="H215" s="916">
        <v>7.5</v>
      </c>
      <c r="I215" s="1058">
        <v>33</v>
      </c>
      <c r="J215" s="1052">
        <v>19.2</v>
      </c>
      <c r="K215" s="917">
        <v>2500</v>
      </c>
      <c r="L215" s="918">
        <f t="shared" si="3"/>
        <v>114.048</v>
      </c>
    </row>
    <row r="216" spans="5:16">
      <c r="E216" s="1216"/>
      <c r="F216" s="1020" t="s">
        <v>1455</v>
      </c>
      <c r="G216" s="916" t="s">
        <v>1301</v>
      </c>
      <c r="H216" s="916">
        <v>11</v>
      </c>
      <c r="I216" s="1058">
        <v>33</v>
      </c>
      <c r="J216" s="1052">
        <v>19.2</v>
      </c>
      <c r="K216" s="917">
        <v>2500</v>
      </c>
      <c r="L216" s="918">
        <f t="shared" si="3"/>
        <v>167.2704</v>
      </c>
    </row>
    <row r="217" spans="5:16">
      <c r="E217" s="1216"/>
      <c r="F217" s="1020" t="s">
        <v>1455</v>
      </c>
      <c r="G217" s="917" t="s">
        <v>1299</v>
      </c>
      <c r="H217" s="917">
        <v>11.5</v>
      </c>
      <c r="I217" s="1058">
        <v>33</v>
      </c>
      <c r="J217" s="1052">
        <v>19.2</v>
      </c>
      <c r="K217" s="917">
        <v>2500</v>
      </c>
      <c r="L217" s="918">
        <f t="shared" si="3"/>
        <v>174.87360000000001</v>
      </c>
    </row>
    <row r="218" spans="5:16">
      <c r="E218" s="1216"/>
      <c r="F218" s="1022" t="s">
        <v>1442</v>
      </c>
      <c r="G218" s="450" t="s">
        <v>1303</v>
      </c>
      <c r="H218" s="450">
        <v>7.5</v>
      </c>
      <c r="I218" s="432">
        <v>14</v>
      </c>
      <c r="J218" s="455">
        <v>20.8</v>
      </c>
      <c r="K218" s="446">
        <v>2000</v>
      </c>
      <c r="L218" s="907">
        <f t="shared" si="3"/>
        <v>65.52</v>
      </c>
    </row>
    <row r="219" spans="5:16">
      <c r="E219" s="1216"/>
      <c r="F219" s="1022" t="s">
        <v>1442</v>
      </c>
      <c r="G219" s="450" t="s">
        <v>1301</v>
      </c>
      <c r="H219" s="450">
        <v>11</v>
      </c>
      <c r="I219" s="432">
        <v>14</v>
      </c>
      <c r="J219" s="455">
        <v>20.8</v>
      </c>
      <c r="K219" s="446">
        <v>2000</v>
      </c>
      <c r="L219" s="907">
        <f t="shared" si="3"/>
        <v>96.096000000000004</v>
      </c>
    </row>
    <row r="220" spans="5:16">
      <c r="E220" s="1216"/>
      <c r="F220" s="1022" t="s">
        <v>1442</v>
      </c>
      <c r="G220" s="446" t="s">
        <v>1299</v>
      </c>
      <c r="H220" s="450">
        <v>11.5</v>
      </c>
      <c r="I220" s="432">
        <v>14</v>
      </c>
      <c r="J220" s="455">
        <v>20.8</v>
      </c>
      <c r="K220" s="446">
        <v>2000</v>
      </c>
      <c r="L220" s="907">
        <f t="shared" si="3"/>
        <v>100.464</v>
      </c>
    </row>
    <row r="221" spans="5:16">
      <c r="E221" s="1216"/>
      <c r="F221" s="1020" t="s">
        <v>1443</v>
      </c>
      <c r="G221" s="916" t="s">
        <v>1303</v>
      </c>
      <c r="H221" s="916">
        <v>7.5</v>
      </c>
      <c r="I221" s="1058">
        <v>14</v>
      </c>
      <c r="J221" s="1052">
        <v>20.8</v>
      </c>
      <c r="K221" s="917">
        <v>2000</v>
      </c>
      <c r="L221" s="918">
        <f t="shared" si="3"/>
        <v>65.52</v>
      </c>
    </row>
    <row r="222" spans="5:16">
      <c r="E222" s="1216"/>
      <c r="F222" s="1020" t="s">
        <v>1443</v>
      </c>
      <c r="G222" s="916" t="s">
        <v>1301</v>
      </c>
      <c r="H222" s="916">
        <v>11</v>
      </c>
      <c r="I222" s="1058">
        <v>14</v>
      </c>
      <c r="J222" s="1052">
        <v>20.8</v>
      </c>
      <c r="K222" s="917">
        <v>2000</v>
      </c>
      <c r="L222" s="918">
        <f t="shared" si="3"/>
        <v>96.096000000000004</v>
      </c>
    </row>
    <row r="223" spans="5:16">
      <c r="E223" s="1216"/>
      <c r="F223" s="1020" t="s">
        <v>1443</v>
      </c>
      <c r="G223" s="917" t="s">
        <v>1299</v>
      </c>
      <c r="H223" s="917">
        <v>11.5</v>
      </c>
      <c r="I223" s="1058">
        <v>14</v>
      </c>
      <c r="J223" s="1052">
        <v>20.8</v>
      </c>
      <c r="K223" s="917">
        <v>2000</v>
      </c>
      <c r="L223" s="918">
        <f t="shared" si="3"/>
        <v>100.464</v>
      </c>
    </row>
    <row r="224" spans="5:16">
      <c r="E224" s="1216"/>
      <c r="F224" s="1022" t="s">
        <v>1440</v>
      </c>
      <c r="G224" s="450" t="s">
        <v>1303</v>
      </c>
      <c r="H224" s="450">
        <v>7.5</v>
      </c>
      <c r="I224" s="432">
        <v>10</v>
      </c>
      <c r="J224" s="455">
        <v>18</v>
      </c>
      <c r="K224" s="446">
        <v>500</v>
      </c>
      <c r="L224" s="907">
        <f t="shared" si="3"/>
        <v>162</v>
      </c>
    </row>
    <row r="225" spans="5:16">
      <c r="E225" s="1216"/>
      <c r="F225" s="1022" t="s">
        <v>1440</v>
      </c>
      <c r="G225" s="450" t="s">
        <v>1301</v>
      </c>
      <c r="H225" s="450">
        <v>11</v>
      </c>
      <c r="I225" s="432">
        <v>10</v>
      </c>
      <c r="J225" s="455">
        <v>18</v>
      </c>
      <c r="K225" s="446">
        <v>500</v>
      </c>
      <c r="L225" s="907">
        <f t="shared" si="3"/>
        <v>237.6</v>
      </c>
    </row>
    <row r="226" spans="5:16">
      <c r="E226" s="1216"/>
      <c r="F226" s="1022" t="s">
        <v>1440</v>
      </c>
      <c r="G226" s="446" t="s">
        <v>1299</v>
      </c>
      <c r="H226" s="450">
        <v>11.5</v>
      </c>
      <c r="I226" s="432">
        <v>10</v>
      </c>
      <c r="J226" s="455">
        <v>18</v>
      </c>
      <c r="K226" s="446">
        <v>500</v>
      </c>
      <c r="L226" s="907">
        <f t="shared" si="3"/>
        <v>248.4</v>
      </c>
    </row>
    <row r="227" spans="5:16">
      <c r="E227" s="1216"/>
      <c r="F227" s="1020" t="s">
        <v>1441</v>
      </c>
      <c r="G227" s="916" t="s">
        <v>1303</v>
      </c>
      <c r="H227" s="916">
        <v>7.5</v>
      </c>
      <c r="I227" s="1051">
        <v>10</v>
      </c>
      <c r="J227" s="1052">
        <v>16.2</v>
      </c>
      <c r="K227" s="1053">
        <v>500</v>
      </c>
      <c r="L227" s="918">
        <f t="shared" si="3"/>
        <v>145.80000000000001</v>
      </c>
    </row>
    <row r="228" spans="5:16">
      <c r="E228" s="1216"/>
      <c r="F228" s="1020" t="s">
        <v>1441</v>
      </c>
      <c r="G228" s="916" t="s">
        <v>1301</v>
      </c>
      <c r="H228" s="916">
        <v>11</v>
      </c>
      <c r="I228" s="1051">
        <v>10</v>
      </c>
      <c r="J228" s="1052">
        <v>16.2</v>
      </c>
      <c r="K228" s="1053">
        <v>500</v>
      </c>
      <c r="L228" s="918">
        <f t="shared" si="3"/>
        <v>213.84</v>
      </c>
    </row>
    <row r="229" spans="5:16">
      <c r="E229" s="1165"/>
      <c r="F229" s="1024" t="s">
        <v>1441</v>
      </c>
      <c r="G229" s="921" t="s">
        <v>1299</v>
      </c>
      <c r="H229" s="921">
        <v>11.5</v>
      </c>
      <c r="I229" s="1055">
        <v>10</v>
      </c>
      <c r="J229" s="1056">
        <v>16.2</v>
      </c>
      <c r="K229" s="1057">
        <v>500</v>
      </c>
      <c r="L229" s="922">
        <f t="shared" si="3"/>
        <v>223.56</v>
      </c>
    </row>
    <row r="230" spans="5:16">
      <c r="E230" s="1199">
        <v>303</v>
      </c>
      <c r="F230" s="1019" t="s">
        <v>1440</v>
      </c>
      <c r="G230" s="904" t="s">
        <v>1303</v>
      </c>
      <c r="H230" s="904">
        <v>7.5</v>
      </c>
      <c r="I230" s="1046">
        <v>10</v>
      </c>
      <c r="J230" s="1047">
        <v>18</v>
      </c>
      <c r="K230" s="866">
        <v>500</v>
      </c>
      <c r="L230" s="905">
        <f t="shared" si="3"/>
        <v>162</v>
      </c>
      <c r="N230" s="471"/>
      <c r="O230" s="470"/>
      <c r="P230" s="439"/>
    </row>
    <row r="231" spans="5:16">
      <c r="E231" s="1216"/>
      <c r="F231" s="1022" t="s">
        <v>1440</v>
      </c>
      <c r="G231" s="450" t="s">
        <v>1301</v>
      </c>
      <c r="H231" s="450">
        <v>11</v>
      </c>
      <c r="I231" s="432">
        <v>10</v>
      </c>
      <c r="J231" s="455">
        <v>18</v>
      </c>
      <c r="K231" s="446">
        <v>500</v>
      </c>
      <c r="L231" s="907">
        <f t="shared" si="3"/>
        <v>237.6</v>
      </c>
      <c r="N231" s="468"/>
      <c r="O231" s="470"/>
      <c r="P231" s="467"/>
    </row>
    <row r="232" spans="5:16">
      <c r="E232" s="1216"/>
      <c r="F232" s="1022" t="s">
        <v>1440</v>
      </c>
      <c r="G232" s="446" t="s">
        <v>1299</v>
      </c>
      <c r="H232" s="450">
        <v>11.5</v>
      </c>
      <c r="I232" s="432">
        <v>10</v>
      </c>
      <c r="J232" s="455">
        <v>18</v>
      </c>
      <c r="K232" s="446">
        <v>500</v>
      </c>
      <c r="L232" s="907">
        <f t="shared" si="3"/>
        <v>248.4</v>
      </c>
      <c r="N232" s="471"/>
      <c r="O232" s="470"/>
      <c r="P232" s="439"/>
    </row>
    <row r="233" spans="5:16">
      <c r="E233" s="1216"/>
      <c r="F233" s="1020" t="s">
        <v>1441</v>
      </c>
      <c r="G233" s="916" t="s">
        <v>1303</v>
      </c>
      <c r="H233" s="916">
        <v>7.5</v>
      </c>
      <c r="I233" s="1051">
        <v>10</v>
      </c>
      <c r="J233" s="1052">
        <v>16.2</v>
      </c>
      <c r="K233" s="1053">
        <v>500</v>
      </c>
      <c r="L233" s="918">
        <f t="shared" si="3"/>
        <v>145.80000000000001</v>
      </c>
      <c r="N233" s="471"/>
      <c r="O233" s="470"/>
      <c r="P233" s="439"/>
    </row>
    <row r="234" spans="5:16">
      <c r="E234" s="1216"/>
      <c r="F234" s="1020" t="s">
        <v>1441</v>
      </c>
      <c r="G234" s="916" t="s">
        <v>1301</v>
      </c>
      <c r="H234" s="916">
        <v>11</v>
      </c>
      <c r="I234" s="1051">
        <v>10</v>
      </c>
      <c r="J234" s="1052">
        <v>16.2</v>
      </c>
      <c r="K234" s="1053">
        <v>500</v>
      </c>
      <c r="L234" s="918">
        <f t="shared" si="3"/>
        <v>213.84</v>
      </c>
      <c r="N234" s="471"/>
      <c r="O234" s="470"/>
      <c r="P234" s="439"/>
    </row>
    <row r="235" spans="5:16">
      <c r="E235" s="1216"/>
      <c r="F235" s="1020" t="s">
        <v>1441</v>
      </c>
      <c r="G235" s="917" t="s">
        <v>1299</v>
      </c>
      <c r="H235" s="917">
        <v>11.5</v>
      </c>
      <c r="I235" s="1051">
        <v>10</v>
      </c>
      <c r="J235" s="1052">
        <v>16.2</v>
      </c>
      <c r="K235" s="1053">
        <v>500</v>
      </c>
      <c r="L235" s="918">
        <f t="shared" si="3"/>
        <v>223.56</v>
      </c>
      <c r="N235" s="471"/>
      <c r="O235" s="470"/>
      <c r="P235" s="439"/>
    </row>
    <row r="236" spans="5:16">
      <c r="E236" s="1216"/>
      <c r="F236" s="1022" t="s">
        <v>1442</v>
      </c>
      <c r="G236" s="450" t="s">
        <v>1303</v>
      </c>
      <c r="H236" s="450">
        <v>7.5</v>
      </c>
      <c r="I236" s="432">
        <v>14</v>
      </c>
      <c r="J236" s="455">
        <v>20.8</v>
      </c>
      <c r="K236" s="446">
        <v>2000</v>
      </c>
      <c r="L236" s="907">
        <f t="shared" si="3"/>
        <v>65.52</v>
      </c>
      <c r="N236" s="471"/>
      <c r="O236" s="470"/>
      <c r="P236" s="439"/>
    </row>
    <row r="237" spans="5:16">
      <c r="E237" s="1216"/>
      <c r="F237" s="1022" t="s">
        <v>1442</v>
      </c>
      <c r="G237" s="450" t="s">
        <v>1301</v>
      </c>
      <c r="H237" s="450">
        <v>11</v>
      </c>
      <c r="I237" s="432">
        <v>14</v>
      </c>
      <c r="J237" s="455">
        <v>20.8</v>
      </c>
      <c r="K237" s="446">
        <v>2000</v>
      </c>
      <c r="L237" s="907">
        <f t="shared" si="3"/>
        <v>96.096000000000004</v>
      </c>
      <c r="N237" s="471"/>
      <c r="O237" s="470"/>
      <c r="P237" s="439"/>
    </row>
    <row r="238" spans="5:16">
      <c r="E238" s="1216"/>
      <c r="F238" s="1022" t="s">
        <v>1442</v>
      </c>
      <c r="G238" s="446" t="s">
        <v>1299</v>
      </c>
      <c r="H238" s="450">
        <v>11.5</v>
      </c>
      <c r="I238" s="432">
        <v>14</v>
      </c>
      <c r="J238" s="455">
        <v>20.8</v>
      </c>
      <c r="K238" s="446">
        <v>2000</v>
      </c>
      <c r="L238" s="907">
        <f t="shared" si="3"/>
        <v>100.464</v>
      </c>
      <c r="N238" s="471"/>
      <c r="O238" s="470"/>
      <c r="P238" s="439"/>
    </row>
    <row r="239" spans="5:16">
      <c r="E239" s="1216"/>
      <c r="F239" s="1020" t="s">
        <v>1443</v>
      </c>
      <c r="G239" s="916" t="s">
        <v>1303</v>
      </c>
      <c r="H239" s="916">
        <v>7.5</v>
      </c>
      <c r="I239" s="1058">
        <v>14</v>
      </c>
      <c r="J239" s="1052">
        <v>20.8</v>
      </c>
      <c r="K239" s="917">
        <v>2000</v>
      </c>
      <c r="L239" s="918">
        <f t="shared" si="3"/>
        <v>65.52</v>
      </c>
      <c r="N239" s="471"/>
      <c r="O239" s="470"/>
      <c r="P239" s="439"/>
    </row>
    <row r="240" spans="5:16">
      <c r="E240" s="1216"/>
      <c r="F240" s="1020" t="s">
        <v>1443</v>
      </c>
      <c r="G240" s="916" t="s">
        <v>1301</v>
      </c>
      <c r="H240" s="916">
        <v>11</v>
      </c>
      <c r="I240" s="1058">
        <v>14</v>
      </c>
      <c r="J240" s="1052">
        <v>20.8</v>
      </c>
      <c r="K240" s="917">
        <v>2000</v>
      </c>
      <c r="L240" s="918">
        <f t="shared" si="3"/>
        <v>96.096000000000004</v>
      </c>
      <c r="N240" s="471"/>
      <c r="O240" s="470"/>
      <c r="P240" s="439"/>
    </row>
    <row r="241" spans="5:16">
      <c r="E241" s="1216"/>
      <c r="F241" s="1020" t="s">
        <v>1443</v>
      </c>
      <c r="G241" s="917" t="s">
        <v>1299</v>
      </c>
      <c r="H241" s="917">
        <v>11.5</v>
      </c>
      <c r="I241" s="1058">
        <v>14</v>
      </c>
      <c r="J241" s="1052">
        <v>20.8</v>
      </c>
      <c r="K241" s="917">
        <v>2000</v>
      </c>
      <c r="L241" s="918">
        <f t="shared" si="3"/>
        <v>100.464</v>
      </c>
      <c r="N241" s="471"/>
      <c r="O241" s="470"/>
      <c r="P241" s="439"/>
    </row>
    <row r="242" spans="5:16">
      <c r="E242" s="1216"/>
      <c r="F242" s="1022" t="s">
        <v>1444</v>
      </c>
      <c r="G242" s="450" t="s">
        <v>1303</v>
      </c>
      <c r="H242" s="450">
        <v>7.5</v>
      </c>
      <c r="I242" s="432">
        <v>14</v>
      </c>
      <c r="J242" s="455">
        <v>20.8</v>
      </c>
      <c r="K242" s="446">
        <v>1000</v>
      </c>
      <c r="L242" s="907">
        <f t="shared" si="3"/>
        <v>131.04</v>
      </c>
      <c r="N242" s="471"/>
      <c r="O242" s="470"/>
      <c r="P242" s="439"/>
    </row>
    <row r="243" spans="5:16">
      <c r="E243" s="1216"/>
      <c r="F243" s="1022" t="s">
        <v>1444</v>
      </c>
      <c r="G243" s="450" t="s">
        <v>1301</v>
      </c>
      <c r="H243" s="450">
        <v>11</v>
      </c>
      <c r="I243" s="432">
        <v>14</v>
      </c>
      <c r="J243" s="455">
        <v>20.8</v>
      </c>
      <c r="K243" s="446">
        <v>1000</v>
      </c>
      <c r="L243" s="907">
        <f t="shared" si="3"/>
        <v>192.19200000000001</v>
      </c>
      <c r="N243" s="471"/>
      <c r="O243" s="470"/>
      <c r="P243" s="439"/>
    </row>
    <row r="244" spans="5:16">
      <c r="E244" s="1216"/>
      <c r="F244" s="1022" t="s">
        <v>1444</v>
      </c>
      <c r="G244" s="446" t="s">
        <v>1299</v>
      </c>
      <c r="H244" s="450">
        <v>11.5</v>
      </c>
      <c r="I244" s="432">
        <v>14</v>
      </c>
      <c r="J244" s="455">
        <v>20.8</v>
      </c>
      <c r="K244" s="446">
        <v>1000</v>
      </c>
      <c r="L244" s="907">
        <f t="shared" si="3"/>
        <v>200.928</v>
      </c>
    </row>
    <row r="245" spans="5:16">
      <c r="E245" s="1216"/>
      <c r="F245" s="1020" t="s">
        <v>1445</v>
      </c>
      <c r="G245" s="916" t="s">
        <v>1303</v>
      </c>
      <c r="H245" s="916">
        <v>7.5</v>
      </c>
      <c r="I245" s="1058">
        <v>14</v>
      </c>
      <c r="J245" s="1052">
        <v>20.8</v>
      </c>
      <c r="K245" s="917">
        <v>1000</v>
      </c>
      <c r="L245" s="918">
        <f t="shared" si="3"/>
        <v>131.04</v>
      </c>
    </row>
    <row r="246" spans="5:16">
      <c r="E246" s="1216"/>
      <c r="F246" s="1020" t="s">
        <v>1445</v>
      </c>
      <c r="G246" s="916" t="s">
        <v>1301</v>
      </c>
      <c r="H246" s="916">
        <v>11</v>
      </c>
      <c r="I246" s="1058">
        <v>14</v>
      </c>
      <c r="J246" s="1052">
        <v>20.8</v>
      </c>
      <c r="K246" s="917">
        <v>1000</v>
      </c>
      <c r="L246" s="918">
        <f t="shared" si="3"/>
        <v>192.19200000000001</v>
      </c>
    </row>
    <row r="247" spans="5:16">
      <c r="E247" s="1216"/>
      <c r="F247" s="1020" t="s">
        <v>1445</v>
      </c>
      <c r="G247" s="917" t="s">
        <v>1299</v>
      </c>
      <c r="H247" s="917">
        <v>11.5</v>
      </c>
      <c r="I247" s="1058">
        <v>14</v>
      </c>
      <c r="J247" s="1052">
        <v>20.8</v>
      </c>
      <c r="K247" s="917">
        <v>1000</v>
      </c>
      <c r="L247" s="918">
        <f t="shared" si="3"/>
        <v>200.928</v>
      </c>
    </row>
    <row r="248" spans="5:16">
      <c r="E248" s="1216"/>
      <c r="F248" s="1022" t="s">
        <v>1446</v>
      </c>
      <c r="G248" s="450" t="s">
        <v>1303</v>
      </c>
      <c r="H248" s="450">
        <v>7.5</v>
      </c>
      <c r="I248" s="432">
        <v>14</v>
      </c>
      <c r="J248" s="455">
        <v>20.8</v>
      </c>
      <c r="K248" s="446">
        <v>1000</v>
      </c>
      <c r="L248" s="907">
        <f t="shared" si="3"/>
        <v>131.04</v>
      </c>
    </row>
    <row r="249" spans="5:16">
      <c r="E249" s="1216"/>
      <c r="F249" s="1022" t="s">
        <v>1446</v>
      </c>
      <c r="G249" s="450" t="s">
        <v>1301</v>
      </c>
      <c r="H249" s="450">
        <v>11</v>
      </c>
      <c r="I249" s="432">
        <v>14</v>
      </c>
      <c r="J249" s="455">
        <v>20.8</v>
      </c>
      <c r="K249" s="446">
        <v>1000</v>
      </c>
      <c r="L249" s="907">
        <f t="shared" si="3"/>
        <v>192.19200000000001</v>
      </c>
    </row>
    <row r="250" spans="5:16">
      <c r="E250" s="1216"/>
      <c r="F250" s="1022" t="s">
        <v>1446</v>
      </c>
      <c r="G250" s="446" t="s">
        <v>1299</v>
      </c>
      <c r="H250" s="450">
        <v>11.5</v>
      </c>
      <c r="I250" s="432">
        <v>14</v>
      </c>
      <c r="J250" s="455">
        <v>20.8</v>
      </c>
      <c r="K250" s="446">
        <v>1000</v>
      </c>
      <c r="L250" s="907">
        <f t="shared" si="3"/>
        <v>200.928</v>
      </c>
    </row>
    <row r="251" spans="5:16">
      <c r="E251" s="1216"/>
      <c r="F251" s="1020" t="s">
        <v>1447</v>
      </c>
      <c r="G251" s="916" t="s">
        <v>1303</v>
      </c>
      <c r="H251" s="916">
        <v>7.5</v>
      </c>
      <c r="I251" s="1058">
        <v>14</v>
      </c>
      <c r="J251" s="1052">
        <v>20.8</v>
      </c>
      <c r="K251" s="917">
        <v>1000</v>
      </c>
      <c r="L251" s="918">
        <f t="shared" si="3"/>
        <v>131.04</v>
      </c>
    </row>
    <row r="252" spans="5:16">
      <c r="E252" s="1216"/>
      <c r="F252" s="1020" t="s">
        <v>1447</v>
      </c>
      <c r="G252" s="916" t="s">
        <v>1301</v>
      </c>
      <c r="H252" s="916">
        <v>11</v>
      </c>
      <c r="I252" s="1058">
        <v>14</v>
      </c>
      <c r="J252" s="1052">
        <v>20.8</v>
      </c>
      <c r="K252" s="917">
        <v>1000</v>
      </c>
      <c r="L252" s="918">
        <f t="shared" si="3"/>
        <v>192.19200000000001</v>
      </c>
    </row>
    <row r="253" spans="5:16">
      <c r="E253" s="1216"/>
      <c r="F253" s="1020" t="s">
        <v>1447</v>
      </c>
      <c r="G253" s="917" t="s">
        <v>1299</v>
      </c>
      <c r="H253" s="917">
        <v>11.5</v>
      </c>
      <c r="I253" s="1058">
        <v>14</v>
      </c>
      <c r="J253" s="1052">
        <v>20.8</v>
      </c>
      <c r="K253" s="917">
        <v>1000</v>
      </c>
      <c r="L253" s="918">
        <f t="shared" si="3"/>
        <v>200.928</v>
      </c>
    </row>
    <row r="254" spans="5:16">
      <c r="E254" s="1216"/>
      <c r="F254" s="1022" t="s">
        <v>1448</v>
      </c>
      <c r="G254" s="450" t="s">
        <v>1303</v>
      </c>
      <c r="H254" s="450">
        <v>7.5</v>
      </c>
      <c r="I254" s="432">
        <v>14</v>
      </c>
      <c r="J254" s="455">
        <v>20.8</v>
      </c>
      <c r="K254" s="446">
        <v>2000</v>
      </c>
      <c r="L254" s="907">
        <f t="shared" si="3"/>
        <v>65.52</v>
      </c>
    </row>
    <row r="255" spans="5:16">
      <c r="E255" s="1216"/>
      <c r="F255" s="1022" t="s">
        <v>1448</v>
      </c>
      <c r="G255" s="450" t="s">
        <v>1301</v>
      </c>
      <c r="H255" s="450">
        <v>11</v>
      </c>
      <c r="I255" s="432">
        <v>14</v>
      </c>
      <c r="J255" s="455">
        <v>20.8</v>
      </c>
      <c r="K255" s="446">
        <v>2000</v>
      </c>
      <c r="L255" s="907">
        <f t="shared" si="3"/>
        <v>96.096000000000004</v>
      </c>
    </row>
    <row r="256" spans="5:16">
      <c r="E256" s="1216"/>
      <c r="F256" s="1022" t="s">
        <v>1448</v>
      </c>
      <c r="G256" s="446" t="s">
        <v>1299</v>
      </c>
      <c r="H256" s="450">
        <v>11.5</v>
      </c>
      <c r="I256" s="432">
        <v>14</v>
      </c>
      <c r="J256" s="455">
        <v>20.8</v>
      </c>
      <c r="K256" s="446">
        <v>2000</v>
      </c>
      <c r="L256" s="907">
        <f t="shared" si="3"/>
        <v>100.464</v>
      </c>
    </row>
    <row r="257" spans="5:16">
      <c r="E257" s="1216"/>
      <c r="F257" s="1020" t="s">
        <v>1449</v>
      </c>
      <c r="G257" s="916" t="s">
        <v>1303</v>
      </c>
      <c r="H257" s="916">
        <v>7.5</v>
      </c>
      <c r="I257" s="1058">
        <v>14</v>
      </c>
      <c r="J257" s="1052">
        <v>20.8</v>
      </c>
      <c r="K257" s="917">
        <v>1000</v>
      </c>
      <c r="L257" s="918">
        <f t="shared" si="3"/>
        <v>131.04</v>
      </c>
    </row>
    <row r="258" spans="5:16">
      <c r="E258" s="1216"/>
      <c r="F258" s="1020" t="s">
        <v>1449</v>
      </c>
      <c r="G258" s="916" t="s">
        <v>1301</v>
      </c>
      <c r="H258" s="916">
        <v>11</v>
      </c>
      <c r="I258" s="1058">
        <v>14</v>
      </c>
      <c r="J258" s="1052">
        <v>20.8</v>
      </c>
      <c r="K258" s="917">
        <v>1000</v>
      </c>
      <c r="L258" s="918">
        <f t="shared" si="3"/>
        <v>192.19200000000001</v>
      </c>
    </row>
    <row r="259" spans="5:16">
      <c r="E259" s="1216"/>
      <c r="F259" s="1020" t="s">
        <v>1449</v>
      </c>
      <c r="G259" s="917" t="s">
        <v>1299</v>
      </c>
      <c r="H259" s="917">
        <v>11.5</v>
      </c>
      <c r="I259" s="1058">
        <v>14</v>
      </c>
      <c r="J259" s="1052">
        <v>20.8</v>
      </c>
      <c r="K259" s="917">
        <v>1000</v>
      </c>
      <c r="L259" s="918">
        <f t="shared" ref="L259:L316" si="4">I259*J259*60*H259/K259</f>
        <v>200.928</v>
      </c>
    </row>
    <row r="260" spans="5:16">
      <c r="E260" s="1216"/>
      <c r="F260" s="1022" t="s">
        <v>1450</v>
      </c>
      <c r="G260" s="450" t="s">
        <v>1303</v>
      </c>
      <c r="H260" s="450">
        <v>7.5</v>
      </c>
      <c r="I260" s="432">
        <v>14</v>
      </c>
      <c r="J260" s="455">
        <v>20.8</v>
      </c>
      <c r="K260" s="446">
        <v>1000</v>
      </c>
      <c r="L260" s="907">
        <f t="shared" si="4"/>
        <v>131.04</v>
      </c>
    </row>
    <row r="261" spans="5:16">
      <c r="E261" s="1216"/>
      <c r="F261" s="1022" t="s">
        <v>1450</v>
      </c>
      <c r="G261" s="450" t="s">
        <v>1301</v>
      </c>
      <c r="H261" s="450">
        <v>11</v>
      </c>
      <c r="I261" s="432">
        <v>14</v>
      </c>
      <c r="J261" s="455">
        <v>20.8</v>
      </c>
      <c r="K261" s="446">
        <v>1000</v>
      </c>
      <c r="L261" s="907">
        <f t="shared" si="4"/>
        <v>192.19200000000001</v>
      </c>
    </row>
    <row r="262" spans="5:16">
      <c r="E262" s="1216"/>
      <c r="F262" s="1022" t="s">
        <v>1450</v>
      </c>
      <c r="G262" s="446" t="s">
        <v>1299</v>
      </c>
      <c r="H262" s="450">
        <v>11.5</v>
      </c>
      <c r="I262" s="432">
        <v>14</v>
      </c>
      <c r="J262" s="455">
        <v>20.8</v>
      </c>
      <c r="K262" s="446">
        <v>1000</v>
      </c>
      <c r="L262" s="907">
        <f t="shared" si="4"/>
        <v>200.928</v>
      </c>
    </row>
    <row r="263" spans="5:16">
      <c r="E263" s="1216"/>
      <c r="F263" s="1020" t="s">
        <v>1451</v>
      </c>
      <c r="G263" s="916" t="s">
        <v>1303</v>
      </c>
      <c r="H263" s="916">
        <v>7.5</v>
      </c>
      <c r="I263" s="1058">
        <v>14</v>
      </c>
      <c r="J263" s="1052">
        <v>20.8</v>
      </c>
      <c r="K263" s="917">
        <v>1000</v>
      </c>
      <c r="L263" s="918">
        <f t="shared" si="4"/>
        <v>131.04</v>
      </c>
    </row>
    <row r="264" spans="5:16">
      <c r="E264" s="1216"/>
      <c r="F264" s="1020" t="s">
        <v>1451</v>
      </c>
      <c r="G264" s="916" t="s">
        <v>1301</v>
      </c>
      <c r="H264" s="916">
        <v>11</v>
      </c>
      <c r="I264" s="1058">
        <v>14</v>
      </c>
      <c r="J264" s="1052">
        <v>20.8</v>
      </c>
      <c r="K264" s="917">
        <v>1000</v>
      </c>
      <c r="L264" s="918">
        <f t="shared" si="4"/>
        <v>192.19200000000001</v>
      </c>
    </row>
    <row r="265" spans="5:16">
      <c r="E265" s="1216"/>
      <c r="F265" s="1020" t="s">
        <v>1451</v>
      </c>
      <c r="G265" s="917" t="s">
        <v>1299</v>
      </c>
      <c r="H265" s="917">
        <v>11.5</v>
      </c>
      <c r="I265" s="1058">
        <v>14</v>
      </c>
      <c r="J265" s="1052">
        <v>20.8</v>
      </c>
      <c r="K265" s="917">
        <v>1000</v>
      </c>
      <c r="L265" s="918">
        <f t="shared" si="4"/>
        <v>200.928</v>
      </c>
    </row>
    <row r="266" spans="5:16">
      <c r="E266" s="1216"/>
      <c r="F266" s="1022" t="s">
        <v>1486</v>
      </c>
      <c r="G266" s="450" t="s">
        <v>1303</v>
      </c>
      <c r="H266" s="450">
        <v>7.5</v>
      </c>
      <c r="I266" s="432">
        <v>33</v>
      </c>
      <c r="J266" s="455">
        <v>21.6</v>
      </c>
      <c r="K266" s="446">
        <v>2500</v>
      </c>
      <c r="L266" s="907">
        <f t="shared" si="4"/>
        <v>128.30400000000003</v>
      </c>
    </row>
    <row r="267" spans="5:16">
      <c r="E267" s="1216"/>
      <c r="F267" s="1022" t="s">
        <v>1486</v>
      </c>
      <c r="G267" s="450" t="s">
        <v>1301</v>
      </c>
      <c r="H267" s="450">
        <v>11</v>
      </c>
      <c r="I267" s="432">
        <v>33</v>
      </c>
      <c r="J267" s="455">
        <v>21.6</v>
      </c>
      <c r="K267" s="446">
        <v>2500</v>
      </c>
      <c r="L267" s="907">
        <f t="shared" si="4"/>
        <v>188.17920000000004</v>
      </c>
    </row>
    <row r="268" spans="5:16">
      <c r="E268" s="1216"/>
      <c r="F268" s="1022" t="s">
        <v>1486</v>
      </c>
      <c r="G268" s="446" t="s">
        <v>1299</v>
      </c>
      <c r="H268" s="450">
        <v>11.5</v>
      </c>
      <c r="I268" s="432">
        <v>33</v>
      </c>
      <c r="J268" s="455">
        <v>21.6</v>
      </c>
      <c r="K268" s="446">
        <v>2500</v>
      </c>
      <c r="L268" s="907">
        <f t="shared" si="4"/>
        <v>196.73280000000003</v>
      </c>
    </row>
    <row r="269" spans="5:16">
      <c r="E269" s="1216"/>
      <c r="F269" s="1020" t="s">
        <v>1487</v>
      </c>
      <c r="G269" s="916" t="s">
        <v>1303</v>
      </c>
      <c r="H269" s="916">
        <v>7.5</v>
      </c>
      <c r="I269" s="1058">
        <v>33</v>
      </c>
      <c r="J269" s="1052">
        <v>19.2</v>
      </c>
      <c r="K269" s="917">
        <v>2500</v>
      </c>
      <c r="L269" s="918">
        <f t="shared" si="4"/>
        <v>114.048</v>
      </c>
    </row>
    <row r="270" spans="5:16">
      <c r="E270" s="1216"/>
      <c r="F270" s="1020" t="s">
        <v>1487</v>
      </c>
      <c r="G270" s="916" t="s">
        <v>1301</v>
      </c>
      <c r="H270" s="916">
        <v>11</v>
      </c>
      <c r="I270" s="1058">
        <v>33</v>
      </c>
      <c r="J270" s="1052">
        <v>19.2</v>
      </c>
      <c r="K270" s="917">
        <v>2500</v>
      </c>
      <c r="L270" s="918">
        <f t="shared" si="4"/>
        <v>167.2704</v>
      </c>
    </row>
    <row r="271" spans="5:16">
      <c r="E271" s="1165"/>
      <c r="F271" s="1024" t="s">
        <v>1487</v>
      </c>
      <c r="G271" s="921" t="s">
        <v>1299</v>
      </c>
      <c r="H271" s="921">
        <v>11.5</v>
      </c>
      <c r="I271" s="1059">
        <v>33</v>
      </c>
      <c r="J271" s="1056">
        <v>19.2</v>
      </c>
      <c r="K271" s="921">
        <v>2500</v>
      </c>
      <c r="L271" s="922">
        <f t="shared" si="4"/>
        <v>174.87360000000001</v>
      </c>
    </row>
    <row r="272" spans="5:16">
      <c r="E272" s="1274">
        <v>304</v>
      </c>
      <c r="F272" s="1019" t="s">
        <v>1427</v>
      </c>
      <c r="G272" s="904" t="s">
        <v>1303</v>
      </c>
      <c r="H272" s="904">
        <v>7.5</v>
      </c>
      <c r="I272" s="1046">
        <v>14</v>
      </c>
      <c r="J272" s="1047">
        <v>20</v>
      </c>
      <c r="K272" s="866">
        <v>1000</v>
      </c>
      <c r="L272" s="905">
        <f t="shared" si="4"/>
        <v>126</v>
      </c>
      <c r="N272" s="471"/>
      <c r="O272" s="470"/>
      <c r="P272" s="439"/>
    </row>
    <row r="273" spans="2:16">
      <c r="E273" s="1274"/>
      <c r="F273" s="1022" t="s">
        <v>1427</v>
      </c>
      <c r="G273" s="450" t="s">
        <v>1301</v>
      </c>
      <c r="H273" s="450">
        <v>11</v>
      </c>
      <c r="I273" s="432">
        <v>14</v>
      </c>
      <c r="J273" s="455">
        <v>20</v>
      </c>
      <c r="K273" s="446">
        <v>1000</v>
      </c>
      <c r="L273" s="907">
        <f t="shared" si="4"/>
        <v>184.8</v>
      </c>
      <c r="N273" s="471"/>
      <c r="O273" s="470"/>
      <c r="P273" s="439"/>
    </row>
    <row r="274" spans="2:16">
      <c r="E274" s="1274"/>
      <c r="F274" s="1022" t="s">
        <v>1427</v>
      </c>
      <c r="G274" s="446" t="s">
        <v>1299</v>
      </c>
      <c r="H274" s="450">
        <v>11.5</v>
      </c>
      <c r="I274" s="432">
        <v>14</v>
      </c>
      <c r="J274" s="455">
        <v>20</v>
      </c>
      <c r="K274" s="446">
        <v>1000</v>
      </c>
      <c r="L274" s="907">
        <f t="shared" si="4"/>
        <v>193.2</v>
      </c>
      <c r="N274" s="471"/>
      <c r="O274" s="470"/>
      <c r="P274" s="439"/>
    </row>
    <row r="275" spans="2:16">
      <c r="E275" s="1274"/>
      <c r="F275" s="1020" t="s">
        <v>1435</v>
      </c>
      <c r="G275" s="916" t="s">
        <v>1303</v>
      </c>
      <c r="H275" s="916">
        <v>7.5</v>
      </c>
      <c r="I275" s="1058">
        <v>14</v>
      </c>
      <c r="J275" s="1052">
        <v>21</v>
      </c>
      <c r="K275" s="917">
        <v>1000</v>
      </c>
      <c r="L275" s="918">
        <f t="shared" si="4"/>
        <v>132.30000000000001</v>
      </c>
      <c r="N275" s="471"/>
      <c r="O275" s="470"/>
      <c r="P275" s="439"/>
    </row>
    <row r="276" spans="2:16">
      <c r="E276" s="1274"/>
      <c r="F276" s="1020" t="s">
        <v>1435</v>
      </c>
      <c r="G276" s="916" t="s">
        <v>1301</v>
      </c>
      <c r="H276" s="916">
        <v>11</v>
      </c>
      <c r="I276" s="1058">
        <v>14</v>
      </c>
      <c r="J276" s="1052">
        <v>21</v>
      </c>
      <c r="K276" s="917">
        <v>1000</v>
      </c>
      <c r="L276" s="918">
        <f t="shared" si="4"/>
        <v>194.04</v>
      </c>
      <c r="N276" s="471"/>
      <c r="O276" s="470"/>
      <c r="P276" s="439"/>
    </row>
    <row r="277" spans="2:16">
      <c r="E277" s="1274"/>
      <c r="F277" s="1020" t="s">
        <v>1435</v>
      </c>
      <c r="G277" s="917" t="s">
        <v>1299</v>
      </c>
      <c r="H277" s="917">
        <v>11.5</v>
      </c>
      <c r="I277" s="1058">
        <v>14</v>
      </c>
      <c r="J277" s="1052">
        <v>21</v>
      </c>
      <c r="K277" s="917">
        <v>1000</v>
      </c>
      <c r="L277" s="918">
        <f t="shared" si="4"/>
        <v>202.86</v>
      </c>
      <c r="N277" s="471"/>
      <c r="O277" s="470"/>
      <c r="P277" s="439"/>
    </row>
    <row r="278" spans="2:16">
      <c r="E278" s="1274"/>
      <c r="F278" s="1022" t="s">
        <v>1432</v>
      </c>
      <c r="G278" s="450" t="s">
        <v>1303</v>
      </c>
      <c r="H278" s="450">
        <v>7.5</v>
      </c>
      <c r="I278" s="432">
        <v>14</v>
      </c>
      <c r="J278" s="455">
        <v>21</v>
      </c>
      <c r="K278" s="446">
        <v>1000</v>
      </c>
      <c r="L278" s="907">
        <f t="shared" si="4"/>
        <v>132.30000000000001</v>
      </c>
      <c r="N278" s="471"/>
      <c r="O278" s="470"/>
      <c r="P278" s="439"/>
    </row>
    <row r="279" spans="2:16">
      <c r="E279" s="1274"/>
      <c r="F279" s="1022" t="s">
        <v>1432</v>
      </c>
      <c r="G279" s="450" t="s">
        <v>1301</v>
      </c>
      <c r="H279" s="450">
        <v>11</v>
      </c>
      <c r="I279" s="432">
        <v>14</v>
      </c>
      <c r="J279" s="455">
        <v>21</v>
      </c>
      <c r="K279" s="446">
        <v>1000</v>
      </c>
      <c r="L279" s="907">
        <f t="shared" si="4"/>
        <v>194.04</v>
      </c>
      <c r="N279" s="471"/>
      <c r="O279" s="470"/>
      <c r="P279" s="439"/>
    </row>
    <row r="280" spans="2:16">
      <c r="B280" s="76"/>
      <c r="E280" s="1274"/>
      <c r="F280" s="1022" t="s">
        <v>1432</v>
      </c>
      <c r="G280" s="446" t="s">
        <v>1299</v>
      </c>
      <c r="H280" s="450">
        <v>11.5</v>
      </c>
      <c r="I280" s="432">
        <v>14</v>
      </c>
      <c r="J280" s="455">
        <v>21</v>
      </c>
      <c r="K280" s="446">
        <v>1000</v>
      </c>
      <c r="L280" s="907">
        <f t="shared" si="4"/>
        <v>202.86</v>
      </c>
    </row>
    <row r="281" spans="2:16">
      <c r="B281" s="430"/>
      <c r="E281" s="1274"/>
      <c r="F281" s="1020" t="s">
        <v>1436</v>
      </c>
      <c r="G281" s="916" t="s">
        <v>1303</v>
      </c>
      <c r="H281" s="916">
        <v>7.5</v>
      </c>
      <c r="I281" s="1058">
        <v>14</v>
      </c>
      <c r="J281" s="1052">
        <v>21</v>
      </c>
      <c r="K281" s="917">
        <v>1000</v>
      </c>
      <c r="L281" s="918">
        <f t="shared" si="4"/>
        <v>132.30000000000001</v>
      </c>
    </row>
    <row r="282" spans="2:16">
      <c r="B282" s="430"/>
      <c r="E282" s="1274"/>
      <c r="F282" s="1020" t="s">
        <v>1436</v>
      </c>
      <c r="G282" s="916" t="s">
        <v>1301</v>
      </c>
      <c r="H282" s="916">
        <v>11</v>
      </c>
      <c r="I282" s="1058">
        <v>14</v>
      </c>
      <c r="J282" s="1052">
        <v>21</v>
      </c>
      <c r="K282" s="917">
        <v>1000</v>
      </c>
      <c r="L282" s="918">
        <f t="shared" si="4"/>
        <v>194.04</v>
      </c>
    </row>
    <row r="283" spans="2:16">
      <c r="B283" s="430"/>
      <c r="E283" s="1274"/>
      <c r="F283" s="1020" t="s">
        <v>1436</v>
      </c>
      <c r="G283" s="917" t="s">
        <v>1299</v>
      </c>
      <c r="H283" s="917">
        <v>11.5</v>
      </c>
      <c r="I283" s="1058">
        <v>14</v>
      </c>
      <c r="J283" s="1052">
        <v>21</v>
      </c>
      <c r="K283" s="917">
        <v>1000</v>
      </c>
      <c r="L283" s="918">
        <f t="shared" si="4"/>
        <v>202.86</v>
      </c>
    </row>
    <row r="284" spans="2:16">
      <c r="B284" s="430"/>
      <c r="E284" s="1274"/>
      <c r="F284" s="1022" t="s">
        <v>1437</v>
      </c>
      <c r="G284" s="450" t="s">
        <v>1303</v>
      </c>
      <c r="H284" s="450">
        <v>7.5</v>
      </c>
      <c r="I284" s="432">
        <v>14</v>
      </c>
      <c r="J284" s="455">
        <v>20</v>
      </c>
      <c r="K284" s="446">
        <v>1000</v>
      </c>
      <c r="L284" s="907">
        <f t="shared" si="4"/>
        <v>126</v>
      </c>
    </row>
    <row r="285" spans="2:16">
      <c r="B285" s="430"/>
      <c r="E285" s="1274"/>
      <c r="F285" s="1022" t="s">
        <v>1437</v>
      </c>
      <c r="G285" s="450" t="s">
        <v>1301</v>
      </c>
      <c r="H285" s="450">
        <v>11</v>
      </c>
      <c r="I285" s="432">
        <v>14</v>
      </c>
      <c r="J285" s="455">
        <v>20</v>
      </c>
      <c r="K285" s="446">
        <v>1000</v>
      </c>
      <c r="L285" s="907">
        <f t="shared" si="4"/>
        <v>184.8</v>
      </c>
    </row>
    <row r="286" spans="2:16">
      <c r="B286" s="430"/>
      <c r="E286" s="1274"/>
      <c r="F286" s="1022" t="s">
        <v>1437</v>
      </c>
      <c r="G286" s="446" t="s">
        <v>1299</v>
      </c>
      <c r="H286" s="450">
        <v>11.5</v>
      </c>
      <c r="I286" s="432">
        <v>14</v>
      </c>
      <c r="J286" s="455">
        <v>20</v>
      </c>
      <c r="K286" s="446">
        <v>1000</v>
      </c>
      <c r="L286" s="907">
        <f t="shared" si="4"/>
        <v>193.2</v>
      </c>
    </row>
    <row r="287" spans="2:16">
      <c r="B287" s="430"/>
      <c r="E287" s="1274"/>
      <c r="F287" s="1020" t="s">
        <v>1438</v>
      </c>
      <c r="G287" s="916" t="s">
        <v>1303</v>
      </c>
      <c r="H287" s="916">
        <v>7.5</v>
      </c>
      <c r="I287" s="1058">
        <v>21</v>
      </c>
      <c r="J287" s="1052">
        <v>28</v>
      </c>
      <c r="K287" s="917">
        <v>1000</v>
      </c>
      <c r="L287" s="918">
        <f t="shared" si="4"/>
        <v>264.60000000000002</v>
      </c>
    </row>
    <row r="288" spans="2:16">
      <c r="B288" s="430"/>
      <c r="E288" s="1274"/>
      <c r="F288" s="1020" t="s">
        <v>1438</v>
      </c>
      <c r="G288" s="916" t="s">
        <v>1301</v>
      </c>
      <c r="H288" s="916">
        <v>11</v>
      </c>
      <c r="I288" s="1058">
        <v>21</v>
      </c>
      <c r="J288" s="1052">
        <v>28</v>
      </c>
      <c r="K288" s="917">
        <v>1000</v>
      </c>
      <c r="L288" s="918">
        <f t="shared" si="4"/>
        <v>388.08</v>
      </c>
    </row>
    <row r="289" spans="2:16">
      <c r="B289" s="430"/>
      <c r="E289" s="1274"/>
      <c r="F289" s="1020" t="s">
        <v>1438</v>
      </c>
      <c r="G289" s="917" t="s">
        <v>1299</v>
      </c>
      <c r="H289" s="917">
        <v>11.5</v>
      </c>
      <c r="I289" s="1058">
        <v>21</v>
      </c>
      <c r="J289" s="1052">
        <v>28</v>
      </c>
      <c r="K289" s="917">
        <v>1000</v>
      </c>
      <c r="L289" s="918">
        <f t="shared" si="4"/>
        <v>405.72</v>
      </c>
    </row>
    <row r="290" spans="2:16">
      <c r="B290" s="430"/>
      <c r="E290" s="1274"/>
      <c r="F290" s="1022" t="s">
        <v>1439</v>
      </c>
      <c r="G290" s="450" t="s">
        <v>1303</v>
      </c>
      <c r="H290" s="450">
        <v>7.5</v>
      </c>
      <c r="I290" s="432">
        <v>21</v>
      </c>
      <c r="J290" s="455">
        <v>28</v>
      </c>
      <c r="K290" s="446">
        <v>1000</v>
      </c>
      <c r="L290" s="907">
        <f t="shared" si="4"/>
        <v>264.60000000000002</v>
      </c>
    </row>
    <row r="291" spans="2:16">
      <c r="B291" s="430"/>
      <c r="E291" s="1274"/>
      <c r="F291" s="1022" t="s">
        <v>1439</v>
      </c>
      <c r="G291" s="450" t="s">
        <v>1301</v>
      </c>
      <c r="H291" s="450">
        <v>11</v>
      </c>
      <c r="I291" s="432">
        <v>21</v>
      </c>
      <c r="J291" s="455">
        <v>28</v>
      </c>
      <c r="K291" s="446">
        <v>1000</v>
      </c>
      <c r="L291" s="907">
        <f t="shared" si="4"/>
        <v>388.08</v>
      </c>
    </row>
    <row r="292" spans="2:16">
      <c r="B292" s="430"/>
      <c r="E292" s="1274"/>
      <c r="F292" s="1022" t="s">
        <v>1439</v>
      </c>
      <c r="G292" s="446" t="s">
        <v>1299</v>
      </c>
      <c r="H292" s="450">
        <v>11.5</v>
      </c>
      <c r="I292" s="432">
        <v>21</v>
      </c>
      <c r="J292" s="455">
        <v>28</v>
      </c>
      <c r="K292" s="446">
        <v>1000</v>
      </c>
      <c r="L292" s="907">
        <f t="shared" si="4"/>
        <v>405.72</v>
      </c>
    </row>
    <row r="293" spans="2:16">
      <c r="B293" s="430"/>
      <c r="E293" s="1274"/>
      <c r="F293" s="1020" t="s">
        <v>1424</v>
      </c>
      <c r="G293" s="916" t="s">
        <v>1303</v>
      </c>
      <c r="H293" s="916">
        <v>7.5</v>
      </c>
      <c r="I293" s="1058">
        <v>21</v>
      </c>
      <c r="J293" s="1052">
        <v>28</v>
      </c>
      <c r="K293" s="917">
        <v>1000</v>
      </c>
      <c r="L293" s="918">
        <f t="shared" si="4"/>
        <v>264.60000000000002</v>
      </c>
    </row>
    <row r="294" spans="2:16">
      <c r="B294" s="430"/>
      <c r="E294" s="1274"/>
      <c r="F294" s="1020" t="s">
        <v>1424</v>
      </c>
      <c r="G294" s="916" t="s">
        <v>1301</v>
      </c>
      <c r="H294" s="916">
        <v>11</v>
      </c>
      <c r="I294" s="1058">
        <v>21</v>
      </c>
      <c r="J294" s="1052">
        <v>28</v>
      </c>
      <c r="K294" s="917">
        <v>1000</v>
      </c>
      <c r="L294" s="918">
        <f t="shared" si="4"/>
        <v>388.08</v>
      </c>
    </row>
    <row r="295" spans="2:16">
      <c r="E295" s="1274"/>
      <c r="F295" s="1024" t="s">
        <v>1424</v>
      </c>
      <c r="G295" s="921" t="s">
        <v>1299</v>
      </c>
      <c r="H295" s="921">
        <v>11.5</v>
      </c>
      <c r="I295" s="1059">
        <v>21</v>
      </c>
      <c r="J295" s="1056">
        <v>28</v>
      </c>
      <c r="K295" s="921">
        <v>1000</v>
      </c>
      <c r="L295" s="922">
        <f t="shared" si="4"/>
        <v>405.72</v>
      </c>
    </row>
    <row r="296" spans="2:16">
      <c r="E296" s="1886">
        <v>305</v>
      </c>
      <c r="F296" s="1019" t="s">
        <v>1423</v>
      </c>
      <c r="G296" s="904" t="s">
        <v>1303</v>
      </c>
      <c r="H296" s="904">
        <v>7.5</v>
      </c>
      <c r="I296" s="1046">
        <v>21</v>
      </c>
      <c r="J296" s="1047">
        <v>28</v>
      </c>
      <c r="K296" s="866">
        <v>1000</v>
      </c>
      <c r="L296" s="905">
        <f t="shared" si="4"/>
        <v>264.60000000000002</v>
      </c>
      <c r="N296" s="471"/>
      <c r="O296" s="470"/>
      <c r="P296" s="439"/>
    </row>
    <row r="297" spans="2:16">
      <c r="E297" s="1886"/>
      <c r="F297" s="1022" t="s">
        <v>1423</v>
      </c>
      <c r="G297" s="450" t="s">
        <v>1301</v>
      </c>
      <c r="H297" s="450">
        <v>11</v>
      </c>
      <c r="I297" s="432">
        <v>21</v>
      </c>
      <c r="J297" s="455">
        <v>28</v>
      </c>
      <c r="K297" s="446">
        <v>1000</v>
      </c>
      <c r="L297" s="907">
        <f t="shared" si="4"/>
        <v>388.08</v>
      </c>
      <c r="N297" s="471"/>
      <c r="O297" s="470"/>
      <c r="P297" s="439"/>
    </row>
    <row r="298" spans="2:16">
      <c r="E298" s="1886"/>
      <c r="F298" s="1022" t="s">
        <v>1423</v>
      </c>
      <c r="G298" s="446" t="s">
        <v>1299</v>
      </c>
      <c r="H298" s="450">
        <v>11.5</v>
      </c>
      <c r="I298" s="432">
        <v>21</v>
      </c>
      <c r="J298" s="455">
        <v>28</v>
      </c>
      <c r="K298" s="446">
        <v>1000</v>
      </c>
      <c r="L298" s="907">
        <f t="shared" si="4"/>
        <v>405.72</v>
      </c>
      <c r="N298" s="471"/>
      <c r="O298" s="470"/>
      <c r="P298" s="439"/>
    </row>
    <row r="299" spans="2:16">
      <c r="E299" s="1886"/>
      <c r="F299" s="1020" t="s">
        <v>506</v>
      </c>
      <c r="G299" s="916" t="s">
        <v>1303</v>
      </c>
      <c r="H299" s="916">
        <v>7.5</v>
      </c>
      <c r="I299" s="1058">
        <v>21</v>
      </c>
      <c r="J299" s="1052">
        <v>28</v>
      </c>
      <c r="K299" s="917">
        <v>1000</v>
      </c>
      <c r="L299" s="918">
        <f t="shared" si="4"/>
        <v>264.60000000000002</v>
      </c>
      <c r="N299" s="471"/>
      <c r="O299" s="470"/>
      <c r="P299" s="439"/>
    </row>
    <row r="300" spans="2:16">
      <c r="E300" s="1886"/>
      <c r="F300" s="1020" t="s">
        <v>506</v>
      </c>
      <c r="G300" s="916" t="s">
        <v>1301</v>
      </c>
      <c r="H300" s="916">
        <v>11</v>
      </c>
      <c r="I300" s="1058">
        <v>21</v>
      </c>
      <c r="J300" s="1052">
        <v>28</v>
      </c>
      <c r="K300" s="917">
        <v>1000</v>
      </c>
      <c r="L300" s="918">
        <f t="shared" si="4"/>
        <v>388.08</v>
      </c>
      <c r="N300" s="471"/>
      <c r="O300" s="470"/>
      <c r="P300" s="439"/>
    </row>
    <row r="301" spans="2:16">
      <c r="E301" s="1886"/>
      <c r="F301" s="1020" t="s">
        <v>506</v>
      </c>
      <c r="G301" s="917" t="s">
        <v>1299</v>
      </c>
      <c r="H301" s="917">
        <v>11.5</v>
      </c>
      <c r="I301" s="1058">
        <v>21</v>
      </c>
      <c r="J301" s="1052">
        <v>28</v>
      </c>
      <c r="K301" s="917">
        <v>1000</v>
      </c>
      <c r="L301" s="918">
        <f t="shared" si="4"/>
        <v>405.72</v>
      </c>
      <c r="N301" s="471"/>
      <c r="O301" s="470"/>
      <c r="P301" s="439"/>
    </row>
    <row r="302" spans="2:16">
      <c r="E302" s="1886"/>
      <c r="F302" s="1022" t="s">
        <v>1424</v>
      </c>
      <c r="G302" s="450" t="s">
        <v>1303</v>
      </c>
      <c r="H302" s="450">
        <v>7.5</v>
      </c>
      <c r="I302" s="432">
        <v>21</v>
      </c>
      <c r="J302" s="455">
        <v>28</v>
      </c>
      <c r="K302" s="446">
        <v>1000</v>
      </c>
      <c r="L302" s="907">
        <f t="shared" si="4"/>
        <v>264.60000000000002</v>
      </c>
      <c r="N302" s="471"/>
      <c r="O302" s="470"/>
      <c r="P302" s="439"/>
    </row>
    <row r="303" spans="2:16">
      <c r="E303" s="1886"/>
      <c r="F303" s="1022" t="s">
        <v>1424</v>
      </c>
      <c r="G303" s="450" t="s">
        <v>1301</v>
      </c>
      <c r="H303" s="450">
        <v>11</v>
      </c>
      <c r="I303" s="432">
        <v>21</v>
      </c>
      <c r="J303" s="455">
        <v>28</v>
      </c>
      <c r="K303" s="446">
        <v>1000</v>
      </c>
      <c r="L303" s="907">
        <f t="shared" si="4"/>
        <v>388.08</v>
      </c>
    </row>
    <row r="304" spans="2:16">
      <c r="E304" s="1886"/>
      <c r="F304" s="1022" t="s">
        <v>1424</v>
      </c>
      <c r="G304" s="446" t="s">
        <v>1299</v>
      </c>
      <c r="H304" s="450">
        <v>11.5</v>
      </c>
      <c r="I304" s="432">
        <v>21</v>
      </c>
      <c r="J304" s="455">
        <v>28</v>
      </c>
      <c r="K304" s="446">
        <v>1000</v>
      </c>
      <c r="L304" s="907">
        <f t="shared" si="4"/>
        <v>405.72</v>
      </c>
    </row>
    <row r="305" spans="5:12">
      <c r="E305" s="1886"/>
      <c r="F305" s="1020" t="s">
        <v>1426</v>
      </c>
      <c r="G305" s="916" t="s">
        <v>1303</v>
      </c>
      <c r="H305" s="916">
        <v>7.5</v>
      </c>
      <c r="I305" s="1058">
        <v>14</v>
      </c>
      <c r="J305" s="1052">
        <v>20</v>
      </c>
      <c r="K305" s="917">
        <v>1000</v>
      </c>
      <c r="L305" s="918">
        <f t="shared" si="4"/>
        <v>126</v>
      </c>
    </row>
    <row r="306" spans="5:12">
      <c r="E306" s="1886"/>
      <c r="F306" s="1020" t="s">
        <v>1426</v>
      </c>
      <c r="G306" s="916" t="s">
        <v>1301</v>
      </c>
      <c r="H306" s="916">
        <v>11</v>
      </c>
      <c r="I306" s="1058">
        <v>14</v>
      </c>
      <c r="J306" s="1052">
        <v>20</v>
      </c>
      <c r="K306" s="917">
        <v>1000</v>
      </c>
      <c r="L306" s="918">
        <f t="shared" si="4"/>
        <v>184.8</v>
      </c>
    </row>
    <row r="307" spans="5:12">
      <c r="E307" s="1886"/>
      <c r="F307" s="1020" t="s">
        <v>1426</v>
      </c>
      <c r="G307" s="917" t="s">
        <v>1299</v>
      </c>
      <c r="H307" s="917">
        <v>11.5</v>
      </c>
      <c r="I307" s="1058">
        <v>14</v>
      </c>
      <c r="J307" s="1052">
        <v>20</v>
      </c>
      <c r="K307" s="917">
        <v>1000</v>
      </c>
      <c r="L307" s="918">
        <f t="shared" si="4"/>
        <v>193.2</v>
      </c>
    </row>
    <row r="308" spans="5:12">
      <c r="E308" s="1886"/>
      <c r="F308" s="1022" t="s">
        <v>1428</v>
      </c>
      <c r="G308" s="450" t="s">
        <v>1303</v>
      </c>
      <c r="H308" s="450">
        <v>7.5</v>
      </c>
      <c r="I308" s="432">
        <v>14</v>
      </c>
      <c r="J308" s="455">
        <v>21</v>
      </c>
      <c r="K308" s="446">
        <v>1000</v>
      </c>
      <c r="L308" s="907">
        <f t="shared" si="4"/>
        <v>132.30000000000001</v>
      </c>
    </row>
    <row r="309" spans="5:12">
      <c r="E309" s="1886"/>
      <c r="F309" s="1022" t="s">
        <v>1428</v>
      </c>
      <c r="G309" s="450" t="s">
        <v>1301</v>
      </c>
      <c r="H309" s="450">
        <v>11</v>
      </c>
      <c r="I309" s="432">
        <v>14</v>
      </c>
      <c r="J309" s="455">
        <v>21</v>
      </c>
      <c r="K309" s="446">
        <v>1000</v>
      </c>
      <c r="L309" s="907">
        <f t="shared" si="4"/>
        <v>194.04</v>
      </c>
    </row>
    <row r="310" spans="5:12">
      <c r="E310" s="1886"/>
      <c r="F310" s="1022" t="s">
        <v>1428</v>
      </c>
      <c r="G310" s="446" t="s">
        <v>1299</v>
      </c>
      <c r="H310" s="450">
        <v>11.5</v>
      </c>
      <c r="I310" s="432">
        <v>14</v>
      </c>
      <c r="J310" s="455">
        <v>21</v>
      </c>
      <c r="K310" s="446">
        <v>1000</v>
      </c>
      <c r="L310" s="907">
        <f t="shared" si="4"/>
        <v>202.86</v>
      </c>
    </row>
    <row r="311" spans="5:12">
      <c r="E311" s="1886"/>
      <c r="F311" s="1020" t="s">
        <v>1430</v>
      </c>
      <c r="G311" s="916" t="s">
        <v>1303</v>
      </c>
      <c r="H311" s="916">
        <v>7.5</v>
      </c>
      <c r="I311" s="1058">
        <v>14</v>
      </c>
      <c r="J311" s="1052">
        <v>21</v>
      </c>
      <c r="K311" s="917">
        <v>1000</v>
      </c>
      <c r="L311" s="918">
        <f t="shared" si="4"/>
        <v>132.30000000000001</v>
      </c>
    </row>
    <row r="312" spans="5:12">
      <c r="E312" s="1886"/>
      <c r="F312" s="1020" t="s">
        <v>1430</v>
      </c>
      <c r="G312" s="916" t="s">
        <v>1301</v>
      </c>
      <c r="H312" s="916">
        <v>11</v>
      </c>
      <c r="I312" s="1058">
        <v>14</v>
      </c>
      <c r="J312" s="1052">
        <v>21</v>
      </c>
      <c r="K312" s="917">
        <v>1000</v>
      </c>
      <c r="L312" s="918">
        <f t="shared" si="4"/>
        <v>194.04</v>
      </c>
    </row>
    <row r="313" spans="5:12">
      <c r="E313" s="1886"/>
      <c r="F313" s="1020" t="s">
        <v>1430</v>
      </c>
      <c r="G313" s="917" t="s">
        <v>1299</v>
      </c>
      <c r="H313" s="917">
        <v>11.5</v>
      </c>
      <c r="I313" s="1058">
        <v>14</v>
      </c>
      <c r="J313" s="1052">
        <v>21</v>
      </c>
      <c r="K313" s="917">
        <v>1000</v>
      </c>
      <c r="L313" s="918">
        <f t="shared" si="4"/>
        <v>202.86</v>
      </c>
    </row>
    <row r="314" spans="5:12">
      <c r="E314" s="1886"/>
      <c r="F314" s="1022" t="s">
        <v>1431</v>
      </c>
      <c r="G314" s="450" t="s">
        <v>1303</v>
      </c>
      <c r="H314" s="450">
        <v>7.5</v>
      </c>
      <c r="I314" s="432">
        <v>14</v>
      </c>
      <c r="J314" s="455">
        <v>22</v>
      </c>
      <c r="K314" s="446">
        <v>1000</v>
      </c>
      <c r="L314" s="907">
        <f t="shared" si="4"/>
        <v>138.6</v>
      </c>
    </row>
    <row r="315" spans="5:12">
      <c r="E315" s="1886"/>
      <c r="F315" s="1022" t="s">
        <v>1431</v>
      </c>
      <c r="G315" s="450" t="s">
        <v>1301</v>
      </c>
      <c r="H315" s="450">
        <v>11</v>
      </c>
      <c r="I315" s="432">
        <v>14</v>
      </c>
      <c r="J315" s="455">
        <v>22</v>
      </c>
      <c r="K315" s="446">
        <v>1000</v>
      </c>
      <c r="L315" s="907">
        <f t="shared" si="4"/>
        <v>203.28</v>
      </c>
    </row>
    <row r="316" spans="5:12">
      <c r="E316" s="1886"/>
      <c r="F316" s="1021" t="s">
        <v>1431</v>
      </c>
      <c r="G316" s="909" t="s">
        <v>1299</v>
      </c>
      <c r="H316" s="943">
        <v>11.5</v>
      </c>
      <c r="I316" s="1045">
        <v>14</v>
      </c>
      <c r="J316" s="1040">
        <v>22</v>
      </c>
      <c r="K316" s="909">
        <v>1000</v>
      </c>
      <c r="L316" s="910">
        <f t="shared" si="4"/>
        <v>212.52</v>
      </c>
    </row>
    <row r="317" spans="5:12">
      <c r="E317" s="1274">
        <v>306</v>
      </c>
      <c r="F317" s="903" t="s">
        <v>1340</v>
      </c>
      <c r="G317" s="904" t="s">
        <v>1303</v>
      </c>
      <c r="H317" s="904">
        <v>7.5</v>
      </c>
      <c r="I317" s="866">
        <v>27</v>
      </c>
      <c r="J317" s="866">
        <v>20</v>
      </c>
      <c r="K317" s="866">
        <v>2500</v>
      </c>
      <c r="L317" s="905">
        <f>I317*J317*60*H317/K317</f>
        <v>97.2</v>
      </c>
    </row>
    <row r="318" spans="5:12">
      <c r="E318" s="1274"/>
      <c r="F318" s="906" t="s">
        <v>1340</v>
      </c>
      <c r="G318" s="450" t="s">
        <v>1301</v>
      </c>
      <c r="H318" s="450">
        <v>11</v>
      </c>
      <c r="I318" s="446">
        <v>27</v>
      </c>
      <c r="J318" s="446">
        <v>20</v>
      </c>
      <c r="K318" s="446">
        <v>2500</v>
      </c>
      <c r="L318" s="907">
        <f t="shared" ref="L318:L381" si="5">I318*J318*60*H318/K318</f>
        <v>142.56</v>
      </c>
    </row>
    <row r="319" spans="5:12">
      <c r="E319" s="1274"/>
      <c r="F319" s="906" t="s">
        <v>1340</v>
      </c>
      <c r="G319" s="446" t="s">
        <v>1299</v>
      </c>
      <c r="H319" s="450">
        <v>11.5</v>
      </c>
      <c r="I319" s="446">
        <v>27</v>
      </c>
      <c r="J319" s="446">
        <v>20</v>
      </c>
      <c r="K319" s="446">
        <v>2500</v>
      </c>
      <c r="L319" s="907">
        <f t="shared" si="5"/>
        <v>149.04</v>
      </c>
    </row>
    <row r="320" spans="5:12">
      <c r="E320" s="1274"/>
      <c r="F320" s="915" t="s">
        <v>1341</v>
      </c>
      <c r="G320" s="916" t="s">
        <v>1303</v>
      </c>
      <c r="H320" s="916">
        <v>7.5</v>
      </c>
      <c r="I320" s="917">
        <v>27</v>
      </c>
      <c r="J320" s="917">
        <v>20</v>
      </c>
      <c r="K320" s="917">
        <v>2500</v>
      </c>
      <c r="L320" s="918">
        <f t="shared" si="5"/>
        <v>97.2</v>
      </c>
    </row>
    <row r="321" spans="5:12">
      <c r="E321" s="1274"/>
      <c r="F321" s="915" t="s">
        <v>1341</v>
      </c>
      <c r="G321" s="916" t="s">
        <v>1301</v>
      </c>
      <c r="H321" s="916">
        <v>11</v>
      </c>
      <c r="I321" s="917">
        <v>27</v>
      </c>
      <c r="J321" s="917">
        <v>20</v>
      </c>
      <c r="K321" s="917">
        <v>2500</v>
      </c>
      <c r="L321" s="918">
        <f t="shared" si="5"/>
        <v>142.56</v>
      </c>
    </row>
    <row r="322" spans="5:12">
      <c r="E322" s="1274"/>
      <c r="F322" s="915" t="s">
        <v>1341</v>
      </c>
      <c r="G322" s="917" t="s">
        <v>1299</v>
      </c>
      <c r="H322" s="916">
        <v>11.5</v>
      </c>
      <c r="I322" s="917">
        <v>27</v>
      </c>
      <c r="J322" s="917">
        <v>20</v>
      </c>
      <c r="K322" s="917">
        <v>2500</v>
      </c>
      <c r="L322" s="918">
        <f t="shared" si="5"/>
        <v>149.04</v>
      </c>
    </row>
    <row r="323" spans="5:12">
      <c r="E323" s="1274"/>
      <c r="F323" s="906" t="s">
        <v>1342</v>
      </c>
      <c r="G323" s="450" t="s">
        <v>1303</v>
      </c>
      <c r="H323" s="450">
        <v>7.5</v>
      </c>
      <c r="I323" s="446">
        <v>24</v>
      </c>
      <c r="J323" s="446">
        <v>19</v>
      </c>
      <c r="K323" s="446">
        <v>2500</v>
      </c>
      <c r="L323" s="907">
        <f t="shared" si="5"/>
        <v>82.08</v>
      </c>
    </row>
    <row r="324" spans="5:12">
      <c r="E324" s="1274"/>
      <c r="F324" s="906" t="s">
        <v>1342</v>
      </c>
      <c r="G324" s="450" t="s">
        <v>1301</v>
      </c>
      <c r="H324" s="450">
        <v>11</v>
      </c>
      <c r="I324" s="446">
        <v>24</v>
      </c>
      <c r="J324" s="446">
        <v>19</v>
      </c>
      <c r="K324" s="446">
        <v>2500</v>
      </c>
      <c r="L324" s="907">
        <f t="shared" si="5"/>
        <v>120.384</v>
      </c>
    </row>
    <row r="325" spans="5:12">
      <c r="E325" s="1274"/>
      <c r="F325" s="906" t="s">
        <v>1342</v>
      </c>
      <c r="G325" s="446" t="s">
        <v>1299</v>
      </c>
      <c r="H325" s="450">
        <v>11.5</v>
      </c>
      <c r="I325" s="446">
        <v>24</v>
      </c>
      <c r="J325" s="446">
        <v>19</v>
      </c>
      <c r="K325" s="446">
        <v>2500</v>
      </c>
      <c r="L325" s="907">
        <f t="shared" si="5"/>
        <v>125.85599999999999</v>
      </c>
    </row>
    <row r="326" spans="5:12">
      <c r="E326" s="1274"/>
      <c r="F326" s="915" t="s">
        <v>1343</v>
      </c>
      <c r="G326" s="916" t="s">
        <v>1303</v>
      </c>
      <c r="H326" s="916">
        <v>7.5</v>
      </c>
      <c r="I326" s="917">
        <v>24</v>
      </c>
      <c r="J326" s="917">
        <v>19</v>
      </c>
      <c r="K326" s="917">
        <v>2500</v>
      </c>
      <c r="L326" s="918">
        <f t="shared" si="5"/>
        <v>82.08</v>
      </c>
    </row>
    <row r="327" spans="5:12">
      <c r="E327" s="1274"/>
      <c r="F327" s="915" t="s">
        <v>1343</v>
      </c>
      <c r="G327" s="916" t="s">
        <v>1301</v>
      </c>
      <c r="H327" s="916">
        <v>11</v>
      </c>
      <c r="I327" s="917">
        <v>24</v>
      </c>
      <c r="J327" s="917">
        <v>19</v>
      </c>
      <c r="K327" s="917">
        <v>2500</v>
      </c>
      <c r="L327" s="918">
        <f t="shared" si="5"/>
        <v>120.384</v>
      </c>
    </row>
    <row r="328" spans="5:12">
      <c r="E328" s="1274"/>
      <c r="F328" s="915" t="s">
        <v>1343</v>
      </c>
      <c r="G328" s="917" t="s">
        <v>1299</v>
      </c>
      <c r="H328" s="916">
        <v>11.5</v>
      </c>
      <c r="I328" s="917">
        <v>24</v>
      </c>
      <c r="J328" s="917">
        <v>19</v>
      </c>
      <c r="K328" s="917">
        <v>2500</v>
      </c>
      <c r="L328" s="918">
        <f t="shared" si="5"/>
        <v>125.85599999999999</v>
      </c>
    </row>
    <row r="329" spans="5:12">
      <c r="E329" s="1274"/>
      <c r="F329" s="906" t="s">
        <v>1344</v>
      </c>
      <c r="G329" s="450" t="s">
        <v>1303</v>
      </c>
      <c r="H329" s="450">
        <v>7.5</v>
      </c>
      <c r="I329" s="446">
        <v>24</v>
      </c>
      <c r="J329" s="446">
        <v>19</v>
      </c>
      <c r="K329" s="446">
        <v>2500</v>
      </c>
      <c r="L329" s="907">
        <f t="shared" si="5"/>
        <v>82.08</v>
      </c>
    </row>
    <row r="330" spans="5:12">
      <c r="E330" s="1274"/>
      <c r="F330" s="906" t="s">
        <v>1344</v>
      </c>
      <c r="G330" s="450" t="s">
        <v>1301</v>
      </c>
      <c r="H330" s="450">
        <v>11</v>
      </c>
      <c r="I330" s="446">
        <v>24</v>
      </c>
      <c r="J330" s="446">
        <v>19</v>
      </c>
      <c r="K330" s="446">
        <v>2500</v>
      </c>
      <c r="L330" s="907">
        <f t="shared" si="5"/>
        <v>120.384</v>
      </c>
    </row>
    <row r="331" spans="5:12">
      <c r="E331" s="1274"/>
      <c r="F331" s="908" t="s">
        <v>1344</v>
      </c>
      <c r="G331" s="909" t="s">
        <v>1299</v>
      </c>
      <c r="H331" s="943">
        <v>11.5</v>
      </c>
      <c r="I331" s="909">
        <v>24</v>
      </c>
      <c r="J331" s="909">
        <v>19</v>
      </c>
      <c r="K331" s="909">
        <v>2500</v>
      </c>
      <c r="L331" s="910">
        <f t="shared" si="5"/>
        <v>125.85599999999999</v>
      </c>
    </row>
    <row r="332" spans="5:12">
      <c r="E332" s="1274">
        <v>501</v>
      </c>
      <c r="F332" s="903" t="s">
        <v>1330</v>
      </c>
      <c r="G332" s="904" t="s">
        <v>1303</v>
      </c>
      <c r="H332" s="904">
        <v>7.5</v>
      </c>
      <c r="I332" s="866">
        <v>60</v>
      </c>
      <c r="J332" s="866">
        <v>20</v>
      </c>
      <c r="K332" s="866">
        <v>2500</v>
      </c>
      <c r="L332" s="905">
        <f t="shared" si="5"/>
        <v>216</v>
      </c>
    </row>
    <row r="333" spans="5:12">
      <c r="E333" s="1274"/>
      <c r="F333" s="906" t="s">
        <v>1330</v>
      </c>
      <c r="G333" s="450" t="s">
        <v>1301</v>
      </c>
      <c r="H333" s="450">
        <v>11</v>
      </c>
      <c r="I333" s="446">
        <v>60</v>
      </c>
      <c r="J333" s="446">
        <v>20</v>
      </c>
      <c r="K333" s="446">
        <v>2500</v>
      </c>
      <c r="L333" s="907">
        <f t="shared" si="5"/>
        <v>316.8</v>
      </c>
    </row>
    <row r="334" spans="5:12">
      <c r="E334" s="1274"/>
      <c r="F334" s="906" t="s">
        <v>1330</v>
      </c>
      <c r="G334" s="446" t="s">
        <v>1299</v>
      </c>
      <c r="H334" s="450">
        <v>11.5</v>
      </c>
      <c r="I334" s="446">
        <v>60</v>
      </c>
      <c r="J334" s="446">
        <v>20</v>
      </c>
      <c r="K334" s="446">
        <v>2500</v>
      </c>
      <c r="L334" s="907">
        <f t="shared" si="5"/>
        <v>331.2</v>
      </c>
    </row>
    <row r="335" spans="5:12">
      <c r="E335" s="1274"/>
      <c r="F335" s="915" t="s">
        <v>1331</v>
      </c>
      <c r="G335" s="916" t="s">
        <v>1303</v>
      </c>
      <c r="H335" s="916">
        <v>7.5</v>
      </c>
      <c r="I335" s="916">
        <v>60</v>
      </c>
      <c r="J335" s="916">
        <v>20</v>
      </c>
      <c r="K335" s="916">
        <v>2500</v>
      </c>
      <c r="L335" s="918">
        <f t="shared" si="5"/>
        <v>216</v>
      </c>
    </row>
    <row r="336" spans="5:12">
      <c r="E336" s="1274"/>
      <c r="F336" s="915" t="s">
        <v>1331</v>
      </c>
      <c r="G336" s="916" t="s">
        <v>1301</v>
      </c>
      <c r="H336" s="916">
        <v>11</v>
      </c>
      <c r="I336" s="916">
        <v>60</v>
      </c>
      <c r="J336" s="916">
        <v>20</v>
      </c>
      <c r="K336" s="916">
        <v>2500</v>
      </c>
      <c r="L336" s="918">
        <f t="shared" si="5"/>
        <v>316.8</v>
      </c>
    </row>
    <row r="337" spans="5:12">
      <c r="E337" s="1274"/>
      <c r="F337" s="937" t="s">
        <v>1331</v>
      </c>
      <c r="G337" s="917" t="s">
        <v>1299</v>
      </c>
      <c r="H337" s="917">
        <v>11.5</v>
      </c>
      <c r="I337" s="917">
        <v>60</v>
      </c>
      <c r="J337" s="917">
        <v>20</v>
      </c>
      <c r="K337" s="917">
        <v>2500</v>
      </c>
      <c r="L337" s="918">
        <f t="shared" si="5"/>
        <v>331.2</v>
      </c>
    </row>
    <row r="338" spans="5:12">
      <c r="E338" s="1274"/>
      <c r="F338" s="906" t="s">
        <v>1332</v>
      </c>
      <c r="G338" s="450" t="s">
        <v>1303</v>
      </c>
      <c r="H338" s="450">
        <v>7.5</v>
      </c>
      <c r="I338" s="446">
        <v>22</v>
      </c>
      <c r="J338" s="446">
        <v>22.4</v>
      </c>
      <c r="K338" s="446">
        <v>1000</v>
      </c>
      <c r="L338" s="907">
        <f t="shared" si="5"/>
        <v>221.75999999999996</v>
      </c>
    </row>
    <row r="339" spans="5:12">
      <c r="E339" s="1274"/>
      <c r="F339" s="906" t="s">
        <v>1332</v>
      </c>
      <c r="G339" s="450" t="s">
        <v>1301</v>
      </c>
      <c r="H339" s="450">
        <v>11</v>
      </c>
      <c r="I339" s="446">
        <v>33</v>
      </c>
      <c r="J339" s="446">
        <v>22.4</v>
      </c>
      <c r="K339" s="446">
        <v>1000</v>
      </c>
      <c r="L339" s="907">
        <f t="shared" si="5"/>
        <v>487.87199999999996</v>
      </c>
    </row>
    <row r="340" spans="5:12">
      <c r="E340" s="1274"/>
      <c r="F340" s="906" t="s">
        <v>1332</v>
      </c>
      <c r="G340" s="446" t="s">
        <v>1299</v>
      </c>
      <c r="H340" s="450">
        <v>11.5</v>
      </c>
      <c r="I340" s="446">
        <v>22</v>
      </c>
      <c r="J340" s="446">
        <v>22.4</v>
      </c>
      <c r="K340" s="446">
        <v>1000</v>
      </c>
      <c r="L340" s="907">
        <f t="shared" si="5"/>
        <v>340.03199999999993</v>
      </c>
    </row>
    <row r="341" spans="5:12">
      <c r="E341" s="1274"/>
      <c r="F341" s="915" t="s">
        <v>1333</v>
      </c>
      <c r="G341" s="916" t="s">
        <v>1303</v>
      </c>
      <c r="H341" s="916">
        <v>7.5</v>
      </c>
      <c r="I341" s="916">
        <v>33</v>
      </c>
      <c r="J341" s="916">
        <v>22.4</v>
      </c>
      <c r="K341" s="916">
        <v>1000</v>
      </c>
      <c r="L341" s="918">
        <f t="shared" si="5"/>
        <v>332.63999999999993</v>
      </c>
    </row>
    <row r="342" spans="5:12">
      <c r="E342" s="1274"/>
      <c r="F342" s="915" t="s">
        <v>1333</v>
      </c>
      <c r="G342" s="916" t="s">
        <v>1301</v>
      </c>
      <c r="H342" s="916">
        <v>11</v>
      </c>
      <c r="I342" s="916">
        <v>33</v>
      </c>
      <c r="J342" s="916">
        <v>22.4</v>
      </c>
      <c r="K342" s="916">
        <v>1000</v>
      </c>
      <c r="L342" s="918">
        <f t="shared" si="5"/>
        <v>487.87199999999996</v>
      </c>
    </row>
    <row r="343" spans="5:12">
      <c r="E343" s="1274"/>
      <c r="F343" s="937" t="s">
        <v>1333</v>
      </c>
      <c r="G343" s="917" t="s">
        <v>1299</v>
      </c>
      <c r="H343" s="917">
        <v>11.5</v>
      </c>
      <c r="I343" s="917">
        <v>33</v>
      </c>
      <c r="J343" s="917">
        <v>22.4</v>
      </c>
      <c r="K343" s="917">
        <v>1000</v>
      </c>
      <c r="L343" s="918">
        <f t="shared" si="5"/>
        <v>510.04799999999994</v>
      </c>
    </row>
    <row r="344" spans="5:12">
      <c r="E344" s="1274"/>
      <c r="F344" s="906" t="s">
        <v>1334</v>
      </c>
      <c r="G344" s="450" t="s">
        <v>1303</v>
      </c>
      <c r="H344" s="450">
        <v>7.5</v>
      </c>
      <c r="I344" s="446">
        <v>35</v>
      </c>
      <c r="J344" s="446">
        <v>19</v>
      </c>
      <c r="K344" s="446">
        <v>1000</v>
      </c>
      <c r="L344" s="907">
        <f t="shared" si="5"/>
        <v>299.25</v>
      </c>
    </row>
    <row r="345" spans="5:12">
      <c r="E345" s="1274"/>
      <c r="F345" s="906" t="s">
        <v>1334</v>
      </c>
      <c r="G345" s="450" t="s">
        <v>1301</v>
      </c>
      <c r="H345" s="450">
        <v>11</v>
      </c>
      <c r="I345" s="446">
        <v>35</v>
      </c>
      <c r="J345" s="446">
        <v>19</v>
      </c>
      <c r="K345" s="446">
        <v>1000</v>
      </c>
      <c r="L345" s="907">
        <f t="shared" si="5"/>
        <v>438.9</v>
      </c>
    </row>
    <row r="346" spans="5:12">
      <c r="E346" s="1274"/>
      <c r="F346" s="906" t="s">
        <v>1334</v>
      </c>
      <c r="G346" s="446" t="s">
        <v>1299</v>
      </c>
      <c r="H346" s="450">
        <v>11.5</v>
      </c>
      <c r="I346" s="446">
        <v>35</v>
      </c>
      <c r="J346" s="446">
        <v>19</v>
      </c>
      <c r="K346" s="446">
        <v>1000</v>
      </c>
      <c r="L346" s="907">
        <f t="shared" si="5"/>
        <v>458.85</v>
      </c>
    </row>
    <row r="347" spans="5:12">
      <c r="E347" s="1274"/>
      <c r="F347" s="915" t="s">
        <v>1335</v>
      </c>
      <c r="G347" s="916" t="s">
        <v>1303</v>
      </c>
      <c r="H347" s="916">
        <v>7.5</v>
      </c>
      <c r="I347" s="916">
        <v>35</v>
      </c>
      <c r="J347" s="916">
        <v>16.2</v>
      </c>
      <c r="K347" s="916">
        <v>1000</v>
      </c>
      <c r="L347" s="918">
        <f t="shared" si="5"/>
        <v>255.15</v>
      </c>
    </row>
    <row r="348" spans="5:12">
      <c r="E348" s="1274"/>
      <c r="F348" s="915" t="s">
        <v>1335</v>
      </c>
      <c r="G348" s="916" t="s">
        <v>1301</v>
      </c>
      <c r="H348" s="916">
        <v>11</v>
      </c>
      <c r="I348" s="916">
        <v>35</v>
      </c>
      <c r="J348" s="916">
        <v>16.2</v>
      </c>
      <c r="K348" s="916">
        <v>1000</v>
      </c>
      <c r="L348" s="918">
        <f t="shared" si="5"/>
        <v>374.22</v>
      </c>
    </row>
    <row r="349" spans="5:12">
      <c r="E349" s="1274"/>
      <c r="F349" s="937" t="s">
        <v>1335</v>
      </c>
      <c r="G349" s="917" t="s">
        <v>1299</v>
      </c>
      <c r="H349" s="917">
        <v>11.5</v>
      </c>
      <c r="I349" s="917">
        <v>35</v>
      </c>
      <c r="J349" s="917">
        <v>16.2</v>
      </c>
      <c r="K349" s="917">
        <v>1000</v>
      </c>
      <c r="L349" s="918">
        <f t="shared" si="5"/>
        <v>391.23</v>
      </c>
    </row>
    <row r="350" spans="5:12">
      <c r="E350" s="1274"/>
      <c r="F350" s="906" t="s">
        <v>1336</v>
      </c>
      <c r="G350" s="450" t="s">
        <v>1303</v>
      </c>
      <c r="H350" s="450">
        <v>7.5</v>
      </c>
      <c r="I350" s="446">
        <v>33</v>
      </c>
      <c r="J350" s="446">
        <v>19.2</v>
      </c>
      <c r="K350" s="446">
        <v>1000</v>
      </c>
      <c r="L350" s="907">
        <f t="shared" si="5"/>
        <v>285.12</v>
      </c>
    </row>
    <row r="351" spans="5:12">
      <c r="E351" s="1274"/>
      <c r="F351" s="906" t="s">
        <v>1336</v>
      </c>
      <c r="G351" s="450" t="s">
        <v>1301</v>
      </c>
      <c r="H351" s="450">
        <v>11</v>
      </c>
      <c r="I351" s="446">
        <v>33</v>
      </c>
      <c r="J351" s="446">
        <v>19.2</v>
      </c>
      <c r="K351" s="446">
        <v>1000</v>
      </c>
      <c r="L351" s="907">
        <f t="shared" si="5"/>
        <v>418.17599999999999</v>
      </c>
    </row>
    <row r="352" spans="5:12">
      <c r="E352" s="1274"/>
      <c r="F352" s="906" t="s">
        <v>1336</v>
      </c>
      <c r="G352" s="446" t="s">
        <v>1299</v>
      </c>
      <c r="H352" s="450">
        <v>11.5</v>
      </c>
      <c r="I352" s="446">
        <v>33</v>
      </c>
      <c r="J352" s="446">
        <v>19.2</v>
      </c>
      <c r="K352" s="446">
        <v>1000</v>
      </c>
      <c r="L352" s="907">
        <f t="shared" si="5"/>
        <v>437.18400000000003</v>
      </c>
    </row>
    <row r="353" spans="5:12">
      <c r="E353" s="1274"/>
      <c r="F353" s="915" t="s">
        <v>1337</v>
      </c>
      <c r="G353" s="916" t="s">
        <v>1303</v>
      </c>
      <c r="H353" s="916">
        <v>7.5</v>
      </c>
      <c r="I353" s="916">
        <v>33</v>
      </c>
      <c r="J353" s="916">
        <v>19.2</v>
      </c>
      <c r="K353" s="916">
        <v>1000</v>
      </c>
      <c r="L353" s="918">
        <f t="shared" si="5"/>
        <v>285.12</v>
      </c>
    </row>
    <row r="354" spans="5:12">
      <c r="E354" s="1274"/>
      <c r="F354" s="915" t="s">
        <v>1337</v>
      </c>
      <c r="G354" s="916" t="s">
        <v>1301</v>
      </c>
      <c r="H354" s="916">
        <v>11</v>
      </c>
      <c r="I354" s="916">
        <v>33</v>
      </c>
      <c r="J354" s="916">
        <v>19.2</v>
      </c>
      <c r="K354" s="916">
        <v>1000</v>
      </c>
      <c r="L354" s="918">
        <f t="shared" si="5"/>
        <v>418.17599999999999</v>
      </c>
    </row>
    <row r="355" spans="5:12">
      <c r="E355" s="1274"/>
      <c r="F355" s="937" t="s">
        <v>1337</v>
      </c>
      <c r="G355" s="917" t="s">
        <v>1299</v>
      </c>
      <c r="H355" s="917">
        <v>11.5</v>
      </c>
      <c r="I355" s="917">
        <v>33</v>
      </c>
      <c r="J355" s="917">
        <v>19.2</v>
      </c>
      <c r="K355" s="917">
        <v>1000</v>
      </c>
      <c r="L355" s="918">
        <f t="shared" si="5"/>
        <v>437.18400000000003</v>
      </c>
    </row>
    <row r="356" spans="5:12">
      <c r="E356" s="1274"/>
      <c r="F356" s="906" t="s">
        <v>1338</v>
      </c>
      <c r="G356" s="450" t="s">
        <v>1303</v>
      </c>
      <c r="H356" s="450">
        <v>7.5</v>
      </c>
      <c r="I356" s="446">
        <v>33</v>
      </c>
      <c r="J356" s="446">
        <v>19.2</v>
      </c>
      <c r="K356" s="446">
        <v>1000</v>
      </c>
      <c r="L356" s="907">
        <f t="shared" si="5"/>
        <v>285.12</v>
      </c>
    </row>
    <row r="357" spans="5:12">
      <c r="E357" s="1274"/>
      <c r="F357" s="906" t="s">
        <v>1338</v>
      </c>
      <c r="G357" s="450" t="s">
        <v>1301</v>
      </c>
      <c r="H357" s="450">
        <v>11</v>
      </c>
      <c r="I357" s="446">
        <v>33</v>
      </c>
      <c r="J357" s="446">
        <v>19.2</v>
      </c>
      <c r="K357" s="446">
        <v>1000</v>
      </c>
      <c r="L357" s="907">
        <f t="shared" si="5"/>
        <v>418.17599999999999</v>
      </c>
    </row>
    <row r="358" spans="5:12">
      <c r="E358" s="1274"/>
      <c r="F358" s="906" t="s">
        <v>1338</v>
      </c>
      <c r="G358" s="446" t="s">
        <v>1299</v>
      </c>
      <c r="H358" s="450">
        <v>11.5</v>
      </c>
      <c r="I358" s="446">
        <v>33</v>
      </c>
      <c r="J358" s="446">
        <v>19.2</v>
      </c>
      <c r="K358" s="446">
        <v>1000</v>
      </c>
      <c r="L358" s="907">
        <f t="shared" si="5"/>
        <v>437.18400000000003</v>
      </c>
    </row>
    <row r="359" spans="5:12">
      <c r="E359" s="1274"/>
      <c r="F359" s="915" t="s">
        <v>1339</v>
      </c>
      <c r="G359" s="916" t="s">
        <v>1303</v>
      </c>
      <c r="H359" s="916">
        <v>7.5</v>
      </c>
      <c r="I359" s="916">
        <v>33</v>
      </c>
      <c r="J359" s="916">
        <v>19.2</v>
      </c>
      <c r="K359" s="916">
        <v>1000</v>
      </c>
      <c r="L359" s="918">
        <f t="shared" si="5"/>
        <v>285.12</v>
      </c>
    </row>
    <row r="360" spans="5:12">
      <c r="E360" s="1274"/>
      <c r="F360" s="915" t="s">
        <v>1339</v>
      </c>
      <c r="G360" s="916" t="s">
        <v>1301</v>
      </c>
      <c r="H360" s="916">
        <v>11</v>
      </c>
      <c r="I360" s="916">
        <v>33</v>
      </c>
      <c r="J360" s="916">
        <v>19.2</v>
      </c>
      <c r="K360" s="916">
        <v>1000</v>
      </c>
      <c r="L360" s="918">
        <f t="shared" si="5"/>
        <v>418.17599999999999</v>
      </c>
    </row>
    <row r="361" spans="5:12">
      <c r="E361" s="1274"/>
      <c r="F361" s="938" t="s">
        <v>1339</v>
      </c>
      <c r="G361" s="921" t="s">
        <v>1299</v>
      </c>
      <c r="H361" s="921">
        <v>11.5</v>
      </c>
      <c r="I361" s="921">
        <v>33</v>
      </c>
      <c r="J361" s="921">
        <v>19.2</v>
      </c>
      <c r="K361" s="921">
        <v>1000</v>
      </c>
      <c r="L361" s="922">
        <f t="shared" si="5"/>
        <v>437.18400000000003</v>
      </c>
    </row>
    <row r="362" spans="5:12">
      <c r="E362" s="1274">
        <v>502</v>
      </c>
      <c r="F362" s="903" t="s">
        <v>1321</v>
      </c>
      <c r="G362" s="904" t="s">
        <v>1303</v>
      </c>
      <c r="H362" s="904">
        <v>7.5</v>
      </c>
      <c r="I362" s="866">
        <v>33</v>
      </c>
      <c r="J362" s="866">
        <v>23.3</v>
      </c>
      <c r="K362" s="866">
        <v>1000</v>
      </c>
      <c r="L362" s="905">
        <f t="shared" si="5"/>
        <v>346.005</v>
      </c>
    </row>
    <row r="363" spans="5:12">
      <c r="E363" s="1274"/>
      <c r="F363" s="906" t="s">
        <v>1321</v>
      </c>
      <c r="G363" s="450" t="s">
        <v>1301</v>
      </c>
      <c r="H363" s="450">
        <v>11</v>
      </c>
      <c r="I363" s="446">
        <v>33</v>
      </c>
      <c r="J363" s="446">
        <v>23.3</v>
      </c>
      <c r="K363" s="446">
        <v>1000</v>
      </c>
      <c r="L363" s="907">
        <f t="shared" si="5"/>
        <v>507.47399999999999</v>
      </c>
    </row>
    <row r="364" spans="5:12">
      <c r="E364" s="1274"/>
      <c r="F364" s="906" t="s">
        <v>1321</v>
      </c>
      <c r="G364" s="446" t="s">
        <v>1299</v>
      </c>
      <c r="H364" s="450">
        <v>11.5</v>
      </c>
      <c r="I364" s="446">
        <v>33</v>
      </c>
      <c r="J364" s="446">
        <v>23.3</v>
      </c>
      <c r="K364" s="446">
        <v>1000</v>
      </c>
      <c r="L364" s="907">
        <f t="shared" si="5"/>
        <v>530.54100000000005</v>
      </c>
    </row>
    <row r="365" spans="5:12">
      <c r="E365" s="1274"/>
      <c r="F365" s="915" t="s">
        <v>1322</v>
      </c>
      <c r="G365" s="916" t="s">
        <v>1303</v>
      </c>
      <c r="H365" s="916">
        <v>7.5</v>
      </c>
      <c r="I365" s="917">
        <v>33</v>
      </c>
      <c r="J365" s="917">
        <v>23.3</v>
      </c>
      <c r="K365" s="917">
        <v>1000</v>
      </c>
      <c r="L365" s="918">
        <f t="shared" si="5"/>
        <v>346.005</v>
      </c>
    </row>
    <row r="366" spans="5:12">
      <c r="E366" s="1274"/>
      <c r="F366" s="915" t="s">
        <v>1322</v>
      </c>
      <c r="G366" s="916" t="s">
        <v>1301</v>
      </c>
      <c r="H366" s="916">
        <v>11</v>
      </c>
      <c r="I366" s="917">
        <v>33</v>
      </c>
      <c r="J366" s="917">
        <v>23.3</v>
      </c>
      <c r="K366" s="917">
        <v>1000</v>
      </c>
      <c r="L366" s="918">
        <f t="shared" si="5"/>
        <v>507.47399999999999</v>
      </c>
    </row>
    <row r="367" spans="5:12">
      <c r="E367" s="1274"/>
      <c r="F367" s="915" t="s">
        <v>1322</v>
      </c>
      <c r="G367" s="917" t="s">
        <v>1299</v>
      </c>
      <c r="H367" s="916">
        <v>11.5</v>
      </c>
      <c r="I367" s="917">
        <v>33</v>
      </c>
      <c r="J367" s="917">
        <v>23.3</v>
      </c>
      <c r="K367" s="917">
        <v>1000</v>
      </c>
      <c r="L367" s="918">
        <f t="shared" si="5"/>
        <v>530.54100000000005</v>
      </c>
    </row>
    <row r="368" spans="5:12">
      <c r="E368" s="1274"/>
      <c r="F368" s="906" t="s">
        <v>1323</v>
      </c>
      <c r="G368" s="450" t="s">
        <v>1303</v>
      </c>
      <c r="H368" s="450">
        <v>7.5</v>
      </c>
      <c r="I368" s="446">
        <v>33</v>
      </c>
      <c r="J368" s="446">
        <v>23.3</v>
      </c>
      <c r="K368" s="446">
        <v>1000</v>
      </c>
      <c r="L368" s="907">
        <f t="shared" si="5"/>
        <v>346.005</v>
      </c>
    </row>
    <row r="369" spans="5:12">
      <c r="E369" s="1274"/>
      <c r="F369" s="906" t="s">
        <v>1323</v>
      </c>
      <c r="G369" s="450" t="s">
        <v>1301</v>
      </c>
      <c r="H369" s="450">
        <v>11</v>
      </c>
      <c r="I369" s="446">
        <v>33</v>
      </c>
      <c r="J369" s="446">
        <v>23.3</v>
      </c>
      <c r="K369" s="446">
        <v>1000</v>
      </c>
      <c r="L369" s="907">
        <f t="shared" si="5"/>
        <v>507.47399999999999</v>
      </c>
    </row>
    <row r="370" spans="5:12">
      <c r="E370" s="1274"/>
      <c r="F370" s="906" t="s">
        <v>1323</v>
      </c>
      <c r="G370" s="446" t="s">
        <v>1299</v>
      </c>
      <c r="H370" s="450">
        <v>11.5</v>
      </c>
      <c r="I370" s="446">
        <v>33</v>
      </c>
      <c r="J370" s="446">
        <v>23.3</v>
      </c>
      <c r="K370" s="446">
        <v>1000</v>
      </c>
      <c r="L370" s="907">
        <f t="shared" si="5"/>
        <v>530.54100000000005</v>
      </c>
    </row>
    <row r="371" spans="5:12">
      <c r="E371" s="1274"/>
      <c r="F371" s="915" t="s">
        <v>1324</v>
      </c>
      <c r="G371" s="916" t="s">
        <v>1303</v>
      </c>
      <c r="H371" s="916">
        <v>7.5</v>
      </c>
      <c r="I371" s="917">
        <v>33</v>
      </c>
      <c r="J371" s="917">
        <v>23.3</v>
      </c>
      <c r="K371" s="917">
        <v>1000</v>
      </c>
      <c r="L371" s="918">
        <f t="shared" si="5"/>
        <v>346.005</v>
      </c>
    </row>
    <row r="372" spans="5:12">
      <c r="E372" s="1274"/>
      <c r="F372" s="915" t="s">
        <v>1324</v>
      </c>
      <c r="G372" s="916" t="s">
        <v>1301</v>
      </c>
      <c r="H372" s="916">
        <v>11</v>
      </c>
      <c r="I372" s="917">
        <v>33</v>
      </c>
      <c r="J372" s="917">
        <v>23.3</v>
      </c>
      <c r="K372" s="917">
        <v>1000</v>
      </c>
      <c r="L372" s="918">
        <f t="shared" si="5"/>
        <v>507.47399999999999</v>
      </c>
    </row>
    <row r="373" spans="5:12">
      <c r="E373" s="1274"/>
      <c r="F373" s="919" t="s">
        <v>1324</v>
      </c>
      <c r="G373" s="921" t="s">
        <v>1299</v>
      </c>
      <c r="H373" s="920">
        <v>11.5</v>
      </c>
      <c r="I373" s="921">
        <v>33</v>
      </c>
      <c r="J373" s="921">
        <v>23.3</v>
      </c>
      <c r="K373" s="921">
        <v>1000</v>
      </c>
      <c r="L373" s="922">
        <f t="shared" si="5"/>
        <v>530.54100000000005</v>
      </c>
    </row>
    <row r="374" spans="5:12">
      <c r="E374" s="1274">
        <v>503</v>
      </c>
      <c r="F374" s="903" t="s">
        <v>1321</v>
      </c>
      <c r="G374" s="904" t="s">
        <v>1303</v>
      </c>
      <c r="H374" s="904">
        <v>7.5</v>
      </c>
      <c r="I374" s="866">
        <v>33</v>
      </c>
      <c r="J374" s="866">
        <v>23.3</v>
      </c>
      <c r="K374" s="866">
        <v>1000</v>
      </c>
      <c r="L374" s="905">
        <f t="shared" si="5"/>
        <v>346.005</v>
      </c>
    </row>
    <row r="375" spans="5:12">
      <c r="E375" s="1274"/>
      <c r="F375" s="906" t="s">
        <v>1321</v>
      </c>
      <c r="G375" s="450" t="s">
        <v>1301</v>
      </c>
      <c r="H375" s="450">
        <v>11</v>
      </c>
      <c r="I375" s="446">
        <v>33</v>
      </c>
      <c r="J375" s="446">
        <v>23.3</v>
      </c>
      <c r="K375" s="446">
        <v>1000</v>
      </c>
      <c r="L375" s="907">
        <f t="shared" si="5"/>
        <v>507.47399999999999</v>
      </c>
    </row>
    <row r="376" spans="5:12">
      <c r="E376" s="1274"/>
      <c r="F376" s="906" t="s">
        <v>1321</v>
      </c>
      <c r="G376" s="446" t="s">
        <v>1299</v>
      </c>
      <c r="H376" s="450">
        <v>11.5</v>
      </c>
      <c r="I376" s="446">
        <v>33</v>
      </c>
      <c r="J376" s="446">
        <v>23.3</v>
      </c>
      <c r="K376" s="446">
        <v>1000</v>
      </c>
      <c r="L376" s="907">
        <f t="shared" si="5"/>
        <v>530.54100000000005</v>
      </c>
    </row>
    <row r="377" spans="5:12">
      <c r="E377" s="1274"/>
      <c r="F377" s="915" t="s">
        <v>1322</v>
      </c>
      <c r="G377" s="916" t="s">
        <v>1303</v>
      </c>
      <c r="H377" s="916">
        <v>7.5</v>
      </c>
      <c r="I377" s="917">
        <v>33</v>
      </c>
      <c r="J377" s="917">
        <v>23.3</v>
      </c>
      <c r="K377" s="917">
        <v>1000</v>
      </c>
      <c r="L377" s="918">
        <f t="shared" si="5"/>
        <v>346.005</v>
      </c>
    </row>
    <row r="378" spans="5:12">
      <c r="E378" s="1274"/>
      <c r="F378" s="915" t="s">
        <v>1322</v>
      </c>
      <c r="G378" s="916" t="s">
        <v>1301</v>
      </c>
      <c r="H378" s="916">
        <v>11</v>
      </c>
      <c r="I378" s="917">
        <v>33</v>
      </c>
      <c r="J378" s="917">
        <v>23.3</v>
      </c>
      <c r="K378" s="917">
        <v>1000</v>
      </c>
      <c r="L378" s="918">
        <f t="shared" si="5"/>
        <v>507.47399999999999</v>
      </c>
    </row>
    <row r="379" spans="5:12">
      <c r="E379" s="1274"/>
      <c r="F379" s="915" t="s">
        <v>1322</v>
      </c>
      <c r="G379" s="917" t="s">
        <v>1299</v>
      </c>
      <c r="H379" s="916">
        <v>11.5</v>
      </c>
      <c r="I379" s="917">
        <v>33</v>
      </c>
      <c r="J379" s="917">
        <v>23.3</v>
      </c>
      <c r="K379" s="917">
        <v>1000</v>
      </c>
      <c r="L379" s="918">
        <f t="shared" si="5"/>
        <v>530.54100000000005</v>
      </c>
    </row>
    <row r="380" spans="5:12">
      <c r="E380" s="1274"/>
      <c r="F380" s="906" t="s">
        <v>1323</v>
      </c>
      <c r="G380" s="450" t="s">
        <v>1303</v>
      </c>
      <c r="H380" s="450">
        <v>7.5</v>
      </c>
      <c r="I380" s="446">
        <v>33</v>
      </c>
      <c r="J380" s="446">
        <v>23.3</v>
      </c>
      <c r="K380" s="446">
        <v>1000</v>
      </c>
      <c r="L380" s="907">
        <f t="shared" si="5"/>
        <v>346.005</v>
      </c>
    </row>
    <row r="381" spans="5:12">
      <c r="E381" s="1274"/>
      <c r="F381" s="906" t="s">
        <v>1323</v>
      </c>
      <c r="G381" s="450" t="s">
        <v>1301</v>
      </c>
      <c r="H381" s="450">
        <v>11</v>
      </c>
      <c r="I381" s="446">
        <v>33</v>
      </c>
      <c r="J381" s="446">
        <v>23.3</v>
      </c>
      <c r="K381" s="446">
        <v>1000</v>
      </c>
      <c r="L381" s="907">
        <f t="shared" si="5"/>
        <v>507.47399999999999</v>
      </c>
    </row>
    <row r="382" spans="5:12">
      <c r="E382" s="1274"/>
      <c r="F382" s="906" t="s">
        <v>1323</v>
      </c>
      <c r="G382" s="446" t="s">
        <v>1299</v>
      </c>
      <c r="H382" s="450">
        <v>11.5</v>
      </c>
      <c r="I382" s="446">
        <v>33</v>
      </c>
      <c r="J382" s="446">
        <v>23.3</v>
      </c>
      <c r="K382" s="446">
        <v>1000</v>
      </c>
      <c r="L382" s="907">
        <f t="shared" ref="L382:L385" si="6">I382*J382*60*H382/K382</f>
        <v>530.54100000000005</v>
      </c>
    </row>
    <row r="383" spans="5:12">
      <c r="E383" s="1274"/>
      <c r="F383" s="915" t="s">
        <v>1324</v>
      </c>
      <c r="G383" s="916" t="s">
        <v>1303</v>
      </c>
      <c r="H383" s="916">
        <v>7.5</v>
      </c>
      <c r="I383" s="917">
        <v>33</v>
      </c>
      <c r="J383" s="917">
        <v>23.3</v>
      </c>
      <c r="K383" s="917">
        <v>1000</v>
      </c>
      <c r="L383" s="918">
        <f t="shared" si="6"/>
        <v>346.005</v>
      </c>
    </row>
    <row r="384" spans="5:12">
      <c r="E384" s="1274"/>
      <c r="F384" s="915" t="s">
        <v>1324</v>
      </c>
      <c r="G384" s="916" t="s">
        <v>1301</v>
      </c>
      <c r="H384" s="916">
        <v>11</v>
      </c>
      <c r="I384" s="917">
        <v>33</v>
      </c>
      <c r="J384" s="917">
        <v>23.3</v>
      </c>
      <c r="K384" s="917">
        <v>1000</v>
      </c>
      <c r="L384" s="918">
        <f t="shared" si="6"/>
        <v>507.47399999999999</v>
      </c>
    </row>
    <row r="385" spans="5:12">
      <c r="E385" s="1274"/>
      <c r="F385" s="919" t="s">
        <v>1324</v>
      </c>
      <c r="G385" s="921" t="s">
        <v>1299</v>
      </c>
      <c r="H385" s="920">
        <v>11.5</v>
      </c>
      <c r="I385" s="921">
        <v>33</v>
      </c>
      <c r="J385" s="921">
        <v>23.3</v>
      </c>
      <c r="K385" s="921">
        <v>1000</v>
      </c>
      <c r="L385" s="922">
        <f t="shared" si="6"/>
        <v>530.54100000000005</v>
      </c>
    </row>
  </sheetData>
  <mergeCells count="20">
    <mergeCell ref="E200:E229"/>
    <mergeCell ref="E230:E271"/>
    <mergeCell ref="E374:E385"/>
    <mergeCell ref="E317:E331"/>
    <mergeCell ref="A1:C7"/>
    <mergeCell ref="E332:E361"/>
    <mergeCell ref="E362:E373"/>
    <mergeCell ref="E296:E316"/>
    <mergeCell ref="E272:E295"/>
    <mergeCell ref="E2:E4"/>
    <mergeCell ref="E5:E7"/>
    <mergeCell ref="E8:E43"/>
    <mergeCell ref="E44:E73"/>
    <mergeCell ref="E74:E97"/>
    <mergeCell ref="E98:E118"/>
    <mergeCell ref="E119:E139"/>
    <mergeCell ref="E140:E145"/>
    <mergeCell ref="E146:E163"/>
    <mergeCell ref="E164:E175"/>
    <mergeCell ref="E176:E199"/>
  </mergeCells>
  <phoneticPr fontId="26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2F482-BB65-4800-AB9B-BF418DF08BA6}">
  <sheetPr>
    <tabColor rgb="FF00B050"/>
  </sheetPr>
  <dimension ref="A1:K169"/>
  <sheetViews>
    <sheetView zoomScale="80" zoomScaleNormal="80" workbookViewId="0">
      <selection activeCell="I14" sqref="I14"/>
    </sheetView>
  </sheetViews>
  <sheetFormatPr defaultColWidth="9.375" defaultRowHeight="16.5"/>
  <cols>
    <col min="1" max="1" width="9.375" customWidth="1"/>
    <col min="2" max="2" width="14.125" bestFit="1" customWidth="1"/>
    <col min="3" max="4" width="12.625" customWidth="1"/>
    <col min="5" max="5" width="9.375" customWidth="1"/>
    <col min="6" max="6" width="28.125" customWidth="1"/>
    <col min="7" max="7" width="9.375" customWidth="1"/>
    <col min="8" max="8" width="14.625" bestFit="1" customWidth="1"/>
    <col min="9" max="9" width="18.5" customWidth="1"/>
    <col min="10" max="10" width="6.875" customWidth="1"/>
    <col min="11" max="11" width="10" bestFit="1" customWidth="1"/>
  </cols>
  <sheetData>
    <row r="1" spans="1:11" ht="16.5" customHeight="1">
      <c r="A1" s="1885" t="s">
        <v>1292</v>
      </c>
      <c r="B1" s="1885"/>
      <c r="C1" s="1885"/>
      <c r="D1" s="929"/>
      <c r="F1" s="1015" t="s">
        <v>510</v>
      </c>
      <c r="G1" s="1017" t="s">
        <v>1297</v>
      </c>
      <c r="H1" s="1017" t="s">
        <v>1291</v>
      </c>
      <c r="I1" s="1018" t="s">
        <v>366</v>
      </c>
      <c r="J1" s="1018" t="s">
        <v>380</v>
      </c>
      <c r="K1" s="864" t="s">
        <v>1290</v>
      </c>
    </row>
    <row r="2" spans="1:11">
      <c r="A2" s="1885"/>
      <c r="B2" s="1885"/>
      <c r="C2" s="1885"/>
      <c r="D2" s="929"/>
      <c r="E2" s="1274">
        <v>401</v>
      </c>
      <c r="F2" s="911" t="s">
        <v>1298</v>
      </c>
      <c r="G2" s="912" t="s">
        <v>1304</v>
      </c>
      <c r="H2" s="912">
        <v>7.5</v>
      </c>
      <c r="I2" s="913">
        <v>200</v>
      </c>
      <c r="J2" s="932">
        <v>1000</v>
      </c>
      <c r="K2" s="914">
        <f>I2*H2*60/J2</f>
        <v>90</v>
      </c>
    </row>
    <row r="3" spans="1:11">
      <c r="A3" s="1885"/>
      <c r="B3" s="1885"/>
      <c r="C3" s="1885"/>
      <c r="D3" s="929"/>
      <c r="E3" s="1274"/>
      <c r="F3" s="915" t="s">
        <v>1298</v>
      </c>
      <c r="G3" s="917" t="s">
        <v>1302</v>
      </c>
      <c r="H3" s="917">
        <v>11</v>
      </c>
      <c r="I3" s="917">
        <v>200</v>
      </c>
      <c r="J3" s="933">
        <v>1000</v>
      </c>
      <c r="K3" s="918">
        <f>I3*H3*60/J3</f>
        <v>132</v>
      </c>
    </row>
    <row r="4" spans="1:11">
      <c r="A4" s="1885"/>
      <c r="B4" s="1885"/>
      <c r="C4" s="1885"/>
      <c r="D4" s="929"/>
      <c r="E4" s="1274"/>
      <c r="F4" s="915" t="s">
        <v>1298</v>
      </c>
      <c r="G4" s="917" t="s">
        <v>1300</v>
      </c>
      <c r="H4" s="917">
        <v>11.5</v>
      </c>
      <c r="I4" s="917">
        <v>200</v>
      </c>
      <c r="J4" s="933">
        <v>1000</v>
      </c>
      <c r="K4" s="918">
        <f>I4*H4*60/J4</f>
        <v>138</v>
      </c>
    </row>
    <row r="5" spans="1:11">
      <c r="A5" s="1885"/>
      <c r="B5" s="1885"/>
      <c r="C5" s="1885"/>
      <c r="D5" s="929"/>
      <c r="E5" s="1274"/>
      <c r="F5" s="906" t="s">
        <v>1305</v>
      </c>
      <c r="G5" s="450" t="s">
        <v>1304</v>
      </c>
      <c r="H5" s="450">
        <v>7.5</v>
      </c>
      <c r="I5" s="446">
        <v>200</v>
      </c>
      <c r="J5" s="930">
        <v>1000</v>
      </c>
      <c r="K5" s="907">
        <f t="shared" ref="K5:K46" si="0">I5*H5*60/J5</f>
        <v>90</v>
      </c>
    </row>
    <row r="6" spans="1:11">
      <c r="A6" s="1885"/>
      <c r="B6" s="1885"/>
      <c r="C6" s="1885"/>
      <c r="D6" s="929"/>
      <c r="E6" s="1274"/>
      <c r="F6" s="906" t="s">
        <v>1305</v>
      </c>
      <c r="G6" s="446" t="s">
        <v>1302</v>
      </c>
      <c r="H6" s="446">
        <v>11</v>
      </c>
      <c r="I6" s="446">
        <v>200</v>
      </c>
      <c r="J6" s="930">
        <v>1000</v>
      </c>
      <c r="K6" s="907">
        <f t="shared" si="0"/>
        <v>132</v>
      </c>
    </row>
    <row r="7" spans="1:11">
      <c r="A7" s="1885"/>
      <c r="B7" s="1885"/>
      <c r="C7" s="1885"/>
      <c r="D7" s="929"/>
      <c r="E7" s="1274"/>
      <c r="F7" s="906" t="s">
        <v>1305</v>
      </c>
      <c r="G7" s="446" t="s">
        <v>1300</v>
      </c>
      <c r="H7" s="446">
        <v>11.5</v>
      </c>
      <c r="I7" s="446">
        <v>200</v>
      </c>
      <c r="J7" s="930">
        <v>1000</v>
      </c>
      <c r="K7" s="907">
        <f t="shared" si="0"/>
        <v>138</v>
      </c>
    </row>
    <row r="8" spans="1:11">
      <c r="A8" s="434" t="s">
        <v>1297</v>
      </c>
      <c r="E8" s="1274"/>
      <c r="F8" s="915" t="s">
        <v>1306</v>
      </c>
      <c r="G8" s="916" t="s">
        <v>1304</v>
      </c>
      <c r="H8" s="916">
        <v>7.5</v>
      </c>
      <c r="I8" s="917">
        <v>200</v>
      </c>
      <c r="J8" s="933">
        <v>1000</v>
      </c>
      <c r="K8" s="918">
        <f t="shared" si="0"/>
        <v>90</v>
      </c>
    </row>
    <row r="9" spans="1:11">
      <c r="A9" s="934" t="s">
        <v>1303</v>
      </c>
      <c r="E9" s="1274"/>
      <c r="F9" s="915" t="s">
        <v>1306</v>
      </c>
      <c r="G9" s="917" t="s">
        <v>1302</v>
      </c>
      <c r="H9" s="917">
        <v>11</v>
      </c>
      <c r="I9" s="917">
        <v>200</v>
      </c>
      <c r="J9" s="933">
        <v>1000</v>
      </c>
      <c r="K9" s="918">
        <f t="shared" si="0"/>
        <v>132</v>
      </c>
    </row>
    <row r="10" spans="1:11">
      <c r="A10" s="541" t="s">
        <v>1301</v>
      </c>
      <c r="E10" s="1274"/>
      <c r="F10" s="915" t="s">
        <v>1306</v>
      </c>
      <c r="G10" s="917" t="s">
        <v>1300</v>
      </c>
      <c r="H10" s="917">
        <v>11.5</v>
      </c>
      <c r="I10" s="917">
        <v>200</v>
      </c>
      <c r="J10" s="933">
        <v>1000</v>
      </c>
      <c r="K10" s="918">
        <f t="shared" si="0"/>
        <v>138</v>
      </c>
    </row>
    <row r="11" spans="1:11">
      <c r="A11" s="935" t="s">
        <v>1299</v>
      </c>
      <c r="E11" s="1274"/>
      <c r="F11" s="906" t="s">
        <v>1307</v>
      </c>
      <c r="G11" s="450" t="s">
        <v>1304</v>
      </c>
      <c r="H11" s="450">
        <v>7.5</v>
      </c>
      <c r="I11" s="446">
        <v>200</v>
      </c>
      <c r="J11" s="446">
        <v>600</v>
      </c>
      <c r="K11" s="907">
        <f t="shared" si="0"/>
        <v>150</v>
      </c>
    </row>
    <row r="12" spans="1:11">
      <c r="E12" s="1274"/>
      <c r="F12" s="906" t="s">
        <v>1307</v>
      </c>
      <c r="G12" s="446" t="s">
        <v>1302</v>
      </c>
      <c r="H12" s="446">
        <v>11</v>
      </c>
      <c r="I12" s="446">
        <v>200</v>
      </c>
      <c r="J12" s="446">
        <v>600</v>
      </c>
      <c r="K12" s="907">
        <f t="shared" si="0"/>
        <v>220</v>
      </c>
    </row>
    <row r="13" spans="1:11">
      <c r="E13" s="1274"/>
      <c r="F13" s="906" t="s">
        <v>1307</v>
      </c>
      <c r="G13" s="446" t="s">
        <v>1300</v>
      </c>
      <c r="H13" s="446">
        <v>11.5</v>
      </c>
      <c r="I13" s="446">
        <v>200</v>
      </c>
      <c r="J13" s="446">
        <v>600</v>
      </c>
      <c r="K13" s="907">
        <f t="shared" si="0"/>
        <v>230</v>
      </c>
    </row>
    <row r="14" spans="1:11">
      <c r="E14" s="1274"/>
      <c r="F14" s="915" t="s">
        <v>1500</v>
      </c>
      <c r="G14" s="916" t="s">
        <v>1304</v>
      </c>
      <c r="H14" s="916">
        <v>7.5</v>
      </c>
      <c r="I14" s="917">
        <v>200</v>
      </c>
      <c r="J14" s="933">
        <v>1000</v>
      </c>
      <c r="K14" s="918">
        <f t="shared" si="0"/>
        <v>90</v>
      </c>
    </row>
    <row r="15" spans="1:11">
      <c r="E15" s="1274"/>
      <c r="F15" s="915" t="s">
        <v>1500</v>
      </c>
      <c r="G15" s="917" t="s">
        <v>1302</v>
      </c>
      <c r="H15" s="917">
        <v>11</v>
      </c>
      <c r="I15" s="917">
        <v>200</v>
      </c>
      <c r="J15" s="933">
        <v>1000</v>
      </c>
      <c r="K15" s="918">
        <f t="shared" si="0"/>
        <v>132</v>
      </c>
    </row>
    <row r="16" spans="1:11">
      <c r="E16" s="1274"/>
      <c r="F16" s="915" t="s">
        <v>1500</v>
      </c>
      <c r="G16" s="917" t="s">
        <v>1300</v>
      </c>
      <c r="H16" s="917">
        <v>11.5</v>
      </c>
      <c r="I16" s="917">
        <v>200</v>
      </c>
      <c r="J16" s="933">
        <v>1000</v>
      </c>
      <c r="K16" s="918">
        <f t="shared" si="0"/>
        <v>138</v>
      </c>
    </row>
    <row r="17" spans="5:11">
      <c r="E17" s="1274"/>
      <c r="F17" s="906" t="s">
        <v>1308</v>
      </c>
      <c r="G17" s="450" t="s">
        <v>1304</v>
      </c>
      <c r="H17" s="450">
        <v>7.5</v>
      </c>
      <c r="I17" s="446">
        <v>200</v>
      </c>
      <c r="J17" s="930">
        <v>1000</v>
      </c>
      <c r="K17" s="907">
        <f t="shared" si="0"/>
        <v>90</v>
      </c>
    </row>
    <row r="18" spans="5:11">
      <c r="E18" s="1274"/>
      <c r="F18" s="906" t="s">
        <v>1308</v>
      </c>
      <c r="G18" s="446" t="s">
        <v>1302</v>
      </c>
      <c r="H18" s="446">
        <v>11</v>
      </c>
      <c r="I18" s="446">
        <v>200</v>
      </c>
      <c r="J18" s="930">
        <v>1000</v>
      </c>
      <c r="K18" s="907">
        <f t="shared" si="0"/>
        <v>132</v>
      </c>
    </row>
    <row r="19" spans="5:11">
      <c r="E19" s="1274"/>
      <c r="F19" s="906" t="s">
        <v>1308</v>
      </c>
      <c r="G19" s="446" t="s">
        <v>1300</v>
      </c>
      <c r="H19" s="446">
        <v>11.5</v>
      </c>
      <c r="I19" s="446">
        <v>200</v>
      </c>
      <c r="J19" s="930">
        <v>1000</v>
      </c>
      <c r="K19" s="907">
        <f t="shared" si="0"/>
        <v>138</v>
      </c>
    </row>
    <row r="20" spans="5:11">
      <c r="E20" s="1274"/>
      <c r="F20" s="915" t="s">
        <v>737</v>
      </c>
      <c r="G20" s="916" t="s">
        <v>1304</v>
      </c>
      <c r="H20" s="916">
        <v>7.5</v>
      </c>
      <c r="I20" s="917">
        <v>200</v>
      </c>
      <c r="J20" s="933">
        <v>1000</v>
      </c>
      <c r="K20" s="918">
        <f t="shared" si="0"/>
        <v>90</v>
      </c>
    </row>
    <row r="21" spans="5:11">
      <c r="E21" s="1274"/>
      <c r="F21" s="915" t="s">
        <v>737</v>
      </c>
      <c r="G21" s="917" t="s">
        <v>1302</v>
      </c>
      <c r="H21" s="917">
        <v>11</v>
      </c>
      <c r="I21" s="917">
        <v>200</v>
      </c>
      <c r="J21" s="933">
        <v>1000</v>
      </c>
      <c r="K21" s="918">
        <f t="shared" si="0"/>
        <v>132</v>
      </c>
    </row>
    <row r="22" spans="5:11">
      <c r="E22" s="1274"/>
      <c r="F22" s="915" t="s">
        <v>737</v>
      </c>
      <c r="G22" s="917" t="s">
        <v>1300</v>
      </c>
      <c r="H22" s="917">
        <v>11.5</v>
      </c>
      <c r="I22" s="917">
        <v>200</v>
      </c>
      <c r="J22" s="933">
        <v>1000</v>
      </c>
      <c r="K22" s="918">
        <f t="shared" si="0"/>
        <v>138</v>
      </c>
    </row>
    <row r="23" spans="5:11">
      <c r="E23" s="1274"/>
      <c r="F23" s="906" t="s">
        <v>1309</v>
      </c>
      <c r="G23" s="450" t="s">
        <v>1304</v>
      </c>
      <c r="H23" s="450">
        <v>7.5</v>
      </c>
      <c r="I23" s="446">
        <v>200</v>
      </c>
      <c r="J23" s="930">
        <v>1000</v>
      </c>
      <c r="K23" s="907">
        <f t="shared" si="0"/>
        <v>90</v>
      </c>
    </row>
    <row r="24" spans="5:11">
      <c r="E24" s="1274"/>
      <c r="F24" s="906" t="s">
        <v>1309</v>
      </c>
      <c r="G24" s="446" t="s">
        <v>1302</v>
      </c>
      <c r="H24" s="446">
        <v>11</v>
      </c>
      <c r="I24" s="446">
        <v>200</v>
      </c>
      <c r="J24" s="930">
        <v>1000</v>
      </c>
      <c r="K24" s="907">
        <f t="shared" si="0"/>
        <v>132</v>
      </c>
    </row>
    <row r="25" spans="5:11">
      <c r="E25" s="1274"/>
      <c r="F25" s="906" t="s">
        <v>1309</v>
      </c>
      <c r="G25" s="446" t="s">
        <v>1300</v>
      </c>
      <c r="H25" s="446">
        <v>11.5</v>
      </c>
      <c r="I25" s="446">
        <v>200</v>
      </c>
      <c r="J25" s="930">
        <v>1000</v>
      </c>
      <c r="K25" s="907">
        <f t="shared" si="0"/>
        <v>138</v>
      </c>
    </row>
    <row r="26" spans="5:11">
      <c r="E26" s="1274"/>
      <c r="F26" s="915" t="s">
        <v>1310</v>
      </c>
      <c r="G26" s="916" t="s">
        <v>1304</v>
      </c>
      <c r="H26" s="916">
        <v>7.5</v>
      </c>
      <c r="I26" s="917">
        <v>200</v>
      </c>
      <c r="J26" s="933">
        <v>1000</v>
      </c>
      <c r="K26" s="918">
        <f t="shared" si="0"/>
        <v>90</v>
      </c>
    </row>
    <row r="27" spans="5:11">
      <c r="E27" s="1274"/>
      <c r="F27" s="915" t="s">
        <v>1310</v>
      </c>
      <c r="G27" s="917" t="s">
        <v>1302</v>
      </c>
      <c r="H27" s="917">
        <v>11</v>
      </c>
      <c r="I27" s="917">
        <v>200</v>
      </c>
      <c r="J27" s="933">
        <v>1000</v>
      </c>
      <c r="K27" s="918">
        <f t="shared" si="0"/>
        <v>132</v>
      </c>
    </row>
    <row r="28" spans="5:11">
      <c r="E28" s="1274"/>
      <c r="F28" s="915" t="s">
        <v>1310</v>
      </c>
      <c r="G28" s="917" t="s">
        <v>1300</v>
      </c>
      <c r="H28" s="917">
        <v>11.5</v>
      </c>
      <c r="I28" s="917">
        <v>200</v>
      </c>
      <c r="J28" s="933">
        <v>1000</v>
      </c>
      <c r="K28" s="918">
        <f t="shared" si="0"/>
        <v>138</v>
      </c>
    </row>
    <row r="29" spans="5:11">
      <c r="E29" s="1274"/>
      <c r="F29" s="906" t="s">
        <v>1311</v>
      </c>
      <c r="G29" s="450" t="s">
        <v>1304</v>
      </c>
      <c r="H29" s="450">
        <v>7.5</v>
      </c>
      <c r="I29" s="446">
        <v>200</v>
      </c>
      <c r="J29" s="930">
        <v>1000</v>
      </c>
      <c r="K29" s="907">
        <f t="shared" si="0"/>
        <v>90</v>
      </c>
    </row>
    <row r="30" spans="5:11">
      <c r="E30" s="1274"/>
      <c r="F30" s="906" t="s">
        <v>1311</v>
      </c>
      <c r="G30" s="446" t="s">
        <v>1302</v>
      </c>
      <c r="H30" s="446">
        <v>11</v>
      </c>
      <c r="I30" s="446">
        <v>200</v>
      </c>
      <c r="J30" s="930">
        <v>1000</v>
      </c>
      <c r="K30" s="907">
        <f t="shared" si="0"/>
        <v>132</v>
      </c>
    </row>
    <row r="31" spans="5:11">
      <c r="E31" s="1274"/>
      <c r="F31" s="906" t="s">
        <v>1311</v>
      </c>
      <c r="G31" s="446" t="s">
        <v>1300</v>
      </c>
      <c r="H31" s="446">
        <v>11.5</v>
      </c>
      <c r="I31" s="446">
        <v>200</v>
      </c>
      <c r="J31" s="930">
        <v>1000</v>
      </c>
      <c r="K31" s="907">
        <f t="shared" si="0"/>
        <v>138</v>
      </c>
    </row>
    <row r="32" spans="5:11">
      <c r="E32" s="1274"/>
      <c r="F32" s="915" t="s">
        <v>1312</v>
      </c>
      <c r="G32" s="916" t="s">
        <v>1304</v>
      </c>
      <c r="H32" s="916">
        <v>7.5</v>
      </c>
      <c r="I32" s="917">
        <v>200</v>
      </c>
      <c r="J32" s="933">
        <v>2000</v>
      </c>
      <c r="K32" s="918">
        <f t="shared" si="0"/>
        <v>45</v>
      </c>
    </row>
    <row r="33" spans="5:11">
      <c r="E33" s="1274"/>
      <c r="F33" s="915" t="s">
        <v>1312</v>
      </c>
      <c r="G33" s="917" t="s">
        <v>1302</v>
      </c>
      <c r="H33" s="917">
        <v>11</v>
      </c>
      <c r="I33" s="917">
        <v>200</v>
      </c>
      <c r="J33" s="933">
        <v>2000</v>
      </c>
      <c r="K33" s="918">
        <f t="shared" si="0"/>
        <v>66</v>
      </c>
    </row>
    <row r="34" spans="5:11">
      <c r="E34" s="1274"/>
      <c r="F34" s="915" t="s">
        <v>1312</v>
      </c>
      <c r="G34" s="917" t="s">
        <v>1300</v>
      </c>
      <c r="H34" s="917">
        <v>11.5</v>
      </c>
      <c r="I34" s="917">
        <v>200</v>
      </c>
      <c r="J34" s="933">
        <v>2000</v>
      </c>
      <c r="K34" s="918">
        <f t="shared" si="0"/>
        <v>69</v>
      </c>
    </row>
    <row r="35" spans="5:11">
      <c r="E35" s="1274"/>
      <c r="F35" s="906" t="s">
        <v>1314</v>
      </c>
      <c r="G35" s="450" t="s">
        <v>1304</v>
      </c>
      <c r="H35" s="450">
        <v>7.5</v>
      </c>
      <c r="I35" s="446">
        <v>200</v>
      </c>
      <c r="J35" s="930">
        <v>1000</v>
      </c>
      <c r="K35" s="907">
        <f t="shared" si="0"/>
        <v>90</v>
      </c>
    </row>
    <row r="36" spans="5:11">
      <c r="E36" s="1274"/>
      <c r="F36" s="906" t="s">
        <v>1314</v>
      </c>
      <c r="G36" s="446" t="s">
        <v>1302</v>
      </c>
      <c r="H36" s="446">
        <v>11</v>
      </c>
      <c r="I36" s="446">
        <v>200</v>
      </c>
      <c r="J36" s="930">
        <v>1000</v>
      </c>
      <c r="K36" s="907">
        <f t="shared" si="0"/>
        <v>132</v>
      </c>
    </row>
    <row r="37" spans="5:11">
      <c r="E37" s="1274"/>
      <c r="F37" s="906" t="s">
        <v>1314</v>
      </c>
      <c r="G37" s="446" t="s">
        <v>1300</v>
      </c>
      <c r="H37" s="446">
        <v>11.5</v>
      </c>
      <c r="I37" s="446">
        <v>200</v>
      </c>
      <c r="J37" s="930">
        <v>1000</v>
      </c>
      <c r="K37" s="907">
        <f t="shared" si="0"/>
        <v>138</v>
      </c>
    </row>
    <row r="38" spans="5:11">
      <c r="E38" s="1274"/>
      <c r="F38" s="915" t="s">
        <v>1315</v>
      </c>
      <c r="G38" s="916" t="s">
        <v>1304</v>
      </c>
      <c r="H38" s="916">
        <v>7.5</v>
      </c>
      <c r="I38" s="917">
        <v>200</v>
      </c>
      <c r="J38" s="933">
        <v>2000</v>
      </c>
      <c r="K38" s="918">
        <f t="shared" si="0"/>
        <v>45</v>
      </c>
    </row>
    <row r="39" spans="5:11">
      <c r="E39" s="1274"/>
      <c r="F39" s="915" t="s">
        <v>1315</v>
      </c>
      <c r="G39" s="917" t="s">
        <v>1302</v>
      </c>
      <c r="H39" s="917">
        <v>11</v>
      </c>
      <c r="I39" s="917">
        <v>200</v>
      </c>
      <c r="J39" s="933">
        <v>2000</v>
      </c>
      <c r="K39" s="918">
        <f t="shared" si="0"/>
        <v>66</v>
      </c>
    </row>
    <row r="40" spans="5:11">
      <c r="E40" s="1274"/>
      <c r="F40" s="915" t="s">
        <v>1315</v>
      </c>
      <c r="G40" s="917" t="s">
        <v>1300</v>
      </c>
      <c r="H40" s="917">
        <v>11.5</v>
      </c>
      <c r="I40" s="917">
        <v>200</v>
      </c>
      <c r="J40" s="933">
        <v>2000</v>
      </c>
      <c r="K40" s="918">
        <f t="shared" si="0"/>
        <v>69</v>
      </c>
    </row>
    <row r="41" spans="5:11">
      <c r="E41" s="1274"/>
      <c r="F41" s="906" t="s">
        <v>661</v>
      </c>
      <c r="G41" s="450" t="s">
        <v>1304</v>
      </c>
      <c r="H41" s="450">
        <v>7.5</v>
      </c>
      <c r="I41" s="446">
        <v>200</v>
      </c>
      <c r="J41" s="930">
        <v>1000</v>
      </c>
      <c r="K41" s="907">
        <f t="shared" si="0"/>
        <v>90</v>
      </c>
    </row>
    <row r="42" spans="5:11">
      <c r="E42" s="1274"/>
      <c r="F42" s="906" t="s">
        <v>661</v>
      </c>
      <c r="G42" s="446" t="s">
        <v>1302</v>
      </c>
      <c r="H42" s="446">
        <v>11</v>
      </c>
      <c r="I42" s="446">
        <v>200</v>
      </c>
      <c r="J42" s="930">
        <v>1000</v>
      </c>
      <c r="K42" s="907">
        <f t="shared" si="0"/>
        <v>132</v>
      </c>
    </row>
    <row r="43" spans="5:11">
      <c r="E43" s="1274"/>
      <c r="F43" s="906" t="s">
        <v>661</v>
      </c>
      <c r="G43" s="446" t="s">
        <v>1300</v>
      </c>
      <c r="H43" s="446">
        <v>11.5</v>
      </c>
      <c r="I43" s="446">
        <v>200</v>
      </c>
      <c r="J43" s="930">
        <v>1000</v>
      </c>
      <c r="K43" s="907">
        <f t="shared" si="0"/>
        <v>138</v>
      </c>
    </row>
    <row r="44" spans="5:11">
      <c r="E44" s="1274"/>
      <c r="F44" s="915" t="s">
        <v>662</v>
      </c>
      <c r="G44" s="916" t="s">
        <v>1304</v>
      </c>
      <c r="H44" s="916">
        <v>7.5</v>
      </c>
      <c r="I44" s="917">
        <v>200</v>
      </c>
      <c r="J44" s="933">
        <v>1000</v>
      </c>
      <c r="K44" s="918">
        <f t="shared" si="0"/>
        <v>90</v>
      </c>
    </row>
    <row r="45" spans="5:11">
      <c r="E45" s="1274"/>
      <c r="F45" s="915" t="s">
        <v>662</v>
      </c>
      <c r="G45" s="917" t="s">
        <v>1302</v>
      </c>
      <c r="H45" s="917">
        <v>11</v>
      </c>
      <c r="I45" s="917">
        <v>200</v>
      </c>
      <c r="J45" s="933">
        <v>1000</v>
      </c>
      <c r="K45" s="918">
        <f t="shared" si="0"/>
        <v>132</v>
      </c>
    </row>
    <row r="46" spans="5:11">
      <c r="E46" s="1274"/>
      <c r="F46" s="919" t="s">
        <v>662</v>
      </c>
      <c r="G46" s="921" t="s">
        <v>1300</v>
      </c>
      <c r="H46" s="921">
        <v>11.5</v>
      </c>
      <c r="I46" s="921">
        <v>200</v>
      </c>
      <c r="J46" s="978">
        <v>1000</v>
      </c>
      <c r="K46" s="922">
        <f t="shared" si="0"/>
        <v>138</v>
      </c>
    </row>
    <row r="47" spans="5:11">
      <c r="E47" s="1274">
        <v>402</v>
      </c>
      <c r="F47" s="911" t="s">
        <v>1298</v>
      </c>
      <c r="G47" s="912" t="s">
        <v>1304</v>
      </c>
      <c r="H47" s="912">
        <v>7.5</v>
      </c>
      <c r="I47" s="913">
        <v>150</v>
      </c>
      <c r="J47" s="932">
        <v>1000</v>
      </c>
      <c r="K47" s="914">
        <f>I47*H47*60/J47</f>
        <v>67.5</v>
      </c>
    </row>
    <row r="48" spans="5:11">
      <c r="E48" s="1274"/>
      <c r="F48" s="915" t="s">
        <v>1298</v>
      </c>
      <c r="G48" s="917" t="s">
        <v>1302</v>
      </c>
      <c r="H48" s="917">
        <v>11</v>
      </c>
      <c r="I48" s="917">
        <v>150</v>
      </c>
      <c r="J48" s="933">
        <v>1000</v>
      </c>
      <c r="K48" s="918">
        <f>I48*H48*60/J48</f>
        <v>99</v>
      </c>
    </row>
    <row r="49" spans="5:11">
      <c r="E49" s="1274"/>
      <c r="F49" s="915" t="s">
        <v>1298</v>
      </c>
      <c r="G49" s="917" t="s">
        <v>1300</v>
      </c>
      <c r="H49" s="917">
        <v>11.5</v>
      </c>
      <c r="I49" s="917">
        <v>150</v>
      </c>
      <c r="J49" s="933">
        <v>1000</v>
      </c>
      <c r="K49" s="918">
        <f>I49*H49*60/J49</f>
        <v>103.5</v>
      </c>
    </row>
    <row r="50" spans="5:11">
      <c r="E50" s="1274"/>
      <c r="F50" s="906" t="s">
        <v>1305</v>
      </c>
      <c r="G50" s="450" t="s">
        <v>1304</v>
      </c>
      <c r="H50" s="450">
        <v>7.5</v>
      </c>
      <c r="I50" s="446">
        <v>150</v>
      </c>
      <c r="J50" s="930">
        <v>1000</v>
      </c>
      <c r="K50" s="907">
        <f t="shared" ref="K50:K79" si="1">I50*H50*60/J50</f>
        <v>67.5</v>
      </c>
    </row>
    <row r="51" spans="5:11">
      <c r="E51" s="1274"/>
      <c r="F51" s="906" t="s">
        <v>1305</v>
      </c>
      <c r="G51" s="446" t="s">
        <v>1302</v>
      </c>
      <c r="H51" s="446">
        <v>11</v>
      </c>
      <c r="I51" s="446">
        <v>150</v>
      </c>
      <c r="J51" s="930">
        <v>1000</v>
      </c>
      <c r="K51" s="907">
        <f t="shared" si="1"/>
        <v>99</v>
      </c>
    </row>
    <row r="52" spans="5:11">
      <c r="E52" s="1274"/>
      <c r="F52" s="906" t="s">
        <v>1305</v>
      </c>
      <c r="G52" s="446" t="s">
        <v>1300</v>
      </c>
      <c r="H52" s="446">
        <v>11.5</v>
      </c>
      <c r="I52" s="446">
        <v>150</v>
      </c>
      <c r="J52" s="930">
        <v>1000</v>
      </c>
      <c r="K52" s="907">
        <f t="shared" si="1"/>
        <v>103.5</v>
      </c>
    </row>
    <row r="53" spans="5:11">
      <c r="E53" s="1274"/>
      <c r="F53" s="915" t="s">
        <v>517</v>
      </c>
      <c r="G53" s="916" t="s">
        <v>1304</v>
      </c>
      <c r="H53" s="916">
        <v>7.5</v>
      </c>
      <c r="I53" s="917">
        <v>150</v>
      </c>
      <c r="J53" s="933">
        <v>1000</v>
      </c>
      <c r="K53" s="918">
        <f t="shared" si="1"/>
        <v>67.5</v>
      </c>
    </row>
    <row r="54" spans="5:11">
      <c r="E54" s="1274"/>
      <c r="F54" s="915" t="s">
        <v>517</v>
      </c>
      <c r="G54" s="917" t="s">
        <v>1302</v>
      </c>
      <c r="H54" s="917">
        <v>11</v>
      </c>
      <c r="I54" s="917">
        <v>150</v>
      </c>
      <c r="J54" s="933">
        <v>1000</v>
      </c>
      <c r="K54" s="918">
        <f t="shared" si="1"/>
        <v>99</v>
      </c>
    </row>
    <row r="55" spans="5:11">
      <c r="E55" s="1274"/>
      <c r="F55" s="915" t="s">
        <v>517</v>
      </c>
      <c r="G55" s="917" t="s">
        <v>1300</v>
      </c>
      <c r="H55" s="917">
        <v>11.5</v>
      </c>
      <c r="I55" s="917">
        <v>150</v>
      </c>
      <c r="J55" s="933">
        <v>1000</v>
      </c>
      <c r="K55" s="918">
        <f t="shared" si="1"/>
        <v>103.5</v>
      </c>
    </row>
    <row r="56" spans="5:11">
      <c r="E56" s="1274"/>
      <c r="F56" s="906" t="s">
        <v>519</v>
      </c>
      <c r="G56" s="450" t="s">
        <v>1304</v>
      </c>
      <c r="H56" s="450">
        <v>7.5</v>
      </c>
      <c r="I56" s="446">
        <v>150</v>
      </c>
      <c r="J56" s="446">
        <v>600</v>
      </c>
      <c r="K56" s="907">
        <f t="shared" si="1"/>
        <v>112.5</v>
      </c>
    </row>
    <row r="57" spans="5:11">
      <c r="E57" s="1274"/>
      <c r="F57" s="906" t="s">
        <v>519</v>
      </c>
      <c r="G57" s="446" t="s">
        <v>1302</v>
      </c>
      <c r="H57" s="446">
        <v>11</v>
      </c>
      <c r="I57" s="446">
        <v>150</v>
      </c>
      <c r="J57" s="446">
        <v>600</v>
      </c>
      <c r="K57" s="907">
        <f t="shared" si="1"/>
        <v>165</v>
      </c>
    </row>
    <row r="58" spans="5:11">
      <c r="E58" s="1274"/>
      <c r="F58" s="906" t="s">
        <v>519</v>
      </c>
      <c r="G58" s="446" t="s">
        <v>1300</v>
      </c>
      <c r="H58" s="446">
        <v>11.5</v>
      </c>
      <c r="I58" s="446">
        <v>150</v>
      </c>
      <c r="J58" s="446">
        <v>600</v>
      </c>
      <c r="K58" s="907">
        <f t="shared" si="1"/>
        <v>172.5</v>
      </c>
    </row>
    <row r="59" spans="5:11">
      <c r="E59" s="1274"/>
      <c r="F59" s="915" t="s">
        <v>538</v>
      </c>
      <c r="G59" s="916" t="s">
        <v>1304</v>
      </c>
      <c r="H59" s="916">
        <v>7.5</v>
      </c>
      <c r="I59" s="917">
        <v>150</v>
      </c>
      <c r="J59" s="933">
        <v>1000</v>
      </c>
      <c r="K59" s="918">
        <f t="shared" si="1"/>
        <v>67.5</v>
      </c>
    </row>
    <row r="60" spans="5:11">
      <c r="E60" s="1274"/>
      <c r="F60" s="915" t="s">
        <v>538</v>
      </c>
      <c r="G60" s="917" t="s">
        <v>1302</v>
      </c>
      <c r="H60" s="917">
        <v>11</v>
      </c>
      <c r="I60" s="917">
        <v>150</v>
      </c>
      <c r="J60" s="933">
        <v>1000</v>
      </c>
      <c r="K60" s="918">
        <f t="shared" si="1"/>
        <v>99</v>
      </c>
    </row>
    <row r="61" spans="5:11">
      <c r="E61" s="1274"/>
      <c r="F61" s="915" t="s">
        <v>538</v>
      </c>
      <c r="G61" s="917" t="s">
        <v>1300</v>
      </c>
      <c r="H61" s="917">
        <v>11.5</v>
      </c>
      <c r="I61" s="917">
        <v>150</v>
      </c>
      <c r="J61" s="933">
        <v>1000</v>
      </c>
      <c r="K61" s="918">
        <f t="shared" si="1"/>
        <v>103.5</v>
      </c>
    </row>
    <row r="62" spans="5:11">
      <c r="E62" s="1274"/>
      <c r="F62" s="906" t="s">
        <v>539</v>
      </c>
      <c r="G62" s="450" t="s">
        <v>1304</v>
      </c>
      <c r="H62" s="450">
        <v>7.5</v>
      </c>
      <c r="I62" s="446">
        <v>150</v>
      </c>
      <c r="J62" s="930">
        <v>1000</v>
      </c>
      <c r="K62" s="907">
        <f t="shared" si="1"/>
        <v>67.5</v>
      </c>
    </row>
    <row r="63" spans="5:11">
      <c r="E63" s="1274"/>
      <c r="F63" s="906" t="s">
        <v>539</v>
      </c>
      <c r="G63" s="446" t="s">
        <v>1302</v>
      </c>
      <c r="H63" s="446">
        <v>11</v>
      </c>
      <c r="I63" s="446">
        <v>150</v>
      </c>
      <c r="J63" s="930">
        <v>1000</v>
      </c>
      <c r="K63" s="907">
        <f t="shared" si="1"/>
        <v>99</v>
      </c>
    </row>
    <row r="64" spans="5:11">
      <c r="E64" s="1274"/>
      <c r="F64" s="906" t="s">
        <v>539</v>
      </c>
      <c r="G64" s="446" t="s">
        <v>1300</v>
      </c>
      <c r="H64" s="446">
        <v>11.5</v>
      </c>
      <c r="I64" s="446">
        <v>150</v>
      </c>
      <c r="J64" s="930">
        <v>1000</v>
      </c>
      <c r="K64" s="907">
        <f t="shared" si="1"/>
        <v>103.5</v>
      </c>
    </row>
    <row r="65" spans="5:11">
      <c r="E65" s="1274"/>
      <c r="F65" s="915" t="s">
        <v>540</v>
      </c>
      <c r="G65" s="916" t="s">
        <v>1304</v>
      </c>
      <c r="H65" s="916">
        <v>7.5</v>
      </c>
      <c r="I65" s="917">
        <v>150</v>
      </c>
      <c r="J65" s="933">
        <v>1000</v>
      </c>
      <c r="K65" s="918">
        <f t="shared" si="1"/>
        <v>67.5</v>
      </c>
    </row>
    <row r="66" spans="5:11">
      <c r="E66" s="1274"/>
      <c r="F66" s="915" t="s">
        <v>540</v>
      </c>
      <c r="G66" s="917" t="s">
        <v>1302</v>
      </c>
      <c r="H66" s="917">
        <v>11</v>
      </c>
      <c r="I66" s="917">
        <v>150</v>
      </c>
      <c r="J66" s="933">
        <v>1000</v>
      </c>
      <c r="K66" s="918">
        <f t="shared" si="1"/>
        <v>99</v>
      </c>
    </row>
    <row r="67" spans="5:11">
      <c r="E67" s="1274"/>
      <c r="F67" s="915" t="s">
        <v>540</v>
      </c>
      <c r="G67" s="917" t="s">
        <v>1300</v>
      </c>
      <c r="H67" s="917">
        <v>11.5</v>
      </c>
      <c r="I67" s="917">
        <v>150</v>
      </c>
      <c r="J67" s="933">
        <v>1000</v>
      </c>
      <c r="K67" s="918">
        <f t="shared" si="1"/>
        <v>103.5</v>
      </c>
    </row>
    <row r="68" spans="5:11">
      <c r="E68" s="1274"/>
      <c r="F68" s="906" t="s">
        <v>1311</v>
      </c>
      <c r="G68" s="450" t="s">
        <v>1304</v>
      </c>
      <c r="H68" s="450">
        <v>7.5</v>
      </c>
      <c r="I68" s="446">
        <v>150</v>
      </c>
      <c r="J68" s="930">
        <v>1000</v>
      </c>
      <c r="K68" s="907">
        <f t="shared" si="1"/>
        <v>67.5</v>
      </c>
    </row>
    <row r="69" spans="5:11">
      <c r="E69" s="1274"/>
      <c r="F69" s="906" t="s">
        <v>1311</v>
      </c>
      <c r="G69" s="446" t="s">
        <v>1302</v>
      </c>
      <c r="H69" s="446">
        <v>11</v>
      </c>
      <c r="I69" s="446">
        <v>150</v>
      </c>
      <c r="J69" s="930">
        <v>1000</v>
      </c>
      <c r="K69" s="907">
        <f t="shared" si="1"/>
        <v>99</v>
      </c>
    </row>
    <row r="70" spans="5:11">
      <c r="E70" s="1274"/>
      <c r="F70" s="906" t="s">
        <v>1311</v>
      </c>
      <c r="G70" s="446" t="s">
        <v>1300</v>
      </c>
      <c r="H70" s="446">
        <v>11.5</v>
      </c>
      <c r="I70" s="446">
        <v>150</v>
      </c>
      <c r="J70" s="930">
        <v>1000</v>
      </c>
      <c r="K70" s="907">
        <f t="shared" si="1"/>
        <v>103.5</v>
      </c>
    </row>
    <row r="71" spans="5:11">
      <c r="E71" s="1274"/>
      <c r="F71" s="915" t="s">
        <v>1312</v>
      </c>
      <c r="G71" s="916" t="s">
        <v>1304</v>
      </c>
      <c r="H71" s="916">
        <v>7.5</v>
      </c>
      <c r="I71" s="917">
        <v>150</v>
      </c>
      <c r="J71" s="933">
        <v>2000</v>
      </c>
      <c r="K71" s="918">
        <f t="shared" si="1"/>
        <v>33.75</v>
      </c>
    </row>
    <row r="72" spans="5:11">
      <c r="E72" s="1274"/>
      <c r="F72" s="915" t="s">
        <v>1312</v>
      </c>
      <c r="G72" s="917" t="s">
        <v>1302</v>
      </c>
      <c r="H72" s="917">
        <v>11</v>
      </c>
      <c r="I72" s="917">
        <v>150</v>
      </c>
      <c r="J72" s="933">
        <v>2000</v>
      </c>
      <c r="K72" s="918">
        <f t="shared" si="1"/>
        <v>49.5</v>
      </c>
    </row>
    <row r="73" spans="5:11">
      <c r="E73" s="1274"/>
      <c r="F73" s="915" t="s">
        <v>1312</v>
      </c>
      <c r="G73" s="916" t="s">
        <v>1300</v>
      </c>
      <c r="H73" s="916">
        <v>11.5</v>
      </c>
      <c r="I73" s="917">
        <v>150</v>
      </c>
      <c r="J73" s="933">
        <v>2000</v>
      </c>
      <c r="K73" s="918">
        <f t="shared" si="1"/>
        <v>51.75</v>
      </c>
    </row>
    <row r="74" spans="5:11">
      <c r="E74" s="1274"/>
      <c r="F74" s="906" t="s">
        <v>1314</v>
      </c>
      <c r="G74" s="450" t="s">
        <v>1304</v>
      </c>
      <c r="H74" s="450">
        <v>7.5</v>
      </c>
      <c r="I74" s="446">
        <v>150</v>
      </c>
      <c r="J74" s="930">
        <v>1000</v>
      </c>
      <c r="K74" s="907">
        <f t="shared" si="1"/>
        <v>67.5</v>
      </c>
    </row>
    <row r="75" spans="5:11">
      <c r="E75" s="1274"/>
      <c r="F75" s="906" t="s">
        <v>1314</v>
      </c>
      <c r="G75" s="446" t="s">
        <v>1302</v>
      </c>
      <c r="H75" s="446">
        <v>11</v>
      </c>
      <c r="I75" s="446">
        <v>150</v>
      </c>
      <c r="J75" s="930">
        <v>1000</v>
      </c>
      <c r="K75" s="907">
        <f t="shared" si="1"/>
        <v>99</v>
      </c>
    </row>
    <row r="76" spans="5:11">
      <c r="E76" s="1274"/>
      <c r="F76" s="906" t="s">
        <v>1314</v>
      </c>
      <c r="G76" s="446" t="s">
        <v>1300</v>
      </c>
      <c r="H76" s="446">
        <v>11.5</v>
      </c>
      <c r="I76" s="446">
        <v>150</v>
      </c>
      <c r="J76" s="930">
        <v>1000</v>
      </c>
      <c r="K76" s="907">
        <f t="shared" si="1"/>
        <v>103.5</v>
      </c>
    </row>
    <row r="77" spans="5:11">
      <c r="E77" s="1274"/>
      <c r="F77" s="915" t="s">
        <v>1315</v>
      </c>
      <c r="G77" s="916" t="s">
        <v>1304</v>
      </c>
      <c r="H77" s="916">
        <v>7.5</v>
      </c>
      <c r="I77" s="917">
        <v>150</v>
      </c>
      <c r="J77" s="933">
        <v>2000</v>
      </c>
      <c r="K77" s="918">
        <f>I77*H77*60/J77</f>
        <v>33.75</v>
      </c>
    </row>
    <row r="78" spans="5:11">
      <c r="E78" s="1274"/>
      <c r="F78" s="915" t="s">
        <v>1315</v>
      </c>
      <c r="G78" s="917" t="s">
        <v>1302</v>
      </c>
      <c r="H78" s="917">
        <v>11</v>
      </c>
      <c r="I78" s="917">
        <v>150</v>
      </c>
      <c r="J78" s="933">
        <v>2000</v>
      </c>
      <c r="K78" s="918">
        <f t="shared" si="1"/>
        <v>49.5</v>
      </c>
    </row>
    <row r="79" spans="5:11">
      <c r="E79" s="1274"/>
      <c r="F79" s="919" t="s">
        <v>1315</v>
      </c>
      <c r="G79" s="921" t="s">
        <v>1300</v>
      </c>
      <c r="H79" s="921">
        <v>11.5</v>
      </c>
      <c r="I79" s="921">
        <v>150</v>
      </c>
      <c r="J79" s="978">
        <v>2000</v>
      </c>
      <c r="K79" s="922">
        <f t="shared" si="1"/>
        <v>51.75</v>
      </c>
    </row>
    <row r="80" spans="5:11">
      <c r="E80" s="1274">
        <v>403</v>
      </c>
      <c r="F80" s="911" t="s">
        <v>538</v>
      </c>
      <c r="G80" s="912" t="s">
        <v>1304</v>
      </c>
      <c r="H80" s="912">
        <v>7.5</v>
      </c>
      <c r="I80" s="913">
        <v>300</v>
      </c>
      <c r="J80" s="932">
        <v>1000</v>
      </c>
      <c r="K80" s="914">
        <f>I80*H80*60/J80</f>
        <v>135</v>
      </c>
    </row>
    <row r="81" spans="5:11">
      <c r="E81" s="1274"/>
      <c r="F81" s="915" t="s">
        <v>538</v>
      </c>
      <c r="G81" s="917" t="s">
        <v>1302</v>
      </c>
      <c r="H81" s="917">
        <v>11</v>
      </c>
      <c r="I81" s="917">
        <v>300</v>
      </c>
      <c r="J81" s="933">
        <v>1000</v>
      </c>
      <c r="K81" s="918">
        <f>I81*H81*60/J81</f>
        <v>198</v>
      </c>
    </row>
    <row r="82" spans="5:11">
      <c r="E82" s="1274"/>
      <c r="F82" s="915" t="s">
        <v>538</v>
      </c>
      <c r="G82" s="917" t="s">
        <v>1300</v>
      </c>
      <c r="H82" s="917">
        <v>11.5</v>
      </c>
      <c r="I82" s="917">
        <v>300</v>
      </c>
      <c r="J82" s="933">
        <v>1000</v>
      </c>
      <c r="K82" s="918">
        <f>I82*H82*60/J82</f>
        <v>207</v>
      </c>
    </row>
    <row r="83" spans="5:11">
      <c r="E83" s="1274"/>
      <c r="F83" s="906" t="s">
        <v>540</v>
      </c>
      <c r="G83" s="450" t="s">
        <v>1304</v>
      </c>
      <c r="H83" s="450">
        <v>7.5</v>
      </c>
      <c r="I83" s="446">
        <v>300</v>
      </c>
      <c r="J83" s="930">
        <v>1000</v>
      </c>
      <c r="K83" s="907">
        <f t="shared" ref="K83:K127" si="2">I83*H83*60/J83</f>
        <v>135</v>
      </c>
    </row>
    <row r="84" spans="5:11">
      <c r="E84" s="1274"/>
      <c r="F84" s="906" t="s">
        <v>540</v>
      </c>
      <c r="G84" s="446" t="s">
        <v>1302</v>
      </c>
      <c r="H84" s="446">
        <v>11</v>
      </c>
      <c r="I84" s="446">
        <v>300</v>
      </c>
      <c r="J84" s="930">
        <v>1000</v>
      </c>
      <c r="K84" s="907">
        <f t="shared" si="2"/>
        <v>198</v>
      </c>
    </row>
    <row r="85" spans="5:11">
      <c r="E85" s="1274"/>
      <c r="F85" s="906" t="s">
        <v>540</v>
      </c>
      <c r="G85" s="446" t="s">
        <v>1300</v>
      </c>
      <c r="H85" s="446">
        <v>11.5</v>
      </c>
      <c r="I85" s="446">
        <v>300</v>
      </c>
      <c r="J85" s="930">
        <v>1000</v>
      </c>
      <c r="K85" s="907">
        <f t="shared" si="2"/>
        <v>207</v>
      </c>
    </row>
    <row r="86" spans="5:11">
      <c r="E86" s="1274"/>
      <c r="F86" s="915" t="s">
        <v>517</v>
      </c>
      <c r="G86" s="916" t="s">
        <v>1304</v>
      </c>
      <c r="H86" s="916">
        <v>7.5</v>
      </c>
      <c r="I86" s="917">
        <v>250</v>
      </c>
      <c r="J86" s="933">
        <v>1000</v>
      </c>
      <c r="K86" s="918">
        <f t="shared" si="2"/>
        <v>112.5</v>
      </c>
    </row>
    <row r="87" spans="5:11">
      <c r="E87" s="1274"/>
      <c r="F87" s="915" t="s">
        <v>517</v>
      </c>
      <c r="G87" s="917" t="s">
        <v>1302</v>
      </c>
      <c r="H87" s="917">
        <v>11</v>
      </c>
      <c r="I87" s="917">
        <v>250</v>
      </c>
      <c r="J87" s="933">
        <v>1000</v>
      </c>
      <c r="K87" s="918">
        <f t="shared" si="2"/>
        <v>165</v>
      </c>
    </row>
    <row r="88" spans="5:11">
      <c r="E88" s="1274"/>
      <c r="F88" s="915" t="s">
        <v>517</v>
      </c>
      <c r="G88" s="917" t="s">
        <v>1300</v>
      </c>
      <c r="H88" s="917">
        <v>11.5</v>
      </c>
      <c r="I88" s="917">
        <v>250</v>
      </c>
      <c r="J88" s="933">
        <v>1000</v>
      </c>
      <c r="K88" s="918">
        <f t="shared" si="2"/>
        <v>172.5</v>
      </c>
    </row>
    <row r="89" spans="5:11">
      <c r="E89" s="1274"/>
      <c r="F89" s="906" t="s">
        <v>1308</v>
      </c>
      <c r="G89" s="450" t="s">
        <v>1304</v>
      </c>
      <c r="H89" s="450">
        <v>7.5</v>
      </c>
      <c r="I89" s="446">
        <v>250</v>
      </c>
      <c r="J89" s="446">
        <v>1000</v>
      </c>
      <c r="K89" s="907">
        <f t="shared" si="2"/>
        <v>112.5</v>
      </c>
    </row>
    <row r="90" spans="5:11">
      <c r="E90" s="1274"/>
      <c r="F90" s="906" t="s">
        <v>1308</v>
      </c>
      <c r="G90" s="446" t="s">
        <v>1302</v>
      </c>
      <c r="H90" s="446">
        <v>11</v>
      </c>
      <c r="I90" s="446">
        <v>250</v>
      </c>
      <c r="J90" s="446">
        <v>1000</v>
      </c>
      <c r="K90" s="907">
        <f t="shared" si="2"/>
        <v>165</v>
      </c>
    </row>
    <row r="91" spans="5:11">
      <c r="E91" s="1274"/>
      <c r="F91" s="906" t="s">
        <v>1308</v>
      </c>
      <c r="G91" s="446" t="s">
        <v>1300</v>
      </c>
      <c r="H91" s="446">
        <v>11.5</v>
      </c>
      <c r="I91" s="446">
        <v>250</v>
      </c>
      <c r="J91" s="446">
        <v>1000</v>
      </c>
      <c r="K91" s="907">
        <f t="shared" si="2"/>
        <v>172.5</v>
      </c>
    </row>
    <row r="92" spans="5:11">
      <c r="E92" s="1274"/>
      <c r="F92" s="915" t="s">
        <v>519</v>
      </c>
      <c r="G92" s="916" t="s">
        <v>1304</v>
      </c>
      <c r="H92" s="916">
        <v>7.5</v>
      </c>
      <c r="I92" s="917">
        <v>300</v>
      </c>
      <c r="J92" s="933">
        <v>1000</v>
      </c>
      <c r="K92" s="918">
        <f t="shared" si="2"/>
        <v>135</v>
      </c>
    </row>
    <row r="93" spans="5:11">
      <c r="E93" s="1274"/>
      <c r="F93" s="915" t="s">
        <v>519</v>
      </c>
      <c r="G93" s="917" t="s">
        <v>1302</v>
      </c>
      <c r="H93" s="917">
        <v>11</v>
      </c>
      <c r="I93" s="917">
        <v>300</v>
      </c>
      <c r="J93" s="933">
        <v>1000</v>
      </c>
      <c r="K93" s="918">
        <f t="shared" si="2"/>
        <v>198</v>
      </c>
    </row>
    <row r="94" spans="5:11">
      <c r="E94" s="1274"/>
      <c r="F94" s="915" t="s">
        <v>519</v>
      </c>
      <c r="G94" s="917" t="s">
        <v>1300</v>
      </c>
      <c r="H94" s="917">
        <v>11.5</v>
      </c>
      <c r="I94" s="917">
        <v>300</v>
      </c>
      <c r="J94" s="933">
        <v>1000</v>
      </c>
      <c r="K94" s="918">
        <f t="shared" si="2"/>
        <v>207</v>
      </c>
    </row>
    <row r="95" spans="5:11">
      <c r="E95" s="1274"/>
      <c r="F95" s="906" t="s">
        <v>1325</v>
      </c>
      <c r="G95" s="450" t="s">
        <v>1304</v>
      </c>
      <c r="H95" s="450">
        <v>7.5</v>
      </c>
      <c r="I95" s="446">
        <v>300</v>
      </c>
      <c r="J95" s="930">
        <v>1000</v>
      </c>
      <c r="K95" s="907">
        <f t="shared" si="2"/>
        <v>135</v>
      </c>
    </row>
    <row r="96" spans="5:11">
      <c r="E96" s="1274"/>
      <c r="F96" s="906" t="s">
        <v>1325</v>
      </c>
      <c r="G96" s="446" t="s">
        <v>1302</v>
      </c>
      <c r="H96" s="446">
        <v>11</v>
      </c>
      <c r="I96" s="446">
        <v>300</v>
      </c>
      <c r="J96" s="930">
        <v>1000</v>
      </c>
      <c r="K96" s="907">
        <f t="shared" si="2"/>
        <v>198</v>
      </c>
    </row>
    <row r="97" spans="5:11">
      <c r="E97" s="1274"/>
      <c r="F97" s="906" t="s">
        <v>1325</v>
      </c>
      <c r="G97" s="446" t="s">
        <v>1300</v>
      </c>
      <c r="H97" s="446">
        <v>11.5</v>
      </c>
      <c r="I97" s="446">
        <v>300</v>
      </c>
      <c r="J97" s="930">
        <v>1000</v>
      </c>
      <c r="K97" s="907">
        <f t="shared" si="2"/>
        <v>207</v>
      </c>
    </row>
    <row r="98" spans="5:11">
      <c r="E98" s="1274"/>
      <c r="F98" s="915" t="s">
        <v>1407</v>
      </c>
      <c r="G98" s="916" t="s">
        <v>1304</v>
      </c>
      <c r="H98" s="916">
        <v>7.5</v>
      </c>
      <c r="I98" s="917">
        <v>280</v>
      </c>
      <c r="J98" s="933">
        <v>1000</v>
      </c>
      <c r="K98" s="918">
        <f t="shared" si="2"/>
        <v>126</v>
      </c>
    </row>
    <row r="99" spans="5:11">
      <c r="E99" s="1274"/>
      <c r="F99" s="915" t="s">
        <v>1407</v>
      </c>
      <c r="G99" s="917" t="s">
        <v>1302</v>
      </c>
      <c r="H99" s="917">
        <v>11</v>
      </c>
      <c r="I99" s="917">
        <v>280</v>
      </c>
      <c r="J99" s="933">
        <v>1000</v>
      </c>
      <c r="K99" s="918">
        <f t="shared" si="2"/>
        <v>184.8</v>
      </c>
    </row>
    <row r="100" spans="5:11">
      <c r="E100" s="1274"/>
      <c r="F100" s="915" t="s">
        <v>1407</v>
      </c>
      <c r="G100" s="917" t="s">
        <v>1300</v>
      </c>
      <c r="H100" s="917">
        <v>11.5</v>
      </c>
      <c r="I100" s="917">
        <v>280</v>
      </c>
      <c r="J100" s="933">
        <v>1000</v>
      </c>
      <c r="K100" s="918">
        <f t="shared" si="2"/>
        <v>193.2</v>
      </c>
    </row>
    <row r="101" spans="5:11">
      <c r="E101" s="1274"/>
      <c r="F101" s="906" t="s">
        <v>522</v>
      </c>
      <c r="G101" s="450" t="s">
        <v>1304</v>
      </c>
      <c r="H101" s="450">
        <v>7.5</v>
      </c>
      <c r="I101" s="446">
        <v>300</v>
      </c>
      <c r="J101" s="930">
        <v>1000</v>
      </c>
      <c r="K101" s="907">
        <f t="shared" si="2"/>
        <v>135</v>
      </c>
    </row>
    <row r="102" spans="5:11">
      <c r="E102" s="1274"/>
      <c r="F102" s="906" t="s">
        <v>522</v>
      </c>
      <c r="G102" s="446" t="s">
        <v>1302</v>
      </c>
      <c r="H102" s="446">
        <v>11</v>
      </c>
      <c r="I102" s="446">
        <v>300</v>
      </c>
      <c r="J102" s="930">
        <v>1000</v>
      </c>
      <c r="K102" s="907">
        <f t="shared" si="2"/>
        <v>198</v>
      </c>
    </row>
    <row r="103" spans="5:11">
      <c r="E103" s="1274"/>
      <c r="F103" s="906" t="s">
        <v>522</v>
      </c>
      <c r="G103" s="446" t="s">
        <v>1300</v>
      </c>
      <c r="H103" s="446">
        <v>11.5</v>
      </c>
      <c r="I103" s="446">
        <v>300</v>
      </c>
      <c r="J103" s="930">
        <v>1000</v>
      </c>
      <c r="K103" s="907">
        <f t="shared" si="2"/>
        <v>207</v>
      </c>
    </row>
    <row r="104" spans="5:11">
      <c r="E104" s="1274"/>
      <c r="F104" s="915" t="s">
        <v>523</v>
      </c>
      <c r="G104" s="916" t="s">
        <v>1304</v>
      </c>
      <c r="H104" s="916">
        <v>7.5</v>
      </c>
      <c r="I104" s="917">
        <v>300</v>
      </c>
      <c r="J104" s="933">
        <v>1000</v>
      </c>
      <c r="K104" s="918">
        <f t="shared" si="2"/>
        <v>135</v>
      </c>
    </row>
    <row r="105" spans="5:11">
      <c r="E105" s="1274"/>
      <c r="F105" s="915" t="s">
        <v>523</v>
      </c>
      <c r="G105" s="917" t="s">
        <v>1302</v>
      </c>
      <c r="H105" s="917">
        <v>11</v>
      </c>
      <c r="I105" s="917">
        <v>300</v>
      </c>
      <c r="J105" s="933">
        <v>1000</v>
      </c>
      <c r="K105" s="918">
        <f t="shared" si="2"/>
        <v>198</v>
      </c>
    </row>
    <row r="106" spans="5:11">
      <c r="E106" s="1274"/>
      <c r="F106" s="915" t="s">
        <v>523</v>
      </c>
      <c r="G106" s="916" t="s">
        <v>1300</v>
      </c>
      <c r="H106" s="916">
        <v>11.5</v>
      </c>
      <c r="I106" s="917">
        <v>300</v>
      </c>
      <c r="J106" s="933">
        <v>1000</v>
      </c>
      <c r="K106" s="918">
        <f t="shared" si="2"/>
        <v>207</v>
      </c>
    </row>
    <row r="107" spans="5:11">
      <c r="E107" s="1274"/>
      <c r="F107" s="906" t="s">
        <v>524</v>
      </c>
      <c r="G107" s="450" t="s">
        <v>1304</v>
      </c>
      <c r="H107" s="450">
        <v>7.5</v>
      </c>
      <c r="I107" s="446">
        <v>300</v>
      </c>
      <c r="J107" s="930">
        <v>1000</v>
      </c>
      <c r="K107" s="907">
        <f t="shared" si="2"/>
        <v>135</v>
      </c>
    </row>
    <row r="108" spans="5:11">
      <c r="E108" s="1274"/>
      <c r="F108" s="906" t="s">
        <v>524</v>
      </c>
      <c r="G108" s="446" t="s">
        <v>1302</v>
      </c>
      <c r="H108" s="446">
        <v>11</v>
      </c>
      <c r="I108" s="446">
        <v>300</v>
      </c>
      <c r="J108" s="930">
        <v>1000</v>
      </c>
      <c r="K108" s="907">
        <f t="shared" si="2"/>
        <v>198</v>
      </c>
    </row>
    <row r="109" spans="5:11">
      <c r="E109" s="1274"/>
      <c r="F109" s="906" t="s">
        <v>524</v>
      </c>
      <c r="G109" s="446" t="s">
        <v>1300</v>
      </c>
      <c r="H109" s="446">
        <v>11.5</v>
      </c>
      <c r="I109" s="446">
        <v>300</v>
      </c>
      <c r="J109" s="930">
        <v>1000</v>
      </c>
      <c r="K109" s="907">
        <f t="shared" si="2"/>
        <v>207</v>
      </c>
    </row>
    <row r="110" spans="5:11">
      <c r="E110" s="1274"/>
      <c r="F110" s="915" t="s">
        <v>550</v>
      </c>
      <c r="G110" s="916" t="s">
        <v>1304</v>
      </c>
      <c r="H110" s="916">
        <v>7.5</v>
      </c>
      <c r="I110" s="917">
        <v>280</v>
      </c>
      <c r="J110" s="933">
        <v>600</v>
      </c>
      <c r="K110" s="918">
        <f>I110*H110*60/J110</f>
        <v>210</v>
      </c>
    </row>
    <row r="111" spans="5:11">
      <c r="E111" s="1274"/>
      <c r="F111" s="915" t="s">
        <v>550</v>
      </c>
      <c r="G111" s="917" t="s">
        <v>1302</v>
      </c>
      <c r="H111" s="917">
        <v>11</v>
      </c>
      <c r="I111" s="917">
        <v>280</v>
      </c>
      <c r="J111" s="933">
        <v>600</v>
      </c>
      <c r="K111" s="918">
        <f t="shared" si="2"/>
        <v>308</v>
      </c>
    </row>
    <row r="112" spans="5:11">
      <c r="E112" s="1274"/>
      <c r="F112" s="915" t="s">
        <v>550</v>
      </c>
      <c r="G112" s="917" t="s">
        <v>1300</v>
      </c>
      <c r="H112" s="917">
        <v>11.5</v>
      </c>
      <c r="I112" s="917">
        <v>280</v>
      </c>
      <c r="J112" s="933">
        <v>600</v>
      </c>
      <c r="K112" s="918">
        <f t="shared" si="2"/>
        <v>322</v>
      </c>
    </row>
    <row r="113" spans="5:11">
      <c r="E113" s="1274"/>
      <c r="F113" s="906" t="s">
        <v>1327</v>
      </c>
      <c r="G113" s="450" t="s">
        <v>1304</v>
      </c>
      <c r="H113" s="450">
        <v>7.5</v>
      </c>
      <c r="I113" s="446">
        <v>180</v>
      </c>
      <c r="J113" s="930">
        <v>300</v>
      </c>
      <c r="K113" s="907">
        <f t="shared" si="2"/>
        <v>270</v>
      </c>
    </row>
    <row r="114" spans="5:11">
      <c r="E114" s="1274"/>
      <c r="F114" s="906" t="s">
        <v>1327</v>
      </c>
      <c r="G114" s="446" t="s">
        <v>1302</v>
      </c>
      <c r="H114" s="446">
        <v>11</v>
      </c>
      <c r="I114" s="446">
        <v>180</v>
      </c>
      <c r="J114" s="930">
        <v>300</v>
      </c>
      <c r="K114" s="907">
        <f t="shared" si="2"/>
        <v>396</v>
      </c>
    </row>
    <row r="115" spans="5:11">
      <c r="E115" s="1274"/>
      <c r="F115" s="906" t="s">
        <v>1327</v>
      </c>
      <c r="G115" s="446" t="s">
        <v>1300</v>
      </c>
      <c r="H115" s="446">
        <v>11.5</v>
      </c>
      <c r="I115" s="446">
        <v>180</v>
      </c>
      <c r="J115" s="930">
        <v>300</v>
      </c>
      <c r="K115" s="907">
        <f t="shared" si="2"/>
        <v>414</v>
      </c>
    </row>
    <row r="116" spans="5:11">
      <c r="E116" s="1274"/>
      <c r="F116" s="915" t="s">
        <v>1328</v>
      </c>
      <c r="G116" s="916" t="s">
        <v>1304</v>
      </c>
      <c r="H116" s="916">
        <v>7.5</v>
      </c>
      <c r="I116" s="917">
        <v>180</v>
      </c>
      <c r="J116" s="933">
        <v>500</v>
      </c>
      <c r="K116" s="918">
        <f>I116*H116*60/J116</f>
        <v>162</v>
      </c>
    </row>
    <row r="117" spans="5:11">
      <c r="E117" s="1274"/>
      <c r="F117" s="915" t="s">
        <v>1328</v>
      </c>
      <c r="G117" s="917" t="s">
        <v>1302</v>
      </c>
      <c r="H117" s="917">
        <v>11</v>
      </c>
      <c r="I117" s="917">
        <v>180</v>
      </c>
      <c r="J117" s="933">
        <v>500</v>
      </c>
      <c r="K117" s="918">
        <f>I117*H117*60/J117</f>
        <v>237.6</v>
      </c>
    </row>
    <row r="118" spans="5:11">
      <c r="E118" s="1274"/>
      <c r="F118" s="915" t="s">
        <v>1328</v>
      </c>
      <c r="G118" s="917" t="s">
        <v>1300</v>
      </c>
      <c r="H118" s="917">
        <v>11.5</v>
      </c>
      <c r="I118" s="917">
        <v>180</v>
      </c>
      <c r="J118" s="933">
        <v>500</v>
      </c>
      <c r="K118" s="918">
        <f>I118*H118*60/J118</f>
        <v>248.4</v>
      </c>
    </row>
    <row r="119" spans="5:11">
      <c r="E119" s="1274"/>
      <c r="F119" s="906" t="s">
        <v>554</v>
      </c>
      <c r="G119" s="450" t="s">
        <v>1304</v>
      </c>
      <c r="H119" s="450">
        <v>7.5</v>
      </c>
      <c r="I119" s="446">
        <v>150</v>
      </c>
      <c r="J119" s="930">
        <v>1000</v>
      </c>
      <c r="K119" s="907">
        <f t="shared" si="2"/>
        <v>67.5</v>
      </c>
    </row>
    <row r="120" spans="5:11">
      <c r="E120" s="1274"/>
      <c r="F120" s="906" t="s">
        <v>554</v>
      </c>
      <c r="G120" s="446" t="s">
        <v>1302</v>
      </c>
      <c r="H120" s="446">
        <v>11</v>
      </c>
      <c r="I120" s="446">
        <v>150</v>
      </c>
      <c r="J120" s="930">
        <v>1000</v>
      </c>
      <c r="K120" s="907">
        <f t="shared" si="2"/>
        <v>99</v>
      </c>
    </row>
    <row r="121" spans="5:11">
      <c r="E121" s="1274"/>
      <c r="F121" s="906" t="s">
        <v>554</v>
      </c>
      <c r="G121" s="446" t="s">
        <v>1300</v>
      </c>
      <c r="H121" s="446">
        <v>11.5</v>
      </c>
      <c r="I121" s="446">
        <v>150</v>
      </c>
      <c r="J121" s="930">
        <v>1000</v>
      </c>
      <c r="K121" s="907">
        <f t="shared" si="2"/>
        <v>103.5</v>
      </c>
    </row>
    <row r="122" spans="5:11">
      <c r="E122" s="1274"/>
      <c r="F122" s="915" t="s">
        <v>553</v>
      </c>
      <c r="G122" s="916" t="s">
        <v>1304</v>
      </c>
      <c r="H122" s="916">
        <v>7.5</v>
      </c>
      <c r="I122" s="917">
        <v>150</v>
      </c>
      <c r="J122" s="933">
        <v>1000</v>
      </c>
      <c r="K122" s="918">
        <f t="shared" si="2"/>
        <v>67.5</v>
      </c>
    </row>
    <row r="123" spans="5:11">
      <c r="E123" s="1274"/>
      <c r="F123" s="915" t="s">
        <v>553</v>
      </c>
      <c r="G123" s="917" t="s">
        <v>1302</v>
      </c>
      <c r="H123" s="917">
        <v>11</v>
      </c>
      <c r="I123" s="917">
        <v>150</v>
      </c>
      <c r="J123" s="933">
        <v>1000</v>
      </c>
      <c r="K123" s="918">
        <f t="shared" si="2"/>
        <v>99</v>
      </c>
    </row>
    <row r="124" spans="5:11">
      <c r="E124" s="1274"/>
      <c r="F124" s="915" t="s">
        <v>553</v>
      </c>
      <c r="G124" s="917" t="s">
        <v>1300</v>
      </c>
      <c r="H124" s="917">
        <v>11.5</v>
      </c>
      <c r="I124" s="917">
        <v>150</v>
      </c>
      <c r="J124" s="933">
        <v>1000</v>
      </c>
      <c r="K124" s="918">
        <f t="shared" si="2"/>
        <v>103.5</v>
      </c>
    </row>
    <row r="125" spans="5:11">
      <c r="E125" s="1274"/>
      <c r="F125" s="906" t="s">
        <v>555</v>
      </c>
      <c r="G125" s="450" t="s">
        <v>1304</v>
      </c>
      <c r="H125" s="450">
        <v>7.5</v>
      </c>
      <c r="I125" s="446">
        <v>150</v>
      </c>
      <c r="J125" s="930">
        <v>500</v>
      </c>
      <c r="K125" s="907">
        <f t="shared" si="2"/>
        <v>135</v>
      </c>
    </row>
    <row r="126" spans="5:11">
      <c r="E126" s="1274"/>
      <c r="F126" s="906" t="s">
        <v>555</v>
      </c>
      <c r="G126" s="446" t="s">
        <v>1302</v>
      </c>
      <c r="H126" s="446">
        <v>11</v>
      </c>
      <c r="I126" s="446">
        <v>150</v>
      </c>
      <c r="J126" s="930">
        <v>500</v>
      </c>
      <c r="K126" s="907">
        <f t="shared" si="2"/>
        <v>198</v>
      </c>
    </row>
    <row r="127" spans="5:11">
      <c r="E127" s="1274"/>
      <c r="F127" s="906" t="s">
        <v>555</v>
      </c>
      <c r="G127" s="446" t="s">
        <v>1300</v>
      </c>
      <c r="H127" s="446">
        <v>11.5</v>
      </c>
      <c r="I127" s="446">
        <v>150</v>
      </c>
      <c r="J127" s="930">
        <v>500</v>
      </c>
      <c r="K127" s="907">
        <f t="shared" si="2"/>
        <v>207</v>
      </c>
    </row>
    <row r="128" spans="5:11">
      <c r="E128" s="1274"/>
      <c r="F128" s="915" t="s">
        <v>556</v>
      </c>
      <c r="G128" s="916" t="s">
        <v>1304</v>
      </c>
      <c r="H128" s="916">
        <v>7.5</v>
      </c>
      <c r="I128" s="917">
        <v>150</v>
      </c>
      <c r="J128" s="933">
        <v>500</v>
      </c>
      <c r="K128" s="918">
        <f>I128*H128*60/J128</f>
        <v>135</v>
      </c>
    </row>
    <row r="129" spans="5:11">
      <c r="E129" s="1274"/>
      <c r="F129" s="915" t="s">
        <v>556</v>
      </c>
      <c r="G129" s="917" t="s">
        <v>1302</v>
      </c>
      <c r="H129" s="917">
        <v>11</v>
      </c>
      <c r="I129" s="917">
        <v>150</v>
      </c>
      <c r="J129" s="933">
        <v>500</v>
      </c>
      <c r="K129" s="918">
        <f t="shared" ref="K129:K154" si="3">I129*H129*60/J129</f>
        <v>198</v>
      </c>
    </row>
    <row r="130" spans="5:11">
      <c r="E130" s="1274"/>
      <c r="F130" s="915" t="s">
        <v>556</v>
      </c>
      <c r="G130" s="917" t="s">
        <v>1300</v>
      </c>
      <c r="H130" s="917">
        <v>11.5</v>
      </c>
      <c r="I130" s="917">
        <v>150</v>
      </c>
      <c r="J130" s="933">
        <v>500</v>
      </c>
      <c r="K130" s="918">
        <f t="shared" si="3"/>
        <v>207</v>
      </c>
    </row>
    <row r="131" spans="5:11">
      <c r="E131" s="1274"/>
      <c r="F131" s="906" t="s">
        <v>1326</v>
      </c>
      <c r="G131" s="450" t="s">
        <v>1304</v>
      </c>
      <c r="H131" s="450">
        <v>7.5</v>
      </c>
      <c r="I131" s="446">
        <v>150</v>
      </c>
      <c r="J131" s="930">
        <v>500</v>
      </c>
      <c r="K131" s="907">
        <f t="shared" si="3"/>
        <v>135</v>
      </c>
    </row>
    <row r="132" spans="5:11">
      <c r="E132" s="1274"/>
      <c r="F132" s="906" t="s">
        <v>1326</v>
      </c>
      <c r="G132" s="446" t="s">
        <v>1302</v>
      </c>
      <c r="H132" s="446">
        <v>11</v>
      </c>
      <c r="I132" s="446">
        <v>150</v>
      </c>
      <c r="J132" s="930">
        <v>500</v>
      </c>
      <c r="K132" s="907">
        <f t="shared" si="3"/>
        <v>198</v>
      </c>
    </row>
    <row r="133" spans="5:11">
      <c r="E133" s="1274"/>
      <c r="F133" s="906" t="s">
        <v>1326</v>
      </c>
      <c r="G133" s="446" t="s">
        <v>1300</v>
      </c>
      <c r="H133" s="446">
        <v>11.5</v>
      </c>
      <c r="I133" s="446">
        <v>150</v>
      </c>
      <c r="J133" s="930">
        <v>500</v>
      </c>
      <c r="K133" s="907">
        <f t="shared" si="3"/>
        <v>207</v>
      </c>
    </row>
    <row r="134" spans="5:11">
      <c r="E134" s="1274"/>
      <c r="F134" s="915" t="s">
        <v>551</v>
      </c>
      <c r="G134" s="916" t="s">
        <v>1304</v>
      </c>
      <c r="H134" s="916">
        <v>7.5</v>
      </c>
      <c r="I134" s="917">
        <v>150</v>
      </c>
      <c r="J134" s="933">
        <v>500</v>
      </c>
      <c r="K134" s="918">
        <f t="shared" si="3"/>
        <v>135</v>
      </c>
    </row>
    <row r="135" spans="5:11">
      <c r="E135" s="1274"/>
      <c r="F135" s="915" t="s">
        <v>551</v>
      </c>
      <c r="G135" s="917" t="s">
        <v>1302</v>
      </c>
      <c r="H135" s="917">
        <v>11</v>
      </c>
      <c r="I135" s="917">
        <v>150</v>
      </c>
      <c r="J135" s="933">
        <v>500</v>
      </c>
      <c r="K135" s="918">
        <f t="shared" si="3"/>
        <v>198</v>
      </c>
    </row>
    <row r="136" spans="5:11">
      <c r="E136" s="1274"/>
      <c r="F136" s="915" t="s">
        <v>551</v>
      </c>
      <c r="G136" s="917" t="s">
        <v>1300</v>
      </c>
      <c r="H136" s="917">
        <v>11.5</v>
      </c>
      <c r="I136" s="917">
        <v>150</v>
      </c>
      <c r="J136" s="933">
        <v>500</v>
      </c>
      <c r="K136" s="918">
        <f t="shared" si="3"/>
        <v>207</v>
      </c>
    </row>
    <row r="137" spans="5:11">
      <c r="E137" s="1274"/>
      <c r="F137" s="906" t="s">
        <v>552</v>
      </c>
      <c r="G137" s="450" t="s">
        <v>1304</v>
      </c>
      <c r="H137" s="450">
        <v>7.5</v>
      </c>
      <c r="I137" s="446">
        <v>150</v>
      </c>
      <c r="J137" s="930">
        <v>500</v>
      </c>
      <c r="K137" s="907">
        <f t="shared" si="3"/>
        <v>135</v>
      </c>
    </row>
    <row r="138" spans="5:11">
      <c r="E138" s="1274"/>
      <c r="F138" s="906" t="s">
        <v>552</v>
      </c>
      <c r="G138" s="446" t="s">
        <v>1302</v>
      </c>
      <c r="H138" s="446">
        <v>11</v>
      </c>
      <c r="I138" s="446">
        <v>150</v>
      </c>
      <c r="J138" s="930">
        <v>500</v>
      </c>
      <c r="K138" s="907">
        <f t="shared" si="3"/>
        <v>198</v>
      </c>
    </row>
    <row r="139" spans="5:11">
      <c r="E139" s="1274"/>
      <c r="F139" s="906" t="s">
        <v>552</v>
      </c>
      <c r="G139" s="446" t="s">
        <v>1300</v>
      </c>
      <c r="H139" s="446">
        <v>11.5</v>
      </c>
      <c r="I139" s="446">
        <v>150</v>
      </c>
      <c r="J139" s="930">
        <v>500</v>
      </c>
      <c r="K139" s="907">
        <f t="shared" si="3"/>
        <v>207</v>
      </c>
    </row>
    <row r="140" spans="5:11">
      <c r="E140" s="1274"/>
      <c r="F140" s="915" t="s">
        <v>1311</v>
      </c>
      <c r="G140" s="916" t="s">
        <v>1304</v>
      </c>
      <c r="H140" s="916">
        <v>7.5</v>
      </c>
      <c r="I140" s="917">
        <v>300</v>
      </c>
      <c r="J140" s="933">
        <v>1000</v>
      </c>
      <c r="K140" s="918">
        <f t="shared" si="3"/>
        <v>135</v>
      </c>
    </row>
    <row r="141" spans="5:11">
      <c r="E141" s="1274"/>
      <c r="F141" s="915" t="s">
        <v>1311</v>
      </c>
      <c r="G141" s="917" t="s">
        <v>1302</v>
      </c>
      <c r="H141" s="917">
        <v>11</v>
      </c>
      <c r="I141" s="917">
        <v>300</v>
      </c>
      <c r="J141" s="933">
        <v>1000</v>
      </c>
      <c r="K141" s="918">
        <f t="shared" si="3"/>
        <v>198</v>
      </c>
    </row>
    <row r="142" spans="5:11">
      <c r="E142" s="1274"/>
      <c r="F142" s="915" t="s">
        <v>1311</v>
      </c>
      <c r="G142" s="917" t="s">
        <v>1300</v>
      </c>
      <c r="H142" s="917">
        <v>11.5</v>
      </c>
      <c r="I142" s="917">
        <v>300</v>
      </c>
      <c r="J142" s="933">
        <v>1000</v>
      </c>
      <c r="K142" s="918">
        <f t="shared" si="3"/>
        <v>207</v>
      </c>
    </row>
    <row r="143" spans="5:11">
      <c r="E143" s="1274"/>
      <c r="F143" s="906" t="s">
        <v>1312</v>
      </c>
      <c r="G143" s="450" t="s">
        <v>1304</v>
      </c>
      <c r="H143" s="450">
        <v>7.5</v>
      </c>
      <c r="I143" s="446">
        <v>300</v>
      </c>
      <c r="J143" s="930">
        <v>2000</v>
      </c>
      <c r="K143" s="907">
        <f t="shared" si="3"/>
        <v>67.5</v>
      </c>
    </row>
    <row r="144" spans="5:11">
      <c r="E144" s="1274"/>
      <c r="F144" s="906" t="s">
        <v>1312</v>
      </c>
      <c r="G144" s="446" t="s">
        <v>1302</v>
      </c>
      <c r="H144" s="446">
        <v>11</v>
      </c>
      <c r="I144" s="446">
        <v>300</v>
      </c>
      <c r="J144" s="930">
        <v>2000</v>
      </c>
      <c r="K144" s="907">
        <f t="shared" si="3"/>
        <v>99</v>
      </c>
    </row>
    <row r="145" spans="5:11">
      <c r="E145" s="1274"/>
      <c r="F145" s="906" t="s">
        <v>1312</v>
      </c>
      <c r="G145" s="446" t="s">
        <v>1300</v>
      </c>
      <c r="H145" s="446">
        <v>11.5</v>
      </c>
      <c r="I145" s="446">
        <v>300</v>
      </c>
      <c r="J145" s="930">
        <v>2000</v>
      </c>
      <c r="K145" s="907">
        <f t="shared" si="3"/>
        <v>103.5</v>
      </c>
    </row>
    <row r="146" spans="5:11">
      <c r="E146" s="1274"/>
      <c r="F146" s="915" t="s">
        <v>1314</v>
      </c>
      <c r="G146" s="916" t="s">
        <v>1304</v>
      </c>
      <c r="H146" s="916">
        <v>7.5</v>
      </c>
      <c r="I146" s="917">
        <v>300</v>
      </c>
      <c r="J146" s="933">
        <v>1000</v>
      </c>
      <c r="K146" s="918">
        <f t="shared" si="3"/>
        <v>135</v>
      </c>
    </row>
    <row r="147" spans="5:11">
      <c r="E147" s="1274"/>
      <c r="F147" s="915" t="s">
        <v>1314</v>
      </c>
      <c r="G147" s="917" t="s">
        <v>1302</v>
      </c>
      <c r="H147" s="917">
        <v>11</v>
      </c>
      <c r="I147" s="917">
        <v>300</v>
      </c>
      <c r="J147" s="933">
        <v>1000</v>
      </c>
      <c r="K147" s="918">
        <f t="shared" si="3"/>
        <v>198</v>
      </c>
    </row>
    <row r="148" spans="5:11">
      <c r="E148" s="1274"/>
      <c r="F148" s="915" t="s">
        <v>1314</v>
      </c>
      <c r="G148" s="917" t="s">
        <v>1300</v>
      </c>
      <c r="H148" s="917">
        <v>11.5</v>
      </c>
      <c r="I148" s="917">
        <v>300</v>
      </c>
      <c r="J148" s="933">
        <v>1000</v>
      </c>
      <c r="K148" s="918">
        <f t="shared" si="3"/>
        <v>207</v>
      </c>
    </row>
    <row r="149" spans="5:11">
      <c r="E149" s="1274"/>
      <c r="F149" s="906" t="s">
        <v>1315</v>
      </c>
      <c r="G149" s="450" t="s">
        <v>1304</v>
      </c>
      <c r="H149" s="450">
        <v>7.5</v>
      </c>
      <c r="I149" s="446">
        <v>300</v>
      </c>
      <c r="J149" s="930">
        <v>2000</v>
      </c>
      <c r="K149" s="907">
        <f t="shared" si="3"/>
        <v>67.5</v>
      </c>
    </row>
    <row r="150" spans="5:11">
      <c r="E150" s="1274"/>
      <c r="F150" s="906" t="s">
        <v>1315</v>
      </c>
      <c r="G150" s="446" t="s">
        <v>1302</v>
      </c>
      <c r="H150" s="446">
        <v>11</v>
      </c>
      <c r="I150" s="446">
        <v>300</v>
      </c>
      <c r="J150" s="930">
        <v>2000</v>
      </c>
      <c r="K150" s="907">
        <f t="shared" si="3"/>
        <v>99</v>
      </c>
    </row>
    <row r="151" spans="5:11">
      <c r="E151" s="1274"/>
      <c r="F151" s="906" t="s">
        <v>1315</v>
      </c>
      <c r="G151" s="446" t="s">
        <v>1300</v>
      </c>
      <c r="H151" s="446">
        <v>11.5</v>
      </c>
      <c r="I151" s="446">
        <v>300</v>
      </c>
      <c r="J151" s="930">
        <v>2000</v>
      </c>
      <c r="K151" s="907">
        <f t="shared" si="3"/>
        <v>103.5</v>
      </c>
    </row>
    <row r="152" spans="5:11">
      <c r="E152" s="1274"/>
      <c r="F152" s="915" t="s">
        <v>1316</v>
      </c>
      <c r="G152" s="916" t="s">
        <v>1304</v>
      </c>
      <c r="H152" s="916">
        <v>7.5</v>
      </c>
      <c r="I152" s="917">
        <v>250</v>
      </c>
      <c r="J152" s="933">
        <v>1000</v>
      </c>
      <c r="K152" s="918">
        <f t="shared" si="3"/>
        <v>112.5</v>
      </c>
    </row>
    <row r="153" spans="5:11">
      <c r="E153" s="1274"/>
      <c r="F153" s="915" t="s">
        <v>1316</v>
      </c>
      <c r="G153" s="917" t="s">
        <v>1302</v>
      </c>
      <c r="H153" s="917">
        <v>11</v>
      </c>
      <c r="I153" s="917">
        <v>250</v>
      </c>
      <c r="J153" s="933">
        <v>1000</v>
      </c>
      <c r="K153" s="918">
        <f t="shared" si="3"/>
        <v>165</v>
      </c>
    </row>
    <row r="154" spans="5:11">
      <c r="E154" s="1274"/>
      <c r="F154" s="915" t="s">
        <v>1316</v>
      </c>
      <c r="G154" s="917" t="s">
        <v>1300</v>
      </c>
      <c r="H154" s="917">
        <v>11.5</v>
      </c>
      <c r="I154" s="917">
        <v>250</v>
      </c>
      <c r="J154" s="933">
        <v>1000</v>
      </c>
      <c r="K154" s="918">
        <f t="shared" si="3"/>
        <v>172.5</v>
      </c>
    </row>
    <row r="155" spans="5:11">
      <c r="E155" s="1274"/>
      <c r="F155" s="906" t="s">
        <v>1317</v>
      </c>
      <c r="G155" s="450" t="s">
        <v>1304</v>
      </c>
      <c r="H155" s="450">
        <v>7.5</v>
      </c>
      <c r="I155" s="446">
        <v>250</v>
      </c>
      <c r="J155" s="930">
        <v>1000</v>
      </c>
      <c r="K155" s="907">
        <f t="shared" ref="K155:K160" si="4">I155*H155*60/J155</f>
        <v>112.5</v>
      </c>
    </row>
    <row r="156" spans="5:11">
      <c r="E156" s="1274"/>
      <c r="F156" s="906" t="s">
        <v>1317</v>
      </c>
      <c r="G156" s="446" t="s">
        <v>1302</v>
      </c>
      <c r="H156" s="446">
        <v>11</v>
      </c>
      <c r="I156" s="446">
        <v>250</v>
      </c>
      <c r="J156" s="930">
        <v>1000</v>
      </c>
      <c r="K156" s="907">
        <f t="shared" si="4"/>
        <v>165</v>
      </c>
    </row>
    <row r="157" spans="5:11">
      <c r="E157" s="1274"/>
      <c r="F157" s="908" t="s">
        <v>1317</v>
      </c>
      <c r="G157" s="909" t="s">
        <v>1300</v>
      </c>
      <c r="H157" s="909">
        <v>11.5</v>
      </c>
      <c r="I157" s="909">
        <v>250</v>
      </c>
      <c r="J157" s="931">
        <v>1000</v>
      </c>
      <c r="K157" s="910">
        <f t="shared" si="4"/>
        <v>172.5</v>
      </c>
    </row>
    <row r="158" spans="5:11">
      <c r="E158" s="1274">
        <v>405</v>
      </c>
      <c r="F158" s="911" t="s">
        <v>1298</v>
      </c>
      <c r="G158" s="912" t="s">
        <v>1304</v>
      </c>
      <c r="H158" s="912">
        <v>7.5</v>
      </c>
      <c r="I158" s="913">
        <v>350</v>
      </c>
      <c r="J158" s="932">
        <v>1000</v>
      </c>
      <c r="K158" s="914">
        <f t="shared" si="4"/>
        <v>157.5</v>
      </c>
    </row>
    <row r="159" spans="5:11">
      <c r="E159" s="1274"/>
      <c r="F159" s="915" t="s">
        <v>1298</v>
      </c>
      <c r="G159" s="917" t="s">
        <v>1302</v>
      </c>
      <c r="H159" s="917">
        <v>11</v>
      </c>
      <c r="I159" s="917">
        <v>350</v>
      </c>
      <c r="J159" s="933">
        <v>1000</v>
      </c>
      <c r="K159" s="918">
        <f t="shared" si="4"/>
        <v>231</v>
      </c>
    </row>
    <row r="160" spans="5:11">
      <c r="E160" s="1274"/>
      <c r="F160" s="915" t="s">
        <v>1298</v>
      </c>
      <c r="G160" s="917" t="s">
        <v>1300</v>
      </c>
      <c r="H160" s="917">
        <v>11.5</v>
      </c>
      <c r="I160" s="917">
        <v>350</v>
      </c>
      <c r="J160" s="933">
        <v>1000</v>
      </c>
      <c r="K160" s="918">
        <f t="shared" si="4"/>
        <v>241.5</v>
      </c>
    </row>
    <row r="161" spans="5:11">
      <c r="E161" s="1274"/>
      <c r="F161" s="906" t="s">
        <v>1305</v>
      </c>
      <c r="G161" s="450" t="s">
        <v>1304</v>
      </c>
      <c r="H161" s="450">
        <v>7.5</v>
      </c>
      <c r="I161" s="446">
        <v>350</v>
      </c>
      <c r="J161" s="930">
        <v>1000</v>
      </c>
      <c r="K161" s="907">
        <f t="shared" ref="K161:K169" si="5">I161*H161*60/J161</f>
        <v>157.5</v>
      </c>
    </row>
    <row r="162" spans="5:11">
      <c r="E162" s="1274"/>
      <c r="F162" s="906" t="s">
        <v>1305</v>
      </c>
      <c r="G162" s="446" t="s">
        <v>1302</v>
      </c>
      <c r="H162" s="446">
        <v>11</v>
      </c>
      <c r="I162" s="446">
        <v>350</v>
      </c>
      <c r="J162" s="930">
        <v>1000</v>
      </c>
      <c r="K162" s="907">
        <f t="shared" si="5"/>
        <v>231</v>
      </c>
    </row>
    <row r="163" spans="5:11">
      <c r="E163" s="1274"/>
      <c r="F163" s="906" t="s">
        <v>1305</v>
      </c>
      <c r="G163" s="446" t="s">
        <v>1300</v>
      </c>
      <c r="H163" s="446">
        <v>11.5</v>
      </c>
      <c r="I163" s="446">
        <v>350</v>
      </c>
      <c r="J163" s="930">
        <v>1000</v>
      </c>
      <c r="K163" s="907">
        <f t="shared" si="5"/>
        <v>241.5</v>
      </c>
    </row>
    <row r="164" spans="5:11">
      <c r="E164" s="1274"/>
      <c r="F164" s="915" t="s">
        <v>1306</v>
      </c>
      <c r="G164" s="916" t="s">
        <v>1304</v>
      </c>
      <c r="H164" s="916">
        <v>7.5</v>
      </c>
      <c r="I164" s="917">
        <v>350</v>
      </c>
      <c r="J164" s="933">
        <v>1000</v>
      </c>
      <c r="K164" s="918">
        <f t="shared" si="5"/>
        <v>157.5</v>
      </c>
    </row>
    <row r="165" spans="5:11">
      <c r="E165" s="1274"/>
      <c r="F165" s="915" t="s">
        <v>1306</v>
      </c>
      <c r="G165" s="917" t="s">
        <v>1302</v>
      </c>
      <c r="H165" s="917">
        <v>11</v>
      </c>
      <c r="I165" s="917">
        <v>350</v>
      </c>
      <c r="J165" s="933">
        <v>1000</v>
      </c>
      <c r="K165" s="918">
        <f t="shared" si="5"/>
        <v>231</v>
      </c>
    </row>
    <row r="166" spans="5:11">
      <c r="E166" s="1274"/>
      <c r="F166" s="915" t="s">
        <v>1306</v>
      </c>
      <c r="G166" s="917" t="s">
        <v>1300</v>
      </c>
      <c r="H166" s="917">
        <v>11.5</v>
      </c>
      <c r="I166" s="917">
        <v>350</v>
      </c>
      <c r="J166" s="933">
        <v>1000</v>
      </c>
      <c r="K166" s="918">
        <f t="shared" si="5"/>
        <v>241.5</v>
      </c>
    </row>
    <row r="167" spans="5:11">
      <c r="E167" s="1274"/>
      <c r="F167" s="906" t="s">
        <v>1307</v>
      </c>
      <c r="G167" s="450" t="s">
        <v>1304</v>
      </c>
      <c r="H167" s="450">
        <v>7.5</v>
      </c>
      <c r="I167" s="446">
        <v>300</v>
      </c>
      <c r="J167" s="446">
        <v>600</v>
      </c>
      <c r="K167" s="907">
        <f t="shared" si="5"/>
        <v>225</v>
      </c>
    </row>
    <row r="168" spans="5:11">
      <c r="E168" s="1274"/>
      <c r="F168" s="906" t="s">
        <v>1307</v>
      </c>
      <c r="G168" s="446" t="s">
        <v>1302</v>
      </c>
      <c r="H168" s="446">
        <v>11</v>
      </c>
      <c r="I168" s="446">
        <v>300</v>
      </c>
      <c r="J168" s="446">
        <v>600</v>
      </c>
      <c r="K168" s="907">
        <f t="shared" si="5"/>
        <v>330</v>
      </c>
    </row>
    <row r="169" spans="5:11">
      <c r="E169" s="1274"/>
      <c r="F169" s="908" t="s">
        <v>1307</v>
      </c>
      <c r="G169" s="909" t="s">
        <v>1300</v>
      </c>
      <c r="H169" s="909">
        <v>11.5</v>
      </c>
      <c r="I169" s="909">
        <v>300</v>
      </c>
      <c r="J169" s="909">
        <v>600</v>
      </c>
      <c r="K169" s="910">
        <f t="shared" si="5"/>
        <v>345</v>
      </c>
    </row>
  </sheetData>
  <mergeCells count="5">
    <mergeCell ref="A1:C7"/>
    <mergeCell ref="E2:E46"/>
    <mergeCell ref="E47:E79"/>
    <mergeCell ref="E80:E157"/>
    <mergeCell ref="E158:E169"/>
  </mergeCells>
  <phoneticPr fontId="26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00B050"/>
  </sheetPr>
  <dimension ref="A1:J87"/>
  <sheetViews>
    <sheetView topLeftCell="A9" zoomScale="75" zoomScaleNormal="75" workbookViewId="0">
      <selection activeCell="I27" sqref="I27"/>
    </sheetView>
  </sheetViews>
  <sheetFormatPr defaultRowHeight="16.5"/>
  <cols>
    <col min="1" max="1" width="23.75" customWidth="1"/>
    <col min="2" max="2" width="23.75" bestFit="1" customWidth="1"/>
    <col min="3" max="3" width="28.5" bestFit="1" customWidth="1"/>
    <col min="4" max="4" width="19.75" customWidth="1"/>
    <col min="5" max="5" width="23.75" bestFit="1" customWidth="1"/>
    <col min="6" max="6" width="27.625" bestFit="1" customWidth="1"/>
    <col min="7" max="7" width="22.625" bestFit="1" customWidth="1"/>
    <col min="8" max="8" width="21.75" customWidth="1"/>
    <col min="9" max="9" width="23.125" bestFit="1" customWidth="1"/>
    <col min="10" max="10" width="19.5" bestFit="1" customWidth="1"/>
  </cols>
  <sheetData>
    <row r="1" spans="1:10">
      <c r="A1" s="76">
        <v>101</v>
      </c>
      <c r="B1" s="76">
        <v>102</v>
      </c>
      <c r="C1" s="76">
        <v>103</v>
      </c>
      <c r="D1" s="76">
        <v>104</v>
      </c>
      <c r="E1" s="76">
        <v>105</v>
      </c>
      <c r="F1" s="76">
        <v>106</v>
      </c>
      <c r="G1" s="76">
        <v>107</v>
      </c>
      <c r="H1" s="76"/>
      <c r="I1" s="76"/>
      <c r="J1" s="76"/>
    </row>
    <row r="2" spans="1:10">
      <c r="A2" s="76"/>
      <c r="B2" s="76"/>
      <c r="C2" s="76"/>
      <c r="D2" s="76"/>
      <c r="E2" s="76"/>
      <c r="F2" s="76"/>
      <c r="G2" s="76"/>
      <c r="H2" s="76"/>
      <c r="I2" s="76"/>
      <c r="J2" s="76"/>
    </row>
    <row r="3" spans="1:10">
      <c r="A3" s="76"/>
      <c r="B3" s="76"/>
      <c r="C3" s="76"/>
      <c r="D3" s="76"/>
      <c r="E3" s="76"/>
      <c r="F3" s="76"/>
      <c r="G3" s="76"/>
      <c r="H3" s="76"/>
      <c r="I3" s="76"/>
      <c r="J3" s="76"/>
    </row>
    <row r="4" spans="1:10">
      <c r="A4" s="76"/>
      <c r="B4" s="76"/>
      <c r="C4" s="76"/>
      <c r="D4" s="76"/>
      <c r="E4" s="76"/>
      <c r="F4" s="76"/>
      <c r="G4" s="76"/>
      <c r="H4" s="76"/>
      <c r="I4" s="76"/>
      <c r="J4" s="76"/>
    </row>
    <row r="5" spans="1:10">
      <c r="A5" s="76"/>
      <c r="B5" s="76"/>
      <c r="C5" s="76"/>
      <c r="D5" s="76"/>
      <c r="E5" s="76"/>
      <c r="F5" s="76"/>
      <c r="G5" s="76"/>
      <c r="H5" s="76"/>
      <c r="I5" s="76"/>
      <c r="J5" s="76"/>
    </row>
    <row r="6" spans="1:10">
      <c r="A6" s="76"/>
      <c r="B6" s="76"/>
      <c r="C6" s="76"/>
      <c r="D6" s="76"/>
      <c r="E6" s="76"/>
      <c r="F6" s="76"/>
      <c r="G6" s="76"/>
      <c r="H6" s="76"/>
      <c r="I6" s="76"/>
      <c r="J6" s="76"/>
    </row>
    <row r="7" spans="1:10">
      <c r="A7" s="76"/>
      <c r="B7" s="76"/>
      <c r="C7" s="76"/>
      <c r="D7" s="76"/>
      <c r="E7" s="76"/>
      <c r="F7" s="76"/>
      <c r="G7" s="76"/>
      <c r="H7" s="76"/>
      <c r="I7" s="76"/>
      <c r="J7" s="76"/>
    </row>
    <row r="8" spans="1:10">
      <c r="A8" s="76"/>
      <c r="B8" s="76"/>
      <c r="C8" s="76"/>
      <c r="D8" s="76"/>
      <c r="E8" s="76"/>
      <c r="F8" s="76"/>
      <c r="G8" s="76"/>
      <c r="H8" s="76"/>
      <c r="I8" s="76"/>
      <c r="J8" s="76"/>
    </row>
    <row r="9" spans="1:10">
      <c r="A9" s="76"/>
      <c r="B9" s="76"/>
      <c r="C9" s="76"/>
      <c r="D9" s="76"/>
      <c r="E9" s="76"/>
      <c r="F9" s="76"/>
      <c r="G9" s="76"/>
      <c r="H9" s="76"/>
      <c r="I9" s="76"/>
      <c r="J9" s="76"/>
    </row>
    <row r="10" spans="1:10">
      <c r="A10" s="76"/>
      <c r="B10" s="76"/>
      <c r="C10" s="76"/>
      <c r="D10" s="76"/>
      <c r="E10" s="76"/>
      <c r="F10" s="76"/>
      <c r="G10" s="76"/>
      <c r="H10" s="76"/>
      <c r="I10" s="76"/>
      <c r="J10" s="76"/>
    </row>
    <row r="11" spans="1:10">
      <c r="A11" s="76"/>
      <c r="B11" s="76"/>
      <c r="C11" s="76"/>
      <c r="D11" s="76"/>
      <c r="E11" s="76"/>
      <c r="F11" s="76"/>
      <c r="G11" s="76"/>
      <c r="H11" s="76"/>
      <c r="I11" s="76"/>
      <c r="J11" s="76"/>
    </row>
    <row r="12" spans="1:10">
      <c r="A12" s="76"/>
      <c r="B12" s="76"/>
      <c r="C12" s="76"/>
      <c r="D12" s="76"/>
      <c r="E12" s="76"/>
      <c r="F12" s="76"/>
      <c r="G12" s="76"/>
      <c r="H12" s="76"/>
      <c r="I12" s="76"/>
      <c r="J12" s="76"/>
    </row>
    <row r="13" spans="1:10">
      <c r="A13" s="76"/>
      <c r="B13" s="76"/>
      <c r="C13" s="76"/>
      <c r="D13" s="76"/>
      <c r="E13" s="76"/>
      <c r="F13" s="76"/>
      <c r="G13" s="76"/>
      <c r="H13" s="76"/>
      <c r="I13" s="76"/>
      <c r="J13" s="76"/>
    </row>
    <row r="14" spans="1:10">
      <c r="A14" s="76"/>
      <c r="B14" s="76"/>
      <c r="C14" s="76"/>
      <c r="D14" s="76"/>
      <c r="E14" s="76"/>
      <c r="F14" s="76"/>
      <c r="G14" s="76"/>
      <c r="H14" s="76"/>
      <c r="I14" s="76"/>
      <c r="J14" s="76"/>
    </row>
    <row r="15" spans="1:10">
      <c r="A15" s="76"/>
      <c r="B15" s="76"/>
      <c r="C15" s="76"/>
      <c r="D15" s="76"/>
      <c r="E15" s="76"/>
      <c r="F15" s="76"/>
      <c r="G15" s="76"/>
      <c r="H15" s="76"/>
      <c r="I15" s="76"/>
      <c r="J15" s="76"/>
    </row>
    <row r="16" spans="1:10">
      <c r="A16" s="76"/>
      <c r="B16" s="76"/>
      <c r="C16" s="76"/>
      <c r="D16" s="76"/>
      <c r="E16" s="76"/>
      <c r="F16" s="76"/>
      <c r="G16" s="76"/>
      <c r="H16" s="76"/>
      <c r="I16" s="76"/>
      <c r="J16" s="76"/>
    </row>
    <row r="17" spans="1:10">
      <c r="A17" s="76"/>
      <c r="B17" s="76"/>
      <c r="C17" s="76"/>
      <c r="D17" s="76"/>
      <c r="E17" s="76"/>
      <c r="F17" s="76"/>
      <c r="G17" s="76"/>
      <c r="H17" s="76"/>
      <c r="I17" s="76"/>
      <c r="J17" s="76"/>
    </row>
    <row r="18" spans="1:10">
      <c r="A18" s="76"/>
      <c r="B18" s="76"/>
      <c r="C18" s="76"/>
      <c r="D18" s="76"/>
      <c r="E18" s="76"/>
      <c r="F18" s="76"/>
      <c r="G18" s="76"/>
      <c r="H18" s="76"/>
      <c r="I18" s="76"/>
      <c r="J18" s="76"/>
    </row>
    <row r="19" spans="1:10">
      <c r="A19" s="76"/>
      <c r="B19" s="76"/>
      <c r="C19" s="76"/>
      <c r="D19" s="76"/>
      <c r="E19" s="76"/>
      <c r="F19" s="76"/>
      <c r="G19" s="76"/>
      <c r="H19" s="76"/>
      <c r="I19" s="76"/>
      <c r="J19" s="76"/>
    </row>
    <row r="20" spans="1:10">
      <c r="A20" s="76"/>
      <c r="B20" s="76"/>
      <c r="C20" s="76"/>
      <c r="D20" s="76"/>
      <c r="E20" s="76"/>
      <c r="F20" s="76"/>
      <c r="G20" s="76"/>
      <c r="H20" s="76"/>
      <c r="I20" s="76"/>
      <c r="J20" s="76"/>
    </row>
    <row r="21" spans="1:10">
      <c r="A21" s="84">
        <v>202</v>
      </c>
      <c r="B21" s="84">
        <v>203</v>
      </c>
      <c r="C21" s="84">
        <v>204</v>
      </c>
      <c r="D21" s="84">
        <v>205</v>
      </c>
      <c r="E21" s="84">
        <v>206</v>
      </c>
      <c r="F21" s="84">
        <v>207</v>
      </c>
      <c r="G21" s="84">
        <v>208</v>
      </c>
      <c r="H21" s="84">
        <v>209</v>
      </c>
      <c r="I21" s="244">
        <v>210</v>
      </c>
      <c r="J21" s="84">
        <v>211</v>
      </c>
    </row>
    <row r="22" spans="1:10">
      <c r="A22" s="429" t="s">
        <v>1463</v>
      </c>
      <c r="B22" s="429" t="s">
        <v>1470</v>
      </c>
      <c r="C22" s="535" t="s">
        <v>1478</v>
      </c>
      <c r="D22" s="1010" t="s">
        <v>1471</v>
      </c>
      <c r="E22" s="535" t="s">
        <v>1470</v>
      </c>
      <c r="F22" s="535" t="s">
        <v>453</v>
      </c>
      <c r="G22" s="535" t="s">
        <v>1465</v>
      </c>
      <c r="H22" s="1010" t="s">
        <v>1376</v>
      </c>
      <c r="I22" s="535" t="s">
        <v>1490</v>
      </c>
      <c r="J22" s="535" t="s">
        <v>1460</v>
      </c>
    </row>
    <row r="23" spans="1:10">
      <c r="A23" s="76"/>
      <c r="B23" s="76"/>
      <c r="C23" s="1001" t="s">
        <v>1479</v>
      </c>
      <c r="D23" s="1009" t="s">
        <v>1470</v>
      </c>
      <c r="E23" s="1001" t="s">
        <v>1471</v>
      </c>
      <c r="F23" s="1001" t="s">
        <v>468</v>
      </c>
      <c r="G23" s="1001" t="s">
        <v>1466</v>
      </c>
      <c r="H23" s="1007" t="s">
        <v>1464</v>
      </c>
      <c r="I23" s="1001" t="s">
        <v>1492</v>
      </c>
      <c r="J23" s="1001" t="s">
        <v>1461</v>
      </c>
    </row>
    <row r="24" spans="1:10">
      <c r="A24" s="76"/>
      <c r="B24" s="76"/>
      <c r="C24" s="544" t="s">
        <v>1376</v>
      </c>
      <c r="D24" s="1008" t="s">
        <v>1473</v>
      </c>
      <c r="E24" s="544" t="s">
        <v>1472</v>
      </c>
      <c r="F24" s="1008" t="s">
        <v>1467</v>
      </c>
      <c r="G24" s="544" t="s">
        <v>1465</v>
      </c>
      <c r="H24" s="76"/>
      <c r="I24" s="544" t="s">
        <v>1470</v>
      </c>
      <c r="J24" s="544" t="s">
        <v>1462</v>
      </c>
    </row>
    <row r="25" spans="1:10">
      <c r="A25" s="76"/>
      <c r="B25" s="76"/>
      <c r="C25" s="1001" t="s">
        <v>1469</v>
      </c>
      <c r="D25" s="1011" t="s">
        <v>1462</v>
      </c>
      <c r="E25" s="1001" t="s">
        <v>1463</v>
      </c>
      <c r="F25" s="1009" t="s">
        <v>1468</v>
      </c>
      <c r="G25" s="1001" t="s">
        <v>1466</v>
      </c>
      <c r="H25" s="76"/>
      <c r="I25" s="1009" t="s">
        <v>1475</v>
      </c>
      <c r="J25" s="1007" t="s">
        <v>1463</v>
      </c>
    </row>
    <row r="26" spans="1:10">
      <c r="A26" s="76"/>
      <c r="B26" s="76"/>
      <c r="C26" s="544" t="s">
        <v>1480</v>
      </c>
      <c r="D26" s="544" t="s">
        <v>1463</v>
      </c>
      <c r="E26" s="544" t="s">
        <v>1473</v>
      </c>
      <c r="F26" s="544" t="s">
        <v>1376</v>
      </c>
      <c r="G26" s="544" t="s">
        <v>1460</v>
      </c>
      <c r="H26" s="76"/>
      <c r="I26" s="1008" t="s">
        <v>1496</v>
      </c>
      <c r="J26" s="76"/>
    </row>
    <row r="27" spans="1:10">
      <c r="A27" s="76"/>
      <c r="B27" s="76"/>
      <c r="C27" s="1001" t="s">
        <v>1480</v>
      </c>
      <c r="D27" s="1009" t="s">
        <v>1475</v>
      </c>
      <c r="E27" s="1011" t="s">
        <v>1462</v>
      </c>
      <c r="F27" s="1001" t="s">
        <v>1469</v>
      </c>
      <c r="G27" s="1001" t="s">
        <v>1374</v>
      </c>
      <c r="H27" s="76"/>
      <c r="I27" s="1007" t="s">
        <v>1498</v>
      </c>
      <c r="J27" s="76"/>
    </row>
    <row r="28" spans="1:10">
      <c r="A28" s="76"/>
      <c r="B28" s="76"/>
      <c r="C28" s="1008" t="s">
        <v>1481</v>
      </c>
      <c r="D28" s="1013" t="s">
        <v>1476</v>
      </c>
      <c r="E28" s="544" t="s">
        <v>1474</v>
      </c>
      <c r="F28" s="964" t="s">
        <v>1461</v>
      </c>
      <c r="G28" s="964" t="s">
        <v>1374</v>
      </c>
      <c r="H28" s="76"/>
      <c r="I28" s="76"/>
      <c r="J28" s="76"/>
    </row>
    <row r="29" spans="1:10">
      <c r="A29" s="76"/>
      <c r="B29" s="76"/>
      <c r="C29" s="1001" t="s">
        <v>1482</v>
      </c>
      <c r="D29" s="1009" t="s">
        <v>1477</v>
      </c>
      <c r="E29" s="1012" t="s">
        <v>1464</v>
      </c>
      <c r="F29" s="76"/>
      <c r="G29" s="76"/>
      <c r="H29" s="76"/>
      <c r="I29" s="76"/>
      <c r="J29" s="76"/>
    </row>
    <row r="30" spans="1:10">
      <c r="A30" s="76"/>
      <c r="B30" s="76"/>
      <c r="C30" s="544" t="s">
        <v>1483</v>
      </c>
      <c r="D30" s="1008" t="s">
        <v>260</v>
      </c>
      <c r="E30" s="76"/>
      <c r="F30" s="76"/>
      <c r="G30" s="76"/>
      <c r="H30" s="76"/>
      <c r="I30" s="76"/>
      <c r="J30" s="76"/>
    </row>
    <row r="31" spans="1:10">
      <c r="A31" s="76"/>
      <c r="B31" s="76"/>
      <c r="C31" s="1001" t="s">
        <v>1484</v>
      </c>
      <c r="D31" s="1014" t="s">
        <v>264</v>
      </c>
      <c r="E31" s="76"/>
      <c r="F31" s="76"/>
      <c r="G31" s="76"/>
      <c r="H31" s="76"/>
      <c r="I31" s="76"/>
      <c r="J31" s="76"/>
    </row>
    <row r="32" spans="1:10">
      <c r="A32" s="76"/>
      <c r="B32" s="76"/>
      <c r="C32" s="544" t="s">
        <v>1485</v>
      </c>
      <c r="D32" s="76"/>
      <c r="E32" s="76"/>
      <c r="F32" s="76"/>
      <c r="G32" s="76"/>
      <c r="H32" s="76"/>
      <c r="I32" s="76"/>
      <c r="J32" s="76"/>
    </row>
    <row r="33" spans="1:10">
      <c r="A33" s="76"/>
      <c r="B33" s="76"/>
      <c r="C33" s="1007" t="s">
        <v>1483</v>
      </c>
      <c r="D33" s="76"/>
      <c r="E33" s="76"/>
      <c r="F33" s="76"/>
      <c r="G33" s="76"/>
      <c r="H33" s="76"/>
      <c r="I33" s="76"/>
      <c r="J33" s="76"/>
    </row>
    <row r="34" spans="1:10">
      <c r="A34" s="76"/>
      <c r="B34" s="76"/>
      <c r="C34" s="76"/>
      <c r="D34" s="76"/>
      <c r="E34" s="76"/>
      <c r="F34" s="76"/>
      <c r="G34" s="76"/>
      <c r="H34" s="76"/>
      <c r="I34" s="76"/>
      <c r="J34" s="76"/>
    </row>
    <row r="35" spans="1:10">
      <c r="A35" s="76"/>
      <c r="B35" s="76"/>
      <c r="C35" s="76"/>
      <c r="D35" s="76"/>
      <c r="E35" s="76"/>
      <c r="F35" s="76"/>
      <c r="G35" s="76"/>
      <c r="H35" s="76"/>
      <c r="I35" s="76"/>
      <c r="J35" s="76"/>
    </row>
    <row r="36" spans="1:10">
      <c r="A36" s="76"/>
      <c r="B36" s="76"/>
      <c r="C36" s="76"/>
      <c r="D36" s="76"/>
      <c r="E36" s="76"/>
      <c r="F36" s="76"/>
      <c r="G36" s="76"/>
      <c r="H36" s="76"/>
      <c r="I36" s="76"/>
      <c r="J36" s="76"/>
    </row>
    <row r="37" spans="1:10">
      <c r="A37" s="76"/>
      <c r="B37" s="76"/>
      <c r="C37" s="76"/>
      <c r="D37" s="76"/>
      <c r="E37" s="76"/>
      <c r="F37" s="76"/>
      <c r="G37" s="76"/>
      <c r="H37" s="76"/>
      <c r="I37" s="76"/>
      <c r="J37" s="76"/>
    </row>
    <row r="38" spans="1:10">
      <c r="A38" s="76"/>
      <c r="B38" s="76"/>
      <c r="C38" s="76"/>
      <c r="D38" s="76"/>
      <c r="E38" s="76"/>
      <c r="F38" s="76"/>
      <c r="G38" s="76"/>
      <c r="H38" s="76"/>
      <c r="I38" s="76"/>
      <c r="J38" s="76"/>
    </row>
    <row r="39" spans="1:10">
      <c r="A39" s="76"/>
      <c r="B39" s="76"/>
      <c r="C39" s="76"/>
      <c r="D39" s="76"/>
      <c r="E39" s="76"/>
      <c r="F39" s="76"/>
      <c r="G39" s="76"/>
      <c r="H39" s="76"/>
      <c r="I39" s="76"/>
      <c r="J39" s="76"/>
    </row>
    <row r="40" spans="1:10">
      <c r="A40" s="76"/>
      <c r="B40" s="76"/>
      <c r="C40" s="76"/>
      <c r="D40" s="76"/>
      <c r="E40" s="76"/>
      <c r="F40" s="76"/>
      <c r="G40" s="76"/>
      <c r="H40" s="76"/>
      <c r="I40" s="76"/>
      <c r="J40" s="76"/>
    </row>
    <row r="41" spans="1:10">
      <c r="A41" s="84">
        <v>301</v>
      </c>
      <c r="B41" s="244">
        <v>302</v>
      </c>
      <c r="C41" s="244">
        <v>303</v>
      </c>
      <c r="D41" s="84">
        <v>304</v>
      </c>
      <c r="E41" s="244">
        <v>305</v>
      </c>
      <c r="F41" s="244">
        <v>306</v>
      </c>
      <c r="G41" s="84">
        <v>501</v>
      </c>
      <c r="H41" s="970">
        <v>502</v>
      </c>
      <c r="I41" s="84">
        <v>503</v>
      </c>
      <c r="J41" s="76"/>
    </row>
    <row r="42" spans="1:10">
      <c r="A42" s="535" t="s">
        <v>1456</v>
      </c>
      <c r="B42" s="535" t="s">
        <v>1452</v>
      </c>
      <c r="C42" s="535" t="s">
        <v>1440</v>
      </c>
      <c r="D42" s="535" t="s">
        <v>1427</v>
      </c>
      <c r="E42" s="535" t="s">
        <v>1423</v>
      </c>
      <c r="F42" s="535" t="s">
        <v>1398</v>
      </c>
      <c r="G42" s="973" t="s">
        <v>1330</v>
      </c>
      <c r="H42" s="984" t="s">
        <v>1321</v>
      </c>
      <c r="I42" s="976" t="s">
        <v>1321</v>
      </c>
      <c r="J42" s="76"/>
    </row>
    <row r="43" spans="1:10">
      <c r="A43" s="1001" t="s">
        <v>1438</v>
      </c>
      <c r="B43" s="1001" t="s">
        <v>1453</v>
      </c>
      <c r="C43" s="1001" t="s">
        <v>1441</v>
      </c>
      <c r="D43" s="1001" t="s">
        <v>1435</v>
      </c>
      <c r="E43" s="1001" t="s">
        <v>506</v>
      </c>
      <c r="F43" s="1001" t="s">
        <v>1399</v>
      </c>
      <c r="G43" s="985" t="s">
        <v>1331</v>
      </c>
      <c r="H43" s="981" t="s">
        <v>1322</v>
      </c>
      <c r="I43" s="974" t="s">
        <v>1322</v>
      </c>
      <c r="J43" s="76"/>
    </row>
    <row r="44" spans="1:10">
      <c r="A44" s="544" t="s">
        <v>1439</v>
      </c>
      <c r="B44" s="544" t="s">
        <v>1454</v>
      </c>
      <c r="C44" s="544" t="s">
        <v>1442</v>
      </c>
      <c r="D44" s="544" t="s">
        <v>1432</v>
      </c>
      <c r="E44" s="544" t="s">
        <v>1424</v>
      </c>
      <c r="F44" s="544" t="s">
        <v>1400</v>
      </c>
      <c r="G44" s="973" t="s">
        <v>1332</v>
      </c>
      <c r="H44" s="980" t="s">
        <v>1323</v>
      </c>
      <c r="I44" s="973" t="s">
        <v>1323</v>
      </c>
      <c r="J44" s="76"/>
    </row>
    <row r="45" spans="1:10">
      <c r="A45" s="1001" t="s">
        <v>1424</v>
      </c>
      <c r="B45" s="1001" t="s">
        <v>1488</v>
      </c>
      <c r="C45" s="1001" t="s">
        <v>1443</v>
      </c>
      <c r="D45" s="1001" t="s">
        <v>1436</v>
      </c>
      <c r="E45" s="1001" t="s">
        <v>1426</v>
      </c>
      <c r="F45" s="1001" t="s">
        <v>1343</v>
      </c>
      <c r="G45" s="974" t="s">
        <v>1333</v>
      </c>
      <c r="H45" s="983" t="s">
        <v>1324</v>
      </c>
      <c r="I45" s="977" t="s">
        <v>1324</v>
      </c>
      <c r="J45" s="76"/>
    </row>
    <row r="46" spans="1:10">
      <c r="A46" s="544" t="s">
        <v>1427</v>
      </c>
      <c r="B46" s="544" t="s">
        <v>1486</v>
      </c>
      <c r="C46" s="544" t="s">
        <v>1444</v>
      </c>
      <c r="D46" s="544" t="s">
        <v>1437</v>
      </c>
      <c r="E46" s="544" t="s">
        <v>1428</v>
      </c>
      <c r="F46" s="964" t="s">
        <v>1344</v>
      </c>
      <c r="G46" s="973" t="s">
        <v>1334</v>
      </c>
      <c r="H46" s="76"/>
      <c r="I46" s="76"/>
      <c r="J46" s="76"/>
    </row>
    <row r="47" spans="1:10">
      <c r="A47" s="1001" t="s">
        <v>1432</v>
      </c>
      <c r="B47" s="1001" t="s">
        <v>1455</v>
      </c>
      <c r="C47" s="1001" t="s">
        <v>1445</v>
      </c>
      <c r="D47" s="1001" t="s">
        <v>1438</v>
      </c>
      <c r="E47" s="1001" t="s">
        <v>1430</v>
      </c>
      <c r="F47" s="76"/>
      <c r="G47" s="985" t="s">
        <v>1335</v>
      </c>
      <c r="H47" s="76"/>
      <c r="I47" s="76"/>
      <c r="J47" s="76"/>
    </row>
    <row r="48" spans="1:10">
      <c r="A48" s="544" t="s">
        <v>1436</v>
      </c>
      <c r="B48" s="544" t="s">
        <v>1442</v>
      </c>
      <c r="C48" s="544" t="s">
        <v>1446</v>
      </c>
      <c r="D48" s="544" t="s">
        <v>1439</v>
      </c>
      <c r="E48" s="964" t="s">
        <v>1431</v>
      </c>
      <c r="F48" s="76"/>
      <c r="G48" s="973" t="s">
        <v>1336</v>
      </c>
      <c r="H48" s="76"/>
      <c r="I48" s="76"/>
      <c r="J48" s="76"/>
    </row>
    <row r="49" spans="1:10">
      <c r="A49" s="1007" t="s">
        <v>1437</v>
      </c>
      <c r="B49" s="1001" t="s">
        <v>1443</v>
      </c>
      <c r="C49" s="1001" t="s">
        <v>1447</v>
      </c>
      <c r="D49" s="1007" t="s">
        <v>1424</v>
      </c>
      <c r="E49" s="76"/>
      <c r="F49" s="76"/>
      <c r="G49" s="974" t="s">
        <v>1337</v>
      </c>
      <c r="H49" s="76"/>
      <c r="I49" s="76"/>
      <c r="J49" s="76"/>
    </row>
    <row r="50" spans="1:10">
      <c r="A50" s="76"/>
      <c r="B50" s="544" t="s">
        <v>1440</v>
      </c>
      <c r="C50" s="544" t="s">
        <v>1448</v>
      </c>
      <c r="D50" s="76"/>
      <c r="E50" s="76"/>
      <c r="F50" s="76"/>
      <c r="G50" s="973" t="s">
        <v>1338</v>
      </c>
      <c r="H50" s="76"/>
      <c r="I50" s="76"/>
      <c r="J50" s="76"/>
    </row>
    <row r="51" spans="1:10">
      <c r="A51" s="76"/>
      <c r="B51" s="1007" t="s">
        <v>1441</v>
      </c>
      <c r="C51" s="1001" t="s">
        <v>1449</v>
      </c>
      <c r="D51" s="76"/>
      <c r="E51" s="76"/>
      <c r="F51" s="76"/>
      <c r="G51" s="986" t="s">
        <v>1339</v>
      </c>
      <c r="H51" s="76"/>
      <c r="I51" s="76"/>
      <c r="J51" s="76"/>
    </row>
    <row r="52" spans="1:10">
      <c r="A52" s="76"/>
      <c r="B52" s="76"/>
      <c r="C52" s="544" t="s">
        <v>1450</v>
      </c>
      <c r="D52" s="76"/>
      <c r="E52" s="76"/>
      <c r="F52" s="76"/>
      <c r="G52" s="76"/>
      <c r="H52" s="76"/>
      <c r="I52" s="76"/>
      <c r="J52" s="76"/>
    </row>
    <row r="53" spans="1:10">
      <c r="A53" s="76"/>
      <c r="B53" s="76"/>
      <c r="C53" s="1001" t="s">
        <v>1451</v>
      </c>
      <c r="D53" s="76"/>
      <c r="E53" s="76"/>
      <c r="F53" s="76"/>
      <c r="G53" s="76"/>
      <c r="H53" s="76"/>
      <c r="I53" s="76"/>
      <c r="J53" s="76"/>
    </row>
    <row r="54" spans="1:10">
      <c r="A54" s="76"/>
      <c r="B54" s="76"/>
      <c r="C54" s="544" t="s">
        <v>1486</v>
      </c>
      <c r="D54" s="76"/>
      <c r="E54" s="76"/>
      <c r="F54" s="76"/>
      <c r="G54" s="76"/>
      <c r="H54" s="76"/>
      <c r="I54" s="76"/>
      <c r="J54" s="76"/>
    </row>
    <row r="55" spans="1:10">
      <c r="A55" s="76"/>
      <c r="B55" s="76"/>
      <c r="C55" s="1007" t="s">
        <v>1487</v>
      </c>
      <c r="D55" s="76"/>
      <c r="E55" s="76"/>
      <c r="F55" s="76"/>
      <c r="G55" s="76"/>
      <c r="H55" s="76"/>
      <c r="I55" s="76"/>
      <c r="J55" s="76"/>
    </row>
    <row r="56" spans="1:10">
      <c r="A56" s="76"/>
      <c r="B56" s="76"/>
      <c r="C56" s="76"/>
      <c r="D56" s="76"/>
      <c r="E56" s="76"/>
      <c r="F56" s="76"/>
      <c r="G56" s="76"/>
      <c r="H56" s="76"/>
      <c r="I56" s="76"/>
      <c r="J56" s="76"/>
    </row>
    <row r="57" spans="1:10">
      <c r="A57" s="76"/>
      <c r="B57" s="76"/>
      <c r="C57" s="76"/>
      <c r="D57" s="76"/>
      <c r="E57" s="76"/>
      <c r="F57" s="76"/>
      <c r="G57" s="76"/>
      <c r="H57" s="76"/>
      <c r="I57" s="76"/>
      <c r="J57" s="76"/>
    </row>
    <row r="58" spans="1:10">
      <c r="A58" s="76"/>
      <c r="B58" s="76"/>
      <c r="C58" s="76"/>
      <c r="D58" s="76"/>
      <c r="E58" s="76"/>
      <c r="F58" s="76"/>
      <c r="G58" s="76"/>
      <c r="H58" s="76"/>
      <c r="I58" s="76"/>
      <c r="J58" s="76"/>
    </row>
    <row r="59" spans="1:10">
      <c r="A59" s="76"/>
      <c r="B59" s="76"/>
      <c r="C59" s="76"/>
      <c r="D59" s="76"/>
      <c r="E59" s="76"/>
      <c r="F59" s="76"/>
      <c r="G59" s="76"/>
      <c r="H59" s="76"/>
      <c r="I59" s="76"/>
      <c r="J59" s="76"/>
    </row>
    <row r="60" spans="1:10">
      <c r="A60" s="76"/>
      <c r="B60" s="76"/>
      <c r="C60" s="76"/>
      <c r="D60" s="76"/>
      <c r="E60" s="76"/>
      <c r="F60" s="76"/>
      <c r="G60" s="76"/>
      <c r="H60" s="76"/>
      <c r="I60" s="76"/>
      <c r="J60" s="76"/>
    </row>
    <row r="61" spans="1:10">
      <c r="A61" s="84">
        <v>401</v>
      </c>
      <c r="B61" s="970">
        <v>402</v>
      </c>
      <c r="C61" s="84">
        <v>403</v>
      </c>
      <c r="D61" s="970">
        <v>405</v>
      </c>
      <c r="F61" s="76"/>
      <c r="G61" s="76"/>
      <c r="H61" s="76"/>
      <c r="I61" s="76"/>
      <c r="J61" s="76"/>
    </row>
    <row r="62" spans="1:10">
      <c r="A62" s="974" t="s">
        <v>1298</v>
      </c>
      <c r="B62" s="979" t="s">
        <v>1298</v>
      </c>
      <c r="C62" s="972" t="s">
        <v>538</v>
      </c>
      <c r="D62" s="979" t="s">
        <v>1298</v>
      </c>
      <c r="F62" s="76"/>
      <c r="G62" s="76"/>
      <c r="H62" s="76"/>
      <c r="I62" s="76"/>
      <c r="J62" s="76"/>
    </row>
    <row r="63" spans="1:10">
      <c r="A63" s="973" t="s">
        <v>1305</v>
      </c>
      <c r="B63" s="980" t="s">
        <v>1305</v>
      </c>
      <c r="C63" s="973" t="s">
        <v>540</v>
      </c>
      <c r="D63" s="980" t="s">
        <v>1305</v>
      </c>
      <c r="F63" s="76"/>
      <c r="G63" s="76"/>
      <c r="H63" s="76"/>
      <c r="I63" s="76"/>
      <c r="J63" s="76"/>
    </row>
    <row r="64" spans="1:10">
      <c r="A64" s="974" t="s">
        <v>1306</v>
      </c>
      <c r="B64" s="981" t="s">
        <v>517</v>
      </c>
      <c r="C64" s="974" t="s">
        <v>517</v>
      </c>
      <c r="D64" s="981" t="s">
        <v>1306</v>
      </c>
      <c r="F64" s="76"/>
      <c r="G64" s="76"/>
      <c r="H64" s="76"/>
      <c r="I64" s="76"/>
      <c r="J64" s="76"/>
    </row>
    <row r="65" spans="1:10">
      <c r="A65" s="973" t="s">
        <v>1307</v>
      </c>
      <c r="B65" s="980" t="s">
        <v>519</v>
      </c>
      <c r="C65" s="973" t="s">
        <v>1308</v>
      </c>
      <c r="D65" s="982" t="s">
        <v>1307</v>
      </c>
      <c r="F65" s="76"/>
      <c r="G65" s="76"/>
      <c r="H65" s="76"/>
      <c r="I65" s="76"/>
      <c r="J65" s="76"/>
    </row>
    <row r="66" spans="1:10">
      <c r="A66" s="974" t="s">
        <v>1308</v>
      </c>
      <c r="B66" s="981" t="s">
        <v>538</v>
      </c>
      <c r="C66" s="974" t="s">
        <v>519</v>
      </c>
      <c r="D66" s="452"/>
      <c r="F66" s="76"/>
      <c r="G66" s="76"/>
      <c r="H66" s="76"/>
      <c r="I66" s="76"/>
      <c r="J66" s="76"/>
    </row>
    <row r="67" spans="1:10">
      <c r="A67" s="973" t="s">
        <v>737</v>
      </c>
      <c r="B67" s="980" t="s">
        <v>539</v>
      </c>
      <c r="C67" s="973" t="s">
        <v>1325</v>
      </c>
      <c r="D67" s="452"/>
      <c r="F67" s="76"/>
      <c r="G67" s="76"/>
      <c r="H67" s="76"/>
      <c r="I67" s="76"/>
      <c r="J67" s="76"/>
    </row>
    <row r="68" spans="1:10">
      <c r="A68" s="974" t="s">
        <v>1309</v>
      </c>
      <c r="B68" s="981" t="s">
        <v>540</v>
      </c>
      <c r="C68" s="974" t="s">
        <v>521</v>
      </c>
      <c r="D68" s="452"/>
      <c r="F68" s="76"/>
      <c r="G68" s="76"/>
      <c r="H68" s="76"/>
      <c r="I68" s="76"/>
      <c r="J68" s="76"/>
    </row>
    <row r="69" spans="1:10">
      <c r="A69" s="973" t="s">
        <v>1310</v>
      </c>
      <c r="B69" s="980" t="s">
        <v>1311</v>
      </c>
      <c r="C69" s="973" t="s">
        <v>522</v>
      </c>
      <c r="D69" s="452"/>
      <c r="F69" s="76"/>
      <c r="G69" s="76"/>
      <c r="H69" s="76"/>
      <c r="I69" s="76"/>
      <c r="J69" s="76"/>
    </row>
    <row r="70" spans="1:10">
      <c r="A70" s="974" t="s">
        <v>1311</v>
      </c>
      <c r="B70" s="981" t="s">
        <v>1312</v>
      </c>
      <c r="C70" s="974" t="s">
        <v>523</v>
      </c>
      <c r="D70" s="452"/>
      <c r="F70" s="76"/>
      <c r="G70" s="76"/>
      <c r="H70" s="76"/>
      <c r="I70" s="76"/>
      <c r="J70" s="76"/>
    </row>
    <row r="71" spans="1:10">
      <c r="A71" s="973" t="s">
        <v>1312</v>
      </c>
      <c r="B71" s="980" t="s">
        <v>1314</v>
      </c>
      <c r="C71" s="973" t="s">
        <v>524</v>
      </c>
      <c r="D71" s="452"/>
      <c r="F71" s="76"/>
      <c r="G71" s="76"/>
      <c r="H71" s="76"/>
      <c r="I71" s="76"/>
      <c r="J71" s="76"/>
    </row>
    <row r="72" spans="1:10">
      <c r="A72" s="974" t="s">
        <v>1314</v>
      </c>
      <c r="B72" s="983" t="s">
        <v>1315</v>
      </c>
      <c r="C72" s="974" t="s">
        <v>550</v>
      </c>
      <c r="D72" s="452"/>
      <c r="F72" s="76"/>
      <c r="G72" s="76"/>
      <c r="H72" s="76"/>
      <c r="I72" s="76"/>
      <c r="J72" s="76"/>
    </row>
    <row r="73" spans="1:10">
      <c r="A73" s="973" t="s">
        <v>1315</v>
      </c>
      <c r="B73" s="76"/>
      <c r="C73" s="973" t="s">
        <v>1327</v>
      </c>
      <c r="D73" s="452"/>
      <c r="F73" s="76"/>
      <c r="G73" s="76"/>
      <c r="H73" s="76"/>
      <c r="I73" s="76"/>
      <c r="J73" s="76"/>
    </row>
    <row r="74" spans="1:10">
      <c r="A74" s="974" t="s">
        <v>661</v>
      </c>
      <c r="B74" s="76"/>
      <c r="C74" s="974" t="s">
        <v>1328</v>
      </c>
      <c r="D74" s="452"/>
      <c r="F74" s="76"/>
      <c r="G74" s="76"/>
      <c r="H74" s="76"/>
      <c r="I74" s="76"/>
      <c r="J74" s="76"/>
    </row>
    <row r="75" spans="1:10">
      <c r="A75" s="975" t="s">
        <v>662</v>
      </c>
      <c r="B75" s="76"/>
      <c r="C75" s="973" t="s">
        <v>554</v>
      </c>
      <c r="D75" s="452"/>
      <c r="F75" s="76"/>
      <c r="G75" s="76"/>
      <c r="H75" s="76"/>
      <c r="I75" s="76"/>
      <c r="J75" s="76"/>
    </row>
    <row r="76" spans="1:10">
      <c r="C76" s="974" t="s">
        <v>553</v>
      </c>
      <c r="D76" s="452"/>
    </row>
    <row r="77" spans="1:10">
      <c r="C77" s="973" t="s">
        <v>555</v>
      </c>
      <c r="D77" s="452"/>
    </row>
    <row r="78" spans="1:10">
      <c r="C78" s="974" t="s">
        <v>556</v>
      </c>
      <c r="D78" s="452"/>
    </row>
    <row r="79" spans="1:10">
      <c r="C79" s="973" t="s">
        <v>1326</v>
      </c>
      <c r="D79" s="452"/>
    </row>
    <row r="80" spans="1:10">
      <c r="C80" s="974" t="s">
        <v>551</v>
      </c>
      <c r="D80" s="452"/>
    </row>
    <row r="81" spans="3:4">
      <c r="C81" s="973" t="s">
        <v>552</v>
      </c>
      <c r="D81" s="452"/>
    </row>
    <row r="82" spans="3:4">
      <c r="C82" s="974" t="s">
        <v>1311</v>
      </c>
      <c r="D82" s="452"/>
    </row>
    <row r="83" spans="3:4">
      <c r="C83" s="973" t="s">
        <v>1312</v>
      </c>
      <c r="D83" s="452"/>
    </row>
    <row r="84" spans="3:4">
      <c r="C84" s="974" t="s">
        <v>1314</v>
      </c>
      <c r="D84" s="452"/>
    </row>
    <row r="85" spans="3:4">
      <c r="C85" s="973" t="s">
        <v>1315</v>
      </c>
      <c r="D85" s="452"/>
    </row>
    <row r="86" spans="3:4">
      <c r="C86" s="974" t="s">
        <v>1316</v>
      </c>
      <c r="D86" s="452"/>
    </row>
    <row r="87" spans="3:4">
      <c r="C87" s="975" t="s">
        <v>1317</v>
      </c>
    </row>
  </sheetData>
  <phoneticPr fontId="26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67">
    <tabColor indexed="26"/>
  </sheetPr>
  <dimension ref="A1:I26"/>
  <sheetViews>
    <sheetView workbookViewId="0">
      <selection activeCell="E15" sqref="E15"/>
    </sheetView>
  </sheetViews>
  <sheetFormatPr defaultRowHeight="16.5"/>
  <cols>
    <col min="1" max="1" width="14.125" customWidth="1"/>
    <col min="2" max="3" width="15.375" customWidth="1"/>
    <col min="4" max="8" width="12.75" customWidth="1"/>
    <col min="9" max="9" width="27.625" customWidth="1"/>
  </cols>
  <sheetData>
    <row r="1" spans="1:9" ht="25.5">
      <c r="A1" s="1888" t="s">
        <v>72</v>
      </c>
      <c r="B1" s="1888"/>
      <c r="C1" s="1888"/>
      <c r="D1" s="1888"/>
      <c r="E1" s="1888"/>
      <c r="F1" s="1888"/>
      <c r="G1" s="1888"/>
      <c r="H1" s="1888"/>
      <c r="I1" s="1888"/>
    </row>
    <row r="2" spans="1:9" ht="25.5">
      <c r="A2" s="1888" t="s">
        <v>73</v>
      </c>
      <c r="B2" s="1888"/>
      <c r="C2" s="1888"/>
      <c r="D2" s="1888"/>
      <c r="E2" s="1888"/>
      <c r="F2" s="1888"/>
      <c r="G2" s="1888"/>
      <c r="H2" s="1888"/>
      <c r="I2" s="1888"/>
    </row>
    <row r="3" spans="1:9">
      <c r="A3" s="55"/>
      <c r="B3" s="55"/>
      <c r="C3" s="55"/>
      <c r="D3" s="55"/>
      <c r="E3" s="55"/>
      <c r="F3" s="55"/>
      <c r="G3" s="55"/>
    </row>
    <row r="4" spans="1:9">
      <c r="A4" t="s">
        <v>74</v>
      </c>
      <c r="D4" s="55"/>
      <c r="E4" s="55"/>
      <c r="F4" s="55"/>
      <c r="G4" s="55"/>
    </row>
    <row r="5" spans="1:9">
      <c r="A5" s="1887" t="s">
        <v>192</v>
      </c>
      <c r="B5" s="1887" t="s">
        <v>75</v>
      </c>
      <c r="C5" s="1890" t="s">
        <v>76</v>
      </c>
      <c r="D5" s="1275" t="s">
        <v>77</v>
      </c>
      <c r="E5" s="1889" t="s">
        <v>78</v>
      </c>
      <c r="F5" s="1889"/>
      <c r="G5" s="1889" t="s">
        <v>79</v>
      </c>
      <c r="H5" s="1889"/>
      <c r="I5" s="1275" t="s">
        <v>203</v>
      </c>
    </row>
    <row r="6" spans="1:9">
      <c r="A6" s="1887"/>
      <c r="B6" s="1887"/>
      <c r="C6" s="1887"/>
      <c r="D6" s="1275"/>
      <c r="E6" s="57" t="s">
        <v>80</v>
      </c>
      <c r="F6" s="57" t="s">
        <v>81</v>
      </c>
      <c r="G6" s="57" t="s">
        <v>80</v>
      </c>
      <c r="H6" s="57" t="s">
        <v>81</v>
      </c>
      <c r="I6" s="1275"/>
    </row>
    <row r="7" spans="1:9" ht="19.5" customHeight="1">
      <c r="A7" s="58">
        <v>101</v>
      </c>
      <c r="B7" s="59">
        <v>240860</v>
      </c>
      <c r="C7" s="59">
        <v>217027</v>
      </c>
      <c r="D7" s="60">
        <v>36.49</v>
      </c>
      <c r="E7" s="59">
        <v>38</v>
      </c>
      <c r="F7" s="61">
        <f>D7/E7</f>
        <v>0.96026315789473693</v>
      </c>
      <c r="G7" s="62">
        <v>56</v>
      </c>
      <c r="H7" s="61">
        <f>D7/G7</f>
        <v>0.65160714285714294</v>
      </c>
      <c r="I7" s="71"/>
    </row>
    <row r="8" spans="1:9" ht="19.5" customHeight="1">
      <c r="A8" s="63">
        <v>102</v>
      </c>
      <c r="B8" s="64">
        <v>58977</v>
      </c>
      <c r="C8" s="64">
        <v>53741</v>
      </c>
      <c r="D8" s="65">
        <v>10.34</v>
      </c>
      <c r="E8" s="64">
        <v>14</v>
      </c>
      <c r="F8" s="66">
        <f>D8/E8</f>
        <v>0.73857142857142855</v>
      </c>
      <c r="G8" s="67">
        <v>56</v>
      </c>
      <c r="H8" s="66">
        <f>D8/G8</f>
        <v>0.18464285714285714</v>
      </c>
      <c r="I8" s="73"/>
    </row>
    <row r="9" spans="1:9" ht="19.5" customHeight="1">
      <c r="A9" s="63">
        <v>103</v>
      </c>
      <c r="B9" s="64">
        <v>89227</v>
      </c>
      <c r="C9" s="64">
        <v>78717</v>
      </c>
      <c r="D9" s="65">
        <v>11.27</v>
      </c>
      <c r="E9" s="64">
        <v>14</v>
      </c>
      <c r="F9" s="66">
        <f>D9/E9</f>
        <v>0.80499999999999994</v>
      </c>
      <c r="G9" s="67">
        <v>56</v>
      </c>
      <c r="H9" s="66">
        <f>D9/G9</f>
        <v>0.20124999999999998</v>
      </c>
      <c r="I9" s="73"/>
    </row>
    <row r="10" spans="1:9">
      <c r="A10" s="55" t="s">
        <v>71</v>
      </c>
      <c r="B10" s="68">
        <f>SUM(B7:B9)</f>
        <v>389064</v>
      </c>
      <c r="C10" s="68">
        <f>SUM(C7:C9)</f>
        <v>349485</v>
      </c>
    </row>
    <row r="11" spans="1:9">
      <c r="A11" s="55"/>
      <c r="B11" s="69"/>
      <c r="C11" s="69"/>
    </row>
    <row r="12" spans="1:9">
      <c r="A12" s="55"/>
      <c r="B12" s="69"/>
      <c r="C12" s="69"/>
    </row>
    <row r="13" spans="1:9">
      <c r="A13" t="s">
        <v>82</v>
      </c>
      <c r="C13" s="55"/>
      <c r="D13" s="55"/>
      <c r="E13" s="55"/>
      <c r="F13" s="55"/>
      <c r="G13" s="55"/>
    </row>
    <row r="14" spans="1:9">
      <c r="A14" s="1887" t="s">
        <v>83</v>
      </c>
      <c r="B14" s="1890" t="s">
        <v>84</v>
      </c>
      <c r="C14" s="1275" t="s">
        <v>77</v>
      </c>
      <c r="D14" s="1889" t="s">
        <v>78</v>
      </c>
      <c r="E14" s="1889"/>
      <c r="F14" s="1889" t="s">
        <v>79</v>
      </c>
      <c r="G14" s="1889"/>
      <c r="H14" s="1275" t="s">
        <v>203</v>
      </c>
      <c r="I14" s="1275"/>
    </row>
    <row r="15" spans="1:9">
      <c r="A15" s="1887"/>
      <c r="B15" s="1887"/>
      <c r="C15" s="1275"/>
      <c r="D15" s="57" t="s">
        <v>80</v>
      </c>
      <c r="E15" s="57" t="s">
        <v>81</v>
      </c>
      <c r="F15" s="57" t="s">
        <v>80</v>
      </c>
      <c r="G15" s="57" t="s">
        <v>81</v>
      </c>
      <c r="H15" s="1275"/>
      <c r="I15" s="1275"/>
    </row>
    <row r="16" spans="1:9" ht="21.75" customHeight="1">
      <c r="A16" s="58" t="s">
        <v>85</v>
      </c>
      <c r="B16" s="70">
        <v>2310900</v>
      </c>
      <c r="C16" s="71">
        <v>17.350000000000001</v>
      </c>
      <c r="D16" s="71">
        <v>31</v>
      </c>
      <c r="E16" s="61">
        <f t="shared" ref="E16:E22" si="0">C16/D16</f>
        <v>0.55967741935483872</v>
      </c>
      <c r="F16" s="62">
        <v>56</v>
      </c>
      <c r="G16" s="61">
        <f t="shared" ref="G16:G22" si="1">C16/F16</f>
        <v>0.30982142857142858</v>
      </c>
      <c r="H16" s="1281"/>
      <c r="I16" s="1281"/>
    </row>
    <row r="17" spans="1:9" ht="21.75" customHeight="1">
      <c r="A17" s="63" t="s">
        <v>86</v>
      </c>
      <c r="B17" s="72">
        <v>684096</v>
      </c>
      <c r="C17" s="65">
        <v>3.96</v>
      </c>
      <c r="D17" s="64">
        <v>8</v>
      </c>
      <c r="E17" s="66">
        <f t="shared" si="0"/>
        <v>0.495</v>
      </c>
      <c r="F17" s="67">
        <v>56</v>
      </c>
      <c r="G17" s="66">
        <f t="shared" si="1"/>
        <v>7.0714285714285716E-2</v>
      </c>
      <c r="H17" s="1892"/>
      <c r="I17" s="1892"/>
    </row>
    <row r="18" spans="1:9" ht="21.75" customHeight="1">
      <c r="A18" s="58" t="s">
        <v>87</v>
      </c>
      <c r="B18" s="70">
        <v>1757972</v>
      </c>
      <c r="C18" s="60">
        <v>8.7100000000000009</v>
      </c>
      <c r="D18" s="59">
        <v>21</v>
      </c>
      <c r="E18" s="61">
        <f t="shared" si="0"/>
        <v>0.41476190476190478</v>
      </c>
      <c r="F18" s="62">
        <v>56</v>
      </c>
      <c r="G18" s="61">
        <f t="shared" si="1"/>
        <v>0.1555357142857143</v>
      </c>
      <c r="H18" s="1281"/>
      <c r="I18" s="1281"/>
    </row>
    <row r="19" spans="1:9" ht="21.75" customHeight="1">
      <c r="A19" s="63" t="s">
        <v>88</v>
      </c>
      <c r="B19" s="72">
        <v>1352248</v>
      </c>
      <c r="C19" s="65">
        <v>12.32</v>
      </c>
      <c r="D19" s="64">
        <v>28</v>
      </c>
      <c r="E19" s="66">
        <f t="shared" si="0"/>
        <v>0.44</v>
      </c>
      <c r="F19" s="67">
        <v>56</v>
      </c>
      <c r="G19" s="66">
        <f t="shared" si="1"/>
        <v>0.22</v>
      </c>
      <c r="H19" s="1892"/>
      <c r="I19" s="1892"/>
    </row>
    <row r="20" spans="1:9" ht="21.75" customHeight="1">
      <c r="A20" s="63" t="s">
        <v>89</v>
      </c>
      <c r="B20" s="72">
        <v>996944</v>
      </c>
      <c r="C20" s="65">
        <v>4.71</v>
      </c>
      <c r="D20" s="64">
        <v>10</v>
      </c>
      <c r="E20" s="66">
        <f t="shared" si="0"/>
        <v>0.47099999999999997</v>
      </c>
      <c r="F20" s="67">
        <v>56</v>
      </c>
      <c r="G20" s="66">
        <f t="shared" si="1"/>
        <v>8.4107142857142853E-2</v>
      </c>
      <c r="H20" s="1893"/>
      <c r="I20" s="1894"/>
    </row>
    <row r="21" spans="1:9" ht="21.75" customHeight="1">
      <c r="A21" s="58" t="s">
        <v>90</v>
      </c>
      <c r="B21" s="70">
        <v>4840435</v>
      </c>
      <c r="C21" s="71">
        <v>23.55</v>
      </c>
      <c r="D21" s="71">
        <v>30</v>
      </c>
      <c r="E21" s="61">
        <f t="shared" si="0"/>
        <v>0.78500000000000003</v>
      </c>
      <c r="F21" s="62">
        <v>56</v>
      </c>
      <c r="G21" s="61">
        <f t="shared" si="1"/>
        <v>0.42053571428571429</v>
      </c>
      <c r="H21" s="1281"/>
      <c r="I21" s="1281"/>
    </row>
    <row r="22" spans="1:9" ht="21.75" customHeight="1">
      <c r="A22" s="63" t="s">
        <v>91</v>
      </c>
      <c r="B22" s="72">
        <v>474600</v>
      </c>
      <c r="C22" s="73">
        <v>1.82</v>
      </c>
      <c r="D22" s="73">
        <v>9</v>
      </c>
      <c r="E22" s="66">
        <f t="shared" si="0"/>
        <v>0.20222222222222222</v>
      </c>
      <c r="F22" s="67">
        <v>56</v>
      </c>
      <c r="G22" s="66">
        <f t="shared" si="1"/>
        <v>3.2500000000000001E-2</v>
      </c>
      <c r="H22" s="1892"/>
      <c r="I22" s="1892"/>
    </row>
    <row r="23" spans="1:9">
      <c r="A23" s="55" t="s">
        <v>71</v>
      </c>
      <c r="B23" s="74">
        <f>SUM(B16:B22)</f>
        <v>12417195</v>
      </c>
    </row>
    <row r="26" spans="1:9" ht="19.5">
      <c r="F26" s="1891" t="s">
        <v>92</v>
      </c>
      <c r="G26" s="1891"/>
      <c r="H26" s="1891"/>
      <c r="I26" s="1891"/>
    </row>
  </sheetData>
  <mergeCells count="23">
    <mergeCell ref="F26:I26"/>
    <mergeCell ref="D14:E14"/>
    <mergeCell ref="F14:G14"/>
    <mergeCell ref="H14:I15"/>
    <mergeCell ref="H16:I16"/>
    <mergeCell ref="H18:I18"/>
    <mergeCell ref="H19:I19"/>
    <mergeCell ref="H22:I22"/>
    <mergeCell ref="H20:I20"/>
    <mergeCell ref="H21:I21"/>
    <mergeCell ref="H17:I17"/>
    <mergeCell ref="A14:A15"/>
    <mergeCell ref="A1:I1"/>
    <mergeCell ref="A2:I2"/>
    <mergeCell ref="E5:F5"/>
    <mergeCell ref="G5:H5"/>
    <mergeCell ref="A5:A6"/>
    <mergeCell ref="B5:B6"/>
    <mergeCell ref="B14:B15"/>
    <mergeCell ref="C5:C6"/>
    <mergeCell ref="C14:C15"/>
    <mergeCell ref="D5:D6"/>
    <mergeCell ref="I5:I6"/>
  </mergeCells>
  <phoneticPr fontId="26" type="noConversion"/>
  <pageMargins left="0.39" right="0" top="0" bottom="0" header="0.31" footer="0.31"/>
  <pageSetup paperSize="9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68">
    <tabColor indexed="26"/>
  </sheetPr>
  <dimension ref="A1:CN51"/>
  <sheetViews>
    <sheetView workbookViewId="0">
      <selection activeCell="D13" sqref="D13"/>
    </sheetView>
  </sheetViews>
  <sheetFormatPr defaultRowHeight="16.5"/>
  <cols>
    <col min="1" max="1" width="20" style="1" customWidth="1"/>
    <col min="2" max="2" width="29.25" style="2" customWidth="1"/>
    <col min="3" max="3" width="13.5" style="3" customWidth="1"/>
    <col min="4" max="4" width="13.5" style="4" customWidth="1"/>
    <col min="5" max="6" width="10.5" style="3" customWidth="1"/>
    <col min="7" max="7" width="12.625" style="5" customWidth="1"/>
    <col min="8" max="8" width="8.75" style="6" customWidth="1"/>
    <col min="9" max="92" width="9" style="6"/>
    <col min="93" max="16384" width="9" style="2"/>
  </cols>
  <sheetData>
    <row r="1" spans="1:8">
      <c r="A1" s="7" t="s">
        <v>93</v>
      </c>
      <c r="B1" s="8" t="s">
        <v>94</v>
      </c>
    </row>
    <row r="2" spans="1:8">
      <c r="A2" s="9" t="s">
        <v>95</v>
      </c>
      <c r="B2" s="10" t="s">
        <v>361</v>
      </c>
      <c r="C2" s="11" t="s">
        <v>96</v>
      </c>
      <c r="D2" s="12" t="s">
        <v>97</v>
      </c>
      <c r="E2" s="11" t="s">
        <v>98</v>
      </c>
      <c r="F2" s="13" t="s">
        <v>99</v>
      </c>
      <c r="G2" s="14" t="s">
        <v>100</v>
      </c>
    </row>
    <row r="3" spans="1:8">
      <c r="A3" s="15">
        <v>41306</v>
      </c>
      <c r="B3" s="16" t="s">
        <v>101</v>
      </c>
      <c r="C3" s="17">
        <v>2469</v>
      </c>
      <c r="D3" s="18">
        <f>C3/1106*290</f>
        <v>647.38698010849907</v>
      </c>
      <c r="E3" s="17">
        <v>580</v>
      </c>
      <c r="F3" s="18">
        <f t="shared" ref="F3:F10" si="0">D3-E3</f>
        <v>67.386980108499074</v>
      </c>
      <c r="G3" s="19">
        <f t="shared" ref="G3:G10" si="1">E3/D3</f>
        <v>0.89590927501012563</v>
      </c>
    </row>
    <row r="4" spans="1:8">
      <c r="A4" s="20" t="s">
        <v>102</v>
      </c>
      <c r="B4" s="21" t="s">
        <v>376</v>
      </c>
      <c r="C4" s="22">
        <v>27759</v>
      </c>
      <c r="D4" s="23">
        <f>C4/854*156</f>
        <v>5070.730679156909</v>
      </c>
      <c r="E4" s="22">
        <v>4911</v>
      </c>
      <c r="F4" s="18">
        <f t="shared" si="0"/>
        <v>159.73067915690899</v>
      </c>
      <c r="G4" s="19">
        <f t="shared" si="1"/>
        <v>0.96849947487578525</v>
      </c>
    </row>
    <row r="5" spans="1:8">
      <c r="A5" s="24"/>
      <c r="B5" s="6"/>
      <c r="C5" s="25"/>
      <c r="D5" s="26"/>
      <c r="E5" s="25"/>
      <c r="F5" s="26"/>
      <c r="G5" s="27"/>
    </row>
    <row r="6" spans="1:8">
      <c r="B6" s="8" t="s">
        <v>103</v>
      </c>
    </row>
    <row r="7" spans="1:8">
      <c r="A7" s="9" t="s">
        <v>95</v>
      </c>
      <c r="B7" s="10" t="s">
        <v>361</v>
      </c>
      <c r="C7" s="11" t="s">
        <v>96</v>
      </c>
      <c r="D7" s="12" t="s">
        <v>97</v>
      </c>
      <c r="E7" s="11" t="s">
        <v>98</v>
      </c>
      <c r="F7" s="13" t="s">
        <v>99</v>
      </c>
      <c r="G7" s="14" t="s">
        <v>100</v>
      </c>
    </row>
    <row r="8" spans="1:8">
      <c r="A8" s="28">
        <v>41306</v>
      </c>
      <c r="B8" s="29" t="s">
        <v>104</v>
      </c>
      <c r="C8" s="30">
        <f>4548+1024</f>
        <v>5572</v>
      </c>
      <c r="D8" s="31">
        <f>C8/1100*126</f>
        <v>638.24727272727273</v>
      </c>
      <c r="E8" s="30">
        <v>674</v>
      </c>
      <c r="F8" s="31">
        <f t="shared" si="0"/>
        <v>-35.75272727272727</v>
      </c>
      <c r="G8" s="32">
        <f t="shared" si="1"/>
        <v>1.0560170466846706</v>
      </c>
      <c r="H8" s="6" t="s">
        <v>105</v>
      </c>
    </row>
    <row r="9" spans="1:8">
      <c r="A9" s="15">
        <v>41307</v>
      </c>
      <c r="B9" s="33" t="s">
        <v>106</v>
      </c>
      <c r="C9" s="17">
        <f>4387+196</f>
        <v>4583</v>
      </c>
      <c r="D9" s="18">
        <f>C9/847*65</f>
        <v>351.70602125147576</v>
      </c>
      <c r="E9" s="17">
        <v>350</v>
      </c>
      <c r="F9" s="18">
        <f t="shared" si="0"/>
        <v>1.7060212514757609</v>
      </c>
      <c r="G9" s="19">
        <f t="shared" si="1"/>
        <v>0.995149297571292</v>
      </c>
    </row>
    <row r="10" spans="1:8">
      <c r="A10" s="34" t="s">
        <v>107</v>
      </c>
      <c r="B10" s="33" t="s">
        <v>108</v>
      </c>
      <c r="C10" s="17">
        <v>3103</v>
      </c>
      <c r="D10" s="18">
        <f>C10/661*94</f>
        <v>441.2738275340393</v>
      </c>
      <c r="E10" s="17">
        <v>271</v>
      </c>
      <c r="F10" s="18">
        <f t="shared" si="0"/>
        <v>170.2738275340393</v>
      </c>
      <c r="G10" s="19">
        <f t="shared" si="1"/>
        <v>0.61413114281992043</v>
      </c>
    </row>
    <row r="11" spans="1:8">
      <c r="A11" s="24"/>
      <c r="B11" s="35"/>
      <c r="C11" s="25"/>
      <c r="D11" s="26"/>
      <c r="E11" s="25"/>
      <c r="F11" s="26"/>
      <c r="G11" s="27"/>
    </row>
    <row r="12" spans="1:8">
      <c r="B12" s="8" t="s">
        <v>109</v>
      </c>
    </row>
    <row r="13" spans="1:8">
      <c r="A13" s="9" t="s">
        <v>95</v>
      </c>
      <c r="B13" s="10" t="s">
        <v>361</v>
      </c>
      <c r="C13" s="11" t="s">
        <v>96</v>
      </c>
      <c r="D13" s="12" t="s">
        <v>97</v>
      </c>
      <c r="E13" s="11" t="s">
        <v>98</v>
      </c>
      <c r="F13" s="13" t="s">
        <v>99</v>
      </c>
      <c r="G13" s="14" t="s">
        <v>100</v>
      </c>
    </row>
    <row r="14" spans="1:8">
      <c r="A14" s="20" t="s">
        <v>110</v>
      </c>
      <c r="B14" s="36" t="s">
        <v>111</v>
      </c>
      <c r="C14" s="22">
        <v>2793</v>
      </c>
      <c r="D14" s="23">
        <f>C14/1148*378</f>
        <v>919.64634146341473</v>
      </c>
      <c r="E14" s="22">
        <v>892</v>
      </c>
      <c r="F14" s="23">
        <f>D14-E14</f>
        <v>27.646341463414728</v>
      </c>
      <c r="G14" s="37">
        <f>E14/D14</f>
        <v>0.96993807269496479</v>
      </c>
    </row>
    <row r="15" spans="1:8">
      <c r="A15" s="15" t="s">
        <v>112</v>
      </c>
      <c r="B15" s="33" t="s">
        <v>113</v>
      </c>
      <c r="C15" s="17">
        <v>1783</v>
      </c>
      <c r="D15" s="18">
        <f>C15/1093*252</f>
        <v>411.08508691674291</v>
      </c>
      <c r="E15" s="17">
        <v>340</v>
      </c>
      <c r="F15" s="18">
        <f>D15-E15</f>
        <v>71.08508691674291</v>
      </c>
      <c r="G15" s="19">
        <f>E15/D15</f>
        <v>0.82707938288420624</v>
      </c>
    </row>
    <row r="16" spans="1:8">
      <c r="A16" s="15">
        <v>41324</v>
      </c>
      <c r="B16" s="38" t="s">
        <v>114</v>
      </c>
      <c r="C16" s="17">
        <f>1402+1481</f>
        <v>2883</v>
      </c>
      <c r="D16" s="18">
        <f>C16/1081*139</f>
        <v>370.70952821461611</v>
      </c>
      <c r="E16" s="17">
        <v>280</v>
      </c>
      <c r="F16" s="18">
        <f>D16-E16</f>
        <v>90.709528214616114</v>
      </c>
      <c r="G16" s="19">
        <f>E16/D16</f>
        <v>0.75530834437548811</v>
      </c>
    </row>
    <row r="17" spans="1:8">
      <c r="A17" s="15" t="s">
        <v>115</v>
      </c>
      <c r="B17" s="33" t="s">
        <v>116</v>
      </c>
      <c r="C17" s="17">
        <f>3302+264</f>
        <v>3566</v>
      </c>
      <c r="D17" s="18">
        <f>C17/1110*103</f>
        <v>330.89909909909909</v>
      </c>
      <c r="E17" s="17">
        <v>302</v>
      </c>
      <c r="F17" s="18">
        <f>D17-E17</f>
        <v>28.899099099099089</v>
      </c>
      <c r="G17" s="19">
        <f>E17/D17</f>
        <v>0.91266492058219761</v>
      </c>
      <c r="H17" s="39"/>
    </row>
    <row r="18" spans="1:8">
      <c r="A18" s="15" t="s">
        <v>117</v>
      </c>
      <c r="B18" s="40" t="s">
        <v>118</v>
      </c>
      <c r="C18" s="17">
        <f>19455+2343</f>
        <v>21798</v>
      </c>
      <c r="D18" s="18">
        <f>C18/1081*145</f>
        <v>2923.8760407030531</v>
      </c>
      <c r="E18" s="17">
        <v>2600</v>
      </c>
      <c r="F18" s="18">
        <f>D18-E18</f>
        <v>323.87604070305315</v>
      </c>
      <c r="G18" s="19">
        <f>E18/D18</f>
        <v>0.88923058426745871</v>
      </c>
      <c r="H18" s="39"/>
    </row>
    <row r="19" spans="1:8">
      <c r="A19" s="24"/>
      <c r="B19" s="6"/>
      <c r="C19" s="25"/>
      <c r="D19" s="26"/>
      <c r="E19" s="25"/>
      <c r="F19" s="25"/>
      <c r="G19" s="41"/>
    </row>
    <row r="20" spans="1:8">
      <c r="B20" s="8" t="s">
        <v>119</v>
      </c>
      <c r="G20" s="27"/>
    </row>
    <row r="21" spans="1:8">
      <c r="A21" s="9" t="s">
        <v>95</v>
      </c>
      <c r="B21" s="10" t="s">
        <v>361</v>
      </c>
      <c r="C21" s="11" t="s">
        <v>96</v>
      </c>
      <c r="D21" s="12" t="s">
        <v>97</v>
      </c>
      <c r="E21" s="11" t="s">
        <v>98</v>
      </c>
      <c r="F21" s="13" t="s">
        <v>99</v>
      </c>
      <c r="G21" s="14" t="s">
        <v>100</v>
      </c>
    </row>
    <row r="22" spans="1:8">
      <c r="A22" s="15">
        <v>41306</v>
      </c>
      <c r="B22" s="42" t="s">
        <v>120</v>
      </c>
      <c r="C22" s="17">
        <v>744</v>
      </c>
      <c r="D22" s="18">
        <f>C22/1152*145</f>
        <v>93.645833333333343</v>
      </c>
      <c r="E22" s="17">
        <v>62</v>
      </c>
      <c r="F22" s="18">
        <f t="shared" ref="F22:F31" si="2">D22-E22</f>
        <v>31.645833333333343</v>
      </c>
      <c r="G22" s="19">
        <f t="shared" ref="G22:G31" si="3">E22/D22</f>
        <v>0.66206896551724126</v>
      </c>
    </row>
    <row r="23" spans="1:8" ht="28.5">
      <c r="A23" s="15" t="s">
        <v>121</v>
      </c>
      <c r="B23" s="43" t="s">
        <v>122</v>
      </c>
      <c r="C23" s="17">
        <v>5659</v>
      </c>
      <c r="D23" s="18">
        <f>C23/1119*70</f>
        <v>354.00357462019656</v>
      </c>
      <c r="E23" s="17">
        <v>300</v>
      </c>
      <c r="F23" s="18">
        <f t="shared" si="2"/>
        <v>54.003574620196559</v>
      </c>
      <c r="G23" s="14">
        <f t="shared" si="3"/>
        <v>0.8474490697498297</v>
      </c>
      <c r="H23" s="6" t="s">
        <v>123</v>
      </c>
    </row>
    <row r="24" spans="1:8" ht="28.5">
      <c r="A24" s="15" t="s">
        <v>110</v>
      </c>
      <c r="B24" s="44" t="s">
        <v>124</v>
      </c>
      <c r="C24" s="17">
        <v>4095</v>
      </c>
      <c r="D24" s="18">
        <f>C24/1119*56</f>
        <v>204.93297587131366</v>
      </c>
      <c r="E24" s="17">
        <v>236</v>
      </c>
      <c r="F24" s="18">
        <f t="shared" si="2"/>
        <v>-31.067024128686342</v>
      </c>
      <c r="G24" s="14">
        <f t="shared" si="3"/>
        <v>1.1515960230245945</v>
      </c>
    </row>
    <row r="25" spans="1:8">
      <c r="A25" s="15" t="s">
        <v>125</v>
      </c>
      <c r="B25" s="45" t="s">
        <v>126</v>
      </c>
      <c r="C25" s="17">
        <v>1309</v>
      </c>
      <c r="D25" s="18">
        <f>C25/140*45</f>
        <v>420.75</v>
      </c>
      <c r="E25" s="17">
        <v>271</v>
      </c>
      <c r="F25" s="18">
        <f t="shared" si="2"/>
        <v>149.75</v>
      </c>
      <c r="G25" s="19">
        <f t="shared" si="3"/>
        <v>0.6440879382055853</v>
      </c>
    </row>
    <row r="26" spans="1:8">
      <c r="A26" s="15">
        <v>41322</v>
      </c>
      <c r="B26" s="43" t="s">
        <v>127</v>
      </c>
      <c r="C26" s="17">
        <f>1372+2808</f>
        <v>4180</v>
      </c>
      <c r="D26" s="18">
        <f>C26/1093*136</f>
        <v>520.10978956999088</v>
      </c>
      <c r="E26" s="17">
        <v>261</v>
      </c>
      <c r="F26" s="18">
        <f t="shared" si="2"/>
        <v>259.10978956999088</v>
      </c>
      <c r="G26" s="19">
        <f t="shared" si="3"/>
        <v>0.50181712637207987</v>
      </c>
      <c r="H26" s="39"/>
    </row>
    <row r="27" spans="1:8">
      <c r="A27" s="15" t="s">
        <v>128</v>
      </c>
      <c r="B27" s="46" t="s">
        <v>129</v>
      </c>
      <c r="C27" s="17">
        <v>2960</v>
      </c>
      <c r="D27" s="18">
        <f>C27/832*96</f>
        <v>341.53846153846155</v>
      </c>
      <c r="E27" s="17">
        <v>260</v>
      </c>
      <c r="F27" s="18">
        <f t="shared" si="2"/>
        <v>81.538461538461547</v>
      </c>
      <c r="G27" s="19">
        <f t="shared" si="3"/>
        <v>0.76126126126126126</v>
      </c>
      <c r="H27" s="39"/>
    </row>
    <row r="28" spans="1:8">
      <c r="A28" s="28" t="s">
        <v>130</v>
      </c>
      <c r="B28" s="29" t="s">
        <v>131</v>
      </c>
      <c r="C28" s="30">
        <v>4611</v>
      </c>
      <c r="D28" s="31">
        <f>C28/832*96</f>
        <v>532.03846153846155</v>
      </c>
      <c r="E28" s="30">
        <v>552</v>
      </c>
      <c r="F28" s="31">
        <f t="shared" si="2"/>
        <v>-19.961538461538453</v>
      </c>
      <c r="G28" s="32">
        <f t="shared" si="3"/>
        <v>1.0375189763608761</v>
      </c>
      <c r="H28" s="39"/>
    </row>
    <row r="29" spans="1:8">
      <c r="A29" s="15" t="s">
        <v>132</v>
      </c>
      <c r="B29" s="33" t="s">
        <v>133</v>
      </c>
      <c r="C29" s="17">
        <v>3261</v>
      </c>
      <c r="D29" s="18">
        <f>C29/1093*136</f>
        <v>405.76029277218663</v>
      </c>
      <c r="E29" s="17">
        <v>370</v>
      </c>
      <c r="F29" s="18">
        <f t="shared" si="2"/>
        <v>35.760292772186631</v>
      </c>
      <c r="G29" s="19">
        <f t="shared" si="3"/>
        <v>0.91186842722369543</v>
      </c>
      <c r="H29" s="39"/>
    </row>
    <row r="30" spans="1:8">
      <c r="A30" s="15" t="s">
        <v>134</v>
      </c>
      <c r="B30" s="33" t="s">
        <v>135</v>
      </c>
      <c r="C30" s="17">
        <v>2749</v>
      </c>
      <c r="D30" s="18">
        <f>C30/1093*189</f>
        <v>475.35315645013719</v>
      </c>
      <c r="E30" s="17">
        <v>241</v>
      </c>
      <c r="F30" s="18">
        <f t="shared" si="2"/>
        <v>234.35315645013719</v>
      </c>
      <c r="G30" s="19">
        <f t="shared" si="3"/>
        <v>0.5069914793450625</v>
      </c>
      <c r="H30" s="39"/>
    </row>
    <row r="31" spans="1:8">
      <c r="A31" s="15">
        <v>41332</v>
      </c>
      <c r="B31" s="33" t="s">
        <v>394</v>
      </c>
      <c r="C31" s="17">
        <v>2548</v>
      </c>
      <c r="D31" s="18">
        <f>C31/832*133</f>
        <v>407.3125</v>
      </c>
      <c r="E31" s="17">
        <v>160</v>
      </c>
      <c r="F31" s="18">
        <f t="shared" si="2"/>
        <v>247.3125</v>
      </c>
      <c r="G31" s="19">
        <f t="shared" si="3"/>
        <v>0.39281878164799755</v>
      </c>
      <c r="H31" s="39"/>
    </row>
    <row r="32" spans="1:8">
      <c r="A32" s="24"/>
      <c r="B32" s="47"/>
      <c r="C32" s="25"/>
      <c r="D32" s="26"/>
      <c r="E32" s="25"/>
      <c r="F32" s="25"/>
      <c r="G32" s="27"/>
    </row>
    <row r="33" spans="1:15">
      <c r="B33" s="8" t="s">
        <v>395</v>
      </c>
    </row>
    <row r="34" spans="1:15">
      <c r="A34" s="9" t="s">
        <v>95</v>
      </c>
      <c r="B34" s="10" t="s">
        <v>361</v>
      </c>
      <c r="C34" s="11" t="s">
        <v>96</v>
      </c>
      <c r="D34" s="12" t="s">
        <v>97</v>
      </c>
      <c r="E34" s="11" t="s">
        <v>98</v>
      </c>
      <c r="F34" s="13" t="s">
        <v>99</v>
      </c>
      <c r="G34" s="14" t="s">
        <v>100</v>
      </c>
    </row>
    <row r="35" spans="1:15">
      <c r="A35" s="15" t="s">
        <v>396</v>
      </c>
      <c r="B35" s="48" t="s">
        <v>397</v>
      </c>
      <c r="C35" s="17">
        <v>4466</v>
      </c>
      <c r="D35" s="18">
        <f>C35/1146*224</f>
        <v>872.93542757417094</v>
      </c>
      <c r="E35" s="17">
        <v>542</v>
      </c>
      <c r="F35" s="18">
        <f>D35-E35</f>
        <v>330.93542757417094</v>
      </c>
      <c r="G35" s="19">
        <f>E35/D35</f>
        <v>0.62089357686648328</v>
      </c>
    </row>
    <row r="36" spans="1:15">
      <c r="A36" s="15" t="s">
        <v>398</v>
      </c>
      <c r="B36" s="48" t="s">
        <v>399</v>
      </c>
      <c r="C36" s="17">
        <f>9833+815</f>
        <v>10648</v>
      </c>
      <c r="D36" s="18">
        <f>C36/854*156</f>
        <v>1945.0679156908666</v>
      </c>
      <c r="E36" s="17">
        <v>1748</v>
      </c>
      <c r="F36" s="18">
        <f>D36-E36</f>
        <v>197.06791569086658</v>
      </c>
      <c r="G36" s="19">
        <f>E36/D36</f>
        <v>0.89868327265021475</v>
      </c>
    </row>
    <row r="37" spans="1:15">
      <c r="A37" s="15">
        <v>41333</v>
      </c>
      <c r="B37" s="48" t="s">
        <v>400</v>
      </c>
      <c r="C37" s="17">
        <f>3289+1790</f>
        <v>5079</v>
      </c>
      <c r="D37" s="18">
        <f>C37/854*156</f>
        <v>927.7798594847776</v>
      </c>
      <c r="E37" s="17">
        <v>754</v>
      </c>
      <c r="F37" s="18">
        <f>D37-E37</f>
        <v>173.7798594847776</v>
      </c>
      <c r="G37" s="19">
        <f>E37/D37</f>
        <v>0.81269278729408667</v>
      </c>
      <c r="H37" s="49"/>
    </row>
    <row r="38" spans="1:15">
      <c r="A38" s="15"/>
      <c r="B38" s="50"/>
      <c r="C38" s="17"/>
      <c r="D38" s="18"/>
      <c r="E38" s="17"/>
      <c r="F38" s="18"/>
      <c r="G38" s="19"/>
    </row>
    <row r="39" spans="1:15">
      <c r="A39" s="20"/>
      <c r="B39" s="50"/>
      <c r="C39" s="22"/>
      <c r="D39" s="23"/>
      <c r="E39" s="22"/>
      <c r="F39" s="18"/>
      <c r="G39" s="19"/>
    </row>
    <row r="40" spans="1:15">
      <c r="A40" s="24"/>
      <c r="B40" s="6"/>
      <c r="C40" s="25"/>
      <c r="D40" s="26"/>
      <c r="E40" s="25"/>
      <c r="F40" s="25"/>
      <c r="G40" s="27"/>
    </row>
    <row r="41" spans="1:15">
      <c r="B41" s="8" t="s">
        <v>401</v>
      </c>
    </row>
    <row r="42" spans="1:15">
      <c r="A42" s="9" t="s">
        <v>95</v>
      </c>
      <c r="B42" s="10" t="s">
        <v>361</v>
      </c>
      <c r="C42" s="11" t="s">
        <v>96</v>
      </c>
      <c r="D42" s="12" t="s">
        <v>97</v>
      </c>
      <c r="E42" s="11" t="s">
        <v>98</v>
      </c>
      <c r="F42" s="13" t="s">
        <v>99</v>
      </c>
      <c r="G42" s="14" t="s">
        <v>100</v>
      </c>
    </row>
    <row r="43" spans="1:15">
      <c r="A43" s="34" t="s">
        <v>402</v>
      </c>
      <c r="B43" s="51" t="s">
        <v>403</v>
      </c>
      <c r="C43" s="17">
        <f>96100+2649+1858</f>
        <v>100607</v>
      </c>
      <c r="D43" s="18">
        <f>C43/945*53</f>
        <v>5642.5089947089955</v>
      </c>
      <c r="E43" s="17">
        <v>4985</v>
      </c>
      <c r="F43" s="18">
        <f t="shared" ref="F43:F48" si="4">D43-E43</f>
        <v>657.50899470899549</v>
      </c>
      <c r="G43" s="19">
        <f t="shared" ref="G43:G48" si="5">E43/D43</f>
        <v>0.88347222922895752</v>
      </c>
    </row>
    <row r="44" spans="1:15">
      <c r="A44" s="24"/>
      <c r="B44" s="6"/>
      <c r="C44" s="25"/>
      <c r="D44" s="26"/>
      <c r="E44" s="25"/>
      <c r="F44" s="1895"/>
      <c r="G44" s="1895"/>
    </row>
    <row r="45" spans="1:15">
      <c r="B45" s="8" t="s">
        <v>404</v>
      </c>
    </row>
    <row r="46" spans="1:15">
      <c r="A46" s="9" t="s">
        <v>95</v>
      </c>
      <c r="B46" s="10" t="s">
        <v>361</v>
      </c>
      <c r="C46" s="11" t="s">
        <v>96</v>
      </c>
      <c r="D46" s="12" t="s">
        <v>97</v>
      </c>
      <c r="E46" s="11" t="s">
        <v>98</v>
      </c>
      <c r="F46" s="13" t="s">
        <v>99</v>
      </c>
      <c r="G46" s="14" t="s">
        <v>100</v>
      </c>
    </row>
    <row r="47" spans="1:15">
      <c r="A47" s="34" t="s">
        <v>405</v>
      </c>
      <c r="B47" s="44" t="s">
        <v>406</v>
      </c>
      <c r="C47" s="17">
        <f>3855</f>
        <v>3855</v>
      </c>
      <c r="D47" s="18">
        <f>C47/988*39</f>
        <v>152.17105263157896</v>
      </c>
      <c r="E47" s="17">
        <v>84</v>
      </c>
      <c r="F47" s="18">
        <f t="shared" si="4"/>
        <v>68.171052631578959</v>
      </c>
      <c r="G47" s="19">
        <f t="shared" si="5"/>
        <v>0.55201037613488968</v>
      </c>
      <c r="M47" s="53"/>
      <c r="O47" s="54"/>
    </row>
    <row r="48" spans="1:15">
      <c r="A48" s="34" t="s">
        <v>407</v>
      </c>
      <c r="B48" s="44" t="s">
        <v>408</v>
      </c>
      <c r="C48" s="17">
        <f>10423</f>
        <v>10423</v>
      </c>
      <c r="D48" s="18">
        <f>C48/988*60</f>
        <v>632.9757085020243</v>
      </c>
      <c r="E48" s="17">
        <v>440</v>
      </c>
      <c r="F48" s="18">
        <f t="shared" si="4"/>
        <v>192.9757085020243</v>
      </c>
      <c r="G48" s="19">
        <f t="shared" si="5"/>
        <v>0.69512936134830017</v>
      </c>
    </row>
    <row r="49" spans="1:7">
      <c r="A49" s="24"/>
      <c r="B49" s="6"/>
      <c r="C49" s="25"/>
      <c r="D49" s="26"/>
      <c r="E49" s="25"/>
      <c r="F49" s="25"/>
      <c r="G49" s="27"/>
    </row>
    <row r="50" spans="1:7">
      <c r="G50" s="3" t="s">
        <v>409</v>
      </c>
    </row>
    <row r="51" spans="1:7">
      <c r="A51" s="52" t="s">
        <v>410</v>
      </c>
    </row>
  </sheetData>
  <mergeCells count="1">
    <mergeCell ref="F44:G44"/>
  </mergeCells>
  <phoneticPr fontId="26" type="noConversion"/>
  <pageMargins left="0" right="0" top="0.59" bottom="0" header="0.31" footer="0"/>
  <pageSetup paperSize="9" scale="9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96</vt:i4>
      </vt:variant>
      <vt:variant>
        <vt:lpstr>具名範圍</vt:lpstr>
      </vt:variant>
      <vt:variant>
        <vt:i4>1</vt:i4>
      </vt:variant>
    </vt:vector>
  </HeadingPairs>
  <TitlesOfParts>
    <vt:vector size="97" baseType="lpstr">
      <vt:lpstr>簡報8-1</vt:lpstr>
      <vt:lpstr>簡報9-2</vt:lpstr>
      <vt:lpstr>簡報9-3</vt:lpstr>
      <vt:lpstr>簡報9-4</vt:lpstr>
      <vt:lpstr>簡報9-5</vt:lpstr>
      <vt:lpstr>簡報9-6</vt:lpstr>
      <vt:lpstr>簡報9-7</vt:lpstr>
      <vt:lpstr>簡報8-8</vt:lpstr>
      <vt:lpstr>簡報9-9</vt:lpstr>
      <vt:lpstr>簡報9-10</vt:lpstr>
      <vt:lpstr>簡報9-11</vt:lpstr>
      <vt:lpstr>簡報9-12</vt:lpstr>
      <vt:lpstr>簡報9-13</vt:lpstr>
      <vt:lpstr>簡報9-14</vt:lpstr>
      <vt:lpstr>簡報8-15</vt:lpstr>
      <vt:lpstr>簡報9-16</vt:lpstr>
      <vt:lpstr>簡報9-17</vt:lpstr>
      <vt:lpstr>簡報9-18</vt:lpstr>
      <vt:lpstr>簡報8-19</vt:lpstr>
      <vt:lpstr>簡報9-20</vt:lpstr>
      <vt:lpstr>簡報8-21</vt:lpstr>
      <vt:lpstr>簡報8-22</vt:lpstr>
      <vt:lpstr>簡報8-24</vt:lpstr>
      <vt:lpstr>簡報7-25</vt:lpstr>
      <vt:lpstr>簡報8-26</vt:lpstr>
      <vt:lpstr>簡報8-27</vt:lpstr>
      <vt:lpstr>簡報8-28</vt:lpstr>
      <vt:lpstr>簡報8-29</vt:lpstr>
      <vt:lpstr>簡報8-30</vt:lpstr>
      <vt:lpstr>簡報8-31</vt:lpstr>
      <vt:lpstr>1101</vt:lpstr>
      <vt:lpstr>1102</vt:lpstr>
      <vt:lpstr>1103</vt:lpstr>
      <vt:lpstr>1104</vt:lpstr>
      <vt:lpstr>1105</vt:lpstr>
      <vt:lpstr>1106</vt:lpstr>
      <vt:lpstr>1107</vt:lpstr>
      <vt:lpstr>1108</vt:lpstr>
      <vt:lpstr>1109</vt:lpstr>
      <vt:lpstr>1110</vt:lpstr>
      <vt:lpstr>1113</vt:lpstr>
      <vt:lpstr>1114</vt:lpstr>
      <vt:lpstr>1115</vt:lpstr>
      <vt:lpstr>1116</vt:lpstr>
      <vt:lpstr>1117</vt:lpstr>
      <vt:lpstr>1118</vt:lpstr>
      <vt:lpstr>1119</vt:lpstr>
      <vt:lpstr>1120</vt:lpstr>
      <vt:lpstr>1121</vt:lpstr>
      <vt:lpstr>1122</vt:lpstr>
      <vt:lpstr>1123</vt:lpstr>
      <vt:lpstr>1124</vt:lpstr>
      <vt:lpstr>1127</vt:lpstr>
      <vt:lpstr>1128</vt:lpstr>
      <vt:lpstr>1129</vt:lpstr>
      <vt:lpstr>1130</vt:lpstr>
      <vt:lpstr>EX</vt:lpstr>
      <vt:lpstr>總表</vt:lpstr>
      <vt:lpstr>杯蓋機201</vt:lpstr>
      <vt:lpstr>101</vt:lpstr>
      <vt:lpstr>102</vt:lpstr>
      <vt:lpstr>103</vt:lpstr>
      <vt:lpstr>104</vt:lpstr>
      <vt:lpstr>105</vt:lpstr>
      <vt:lpstr>106</vt:lpstr>
      <vt:lpstr>107</vt:lpstr>
      <vt:lpstr>501押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301</vt:lpstr>
      <vt:lpstr>302</vt:lpstr>
      <vt:lpstr>303</vt:lpstr>
      <vt:lpstr>304</vt:lpstr>
      <vt:lpstr>305</vt:lpstr>
      <vt:lpstr>306</vt:lpstr>
      <vt:lpstr>501</vt:lpstr>
      <vt:lpstr>502</vt:lpstr>
      <vt:lpstr>503</vt:lpstr>
      <vt:lpstr>印401</vt:lpstr>
      <vt:lpstr>印402</vt:lpstr>
      <vt:lpstr>印403</vt:lpstr>
      <vt:lpstr>印405</vt:lpstr>
      <vt:lpstr>吸管</vt:lpstr>
      <vt:lpstr>成型機資料庫</vt:lpstr>
      <vt:lpstr>印刷機資料庫</vt:lpstr>
      <vt:lpstr>規格清單</vt:lpstr>
      <vt:lpstr>2月份產值總表</vt:lpstr>
      <vt:lpstr>2月成型機良率統計表</vt:lpstr>
      <vt:lpstr>EX!Print_Area</vt:lpstr>
    </vt:vector>
  </TitlesOfParts>
  <Company>Microsoft</Company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Winiori</dc:creator>
  <cp:lastModifiedBy>it-尤萬全</cp:lastModifiedBy>
  <cp:revision>1</cp:revision>
  <cp:lastPrinted>2023-11-07T05:58:02Z</cp:lastPrinted>
  <dcterms:created xsi:type="dcterms:W3CDTF">2013-04-29T07:32:09Z</dcterms:created>
  <dcterms:modified xsi:type="dcterms:W3CDTF">2024-01-24T11:57:42Z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