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80" yWindow="-80" windowWidth="51200" windowHeight="26800" tabRatio="500" activeTab="1"/>
  </bookViews>
  <sheets>
    <sheet name="INFO" sheetId="2" r:id="rId1"/>
    <sheet name="Data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7" i="1"/>
  <c r="F4"/>
  <c r="F3"/>
  <c r="H47"/>
  <c r="H50"/>
  <c r="H48"/>
  <c r="H49"/>
  <c r="F49"/>
  <c r="H46"/>
  <c r="H43"/>
  <c r="L47"/>
  <c r="G45"/>
  <c r="I44"/>
  <c r="H44"/>
  <c r="H42"/>
  <c r="H28"/>
  <c r="H35"/>
  <c r="H37"/>
  <c r="K37"/>
  <c r="J37"/>
  <c r="F37"/>
  <c r="H40"/>
  <c r="K40"/>
  <c r="K38"/>
  <c r="F39"/>
  <c r="J36"/>
  <c r="F35"/>
  <c r="G34"/>
  <c r="J32"/>
  <c r="G32"/>
  <c r="K31"/>
  <c r="J31"/>
  <c r="F31"/>
  <c r="J30"/>
  <c r="H33"/>
  <c r="H27"/>
  <c r="J24"/>
  <c r="H24"/>
  <c r="F24"/>
  <c r="G26"/>
  <c r="F26"/>
  <c r="H25"/>
  <c r="G22"/>
  <c r="G23"/>
  <c r="F25"/>
  <c r="J23"/>
  <c r="K21"/>
  <c r="H21"/>
  <c r="G21"/>
  <c r="F15"/>
  <c r="G5"/>
  <c r="F5"/>
  <c r="F2"/>
  <c r="H2"/>
  <c r="G11"/>
  <c r="G16"/>
  <c r="J16"/>
  <c r="I10"/>
  <c r="G10"/>
  <c r="G9"/>
  <c r="H12"/>
  <c r="I12"/>
  <c r="G12"/>
  <c r="I18"/>
  <c r="H19"/>
  <c r="G19"/>
  <c r="K19"/>
  <c r="J19"/>
  <c r="G17"/>
  <c r="H20"/>
  <c r="G20"/>
  <c r="G15"/>
  <c r="L15"/>
  <c r="H8"/>
  <c r="G8"/>
  <c r="G7"/>
  <c r="G6"/>
  <c r="J15"/>
  <c r="J5"/>
  <c r="G3"/>
  <c r="G4"/>
  <c r="H13"/>
  <c r="L13"/>
  <c r="T34"/>
  <c r="K34"/>
  <c r="J34"/>
  <c r="K14"/>
  <c r="J14"/>
  <c r="I14"/>
  <c r="H14"/>
  <c r="K11"/>
  <c r="M11"/>
  <c r="J11"/>
  <c r="O16"/>
  <c r="K10"/>
  <c r="J10"/>
  <c r="H18"/>
  <c r="G18"/>
  <c r="B7" i="2"/>
  <c r="B8"/>
  <c r="B9"/>
</calcChain>
</file>

<file path=xl/sharedStrings.xml><?xml version="1.0" encoding="utf-8"?>
<sst xmlns="http://schemas.openxmlformats.org/spreadsheetml/2006/main" count="295" uniqueCount="150">
  <si>
    <t>Miljobyggnad-Gold</t>
    <phoneticPr fontId="4" type="noConversion"/>
  </si>
  <si>
    <t>Commercial</t>
    <phoneticPr fontId="4" type="noConversion"/>
  </si>
  <si>
    <t>CASBEE-S</t>
    <phoneticPr fontId="4" type="noConversion"/>
  </si>
  <si>
    <t>Green-Mark-Platinum</t>
    <phoneticPr fontId="4" type="noConversion"/>
  </si>
  <si>
    <t>1 SGD</t>
    <phoneticPr fontId="4" type="noConversion"/>
  </si>
  <si>
    <t>Green-Mark-Platinum</t>
    <phoneticPr fontId="4" type="noConversion"/>
  </si>
  <si>
    <t>LEED-Platinum</t>
    <phoneticPr fontId="4" type="noConversion"/>
  </si>
  <si>
    <t>Steam.kWh.sqm</t>
    <phoneticPr fontId="4" type="noConversion"/>
  </si>
  <si>
    <t>Commercial</t>
    <phoneticPr fontId="4" type="noConversion"/>
  </si>
  <si>
    <t>LEED-Platinum</t>
    <phoneticPr fontId="4" type="noConversion"/>
  </si>
  <si>
    <t>1 Therm</t>
    <phoneticPr fontId="4" type="noConversion"/>
  </si>
  <si>
    <t>Solar.Thermal.kWh.sqm</t>
    <phoneticPr fontId="4" type="noConversion"/>
  </si>
  <si>
    <t>1 kBTU</t>
    <phoneticPr fontId="4" type="noConversion"/>
  </si>
  <si>
    <t>LEED-Platinum</t>
    <phoneticPr fontId="4" type="noConversion"/>
  </si>
  <si>
    <t>1 kWh/sqft</t>
    <phoneticPr fontId="4" type="noConversion"/>
  </si>
  <si>
    <t>1 sqft</t>
    <phoneticPr fontId="4" type="noConversion"/>
  </si>
  <si>
    <t>sqm</t>
    <phoneticPr fontId="4" type="noConversion"/>
  </si>
  <si>
    <t>kWh/sqm</t>
    <phoneticPr fontId="4" type="noConversion"/>
  </si>
  <si>
    <t>Center for Health and Healing, Oregon</t>
    <phoneticPr fontId="4" type="noConversion"/>
  </si>
  <si>
    <t>Americas</t>
    <phoneticPr fontId="4" type="noConversion"/>
  </si>
  <si>
    <t>University</t>
    <phoneticPr fontId="4" type="noConversion"/>
  </si>
  <si>
    <t>University</t>
    <phoneticPr fontId="4" type="noConversion"/>
  </si>
  <si>
    <t>Commercial</t>
    <phoneticPr fontId="4" type="noConversion"/>
  </si>
  <si>
    <t>1 BTU</t>
    <phoneticPr fontId="4" type="noConversion"/>
  </si>
  <si>
    <t>Cost.Million.USD</t>
    <phoneticPr fontId="4" type="noConversion"/>
  </si>
  <si>
    <t>1 CDN</t>
    <phoneticPr fontId="4" type="noConversion"/>
  </si>
  <si>
    <t>USD</t>
    <phoneticPr fontId="4" type="noConversion"/>
  </si>
  <si>
    <t>LEED-Gold</t>
    <phoneticPr fontId="4" type="noConversion"/>
  </si>
  <si>
    <t>1 cu.m gas</t>
    <phoneticPr fontId="4" type="noConversion"/>
  </si>
  <si>
    <t>District.Heating.Intensity.kWh.sqm</t>
    <phoneticPr fontId="4" type="noConversion"/>
  </si>
  <si>
    <t>District.Cooling.Intensity.kWh.sqm</t>
    <phoneticPr fontId="4" type="noConversion"/>
  </si>
  <si>
    <t>HQE-Office</t>
    <phoneticPr fontId="4" type="noConversion"/>
  </si>
  <si>
    <t>Public Sector</t>
    <phoneticPr fontId="4" type="noConversion"/>
  </si>
  <si>
    <t>Public Sector</t>
    <phoneticPr fontId="4" type="noConversion"/>
  </si>
  <si>
    <t>DNGB-Gold</t>
    <phoneticPr fontId="4" type="noConversion"/>
  </si>
  <si>
    <t>CHP.generated.Elec.kWh.sqm</t>
    <phoneticPr fontId="4" type="noConversion"/>
  </si>
  <si>
    <t>CHP.generated.Heat.kWh.sqm</t>
    <phoneticPr fontId="4" type="noConversion"/>
  </si>
  <si>
    <t>DNGB-Gold</t>
    <phoneticPr fontId="4" type="noConversion"/>
  </si>
  <si>
    <t>1 CHF</t>
    <phoneticPr fontId="4" type="noConversion"/>
  </si>
  <si>
    <t>USD</t>
    <phoneticPr fontId="4" type="noConversion"/>
  </si>
  <si>
    <t>BREEAM-Excellent</t>
    <phoneticPr fontId="4" type="noConversion"/>
  </si>
  <si>
    <t>Biomass.Boiler.kWh.sqm.y</t>
    <phoneticPr fontId="4" type="noConversion"/>
  </si>
  <si>
    <t>1 GBP</t>
    <phoneticPr fontId="4" type="noConversion"/>
  </si>
  <si>
    <t>1 EUR</t>
    <phoneticPr fontId="4" type="noConversion"/>
  </si>
  <si>
    <r>
      <t>Water</t>
    </r>
    <r>
      <rPr>
        <b/>
        <sz val="12"/>
        <color indexed="8"/>
        <rFont val="Calibri"/>
        <family val="2"/>
      </rPr>
      <t>.L.sqm</t>
    </r>
    <phoneticPr fontId="4" type="noConversion"/>
  </si>
  <si>
    <t>Gas.Intensity.kWh.sqm.y</t>
    <phoneticPr fontId="4" type="noConversion"/>
  </si>
  <si>
    <t>PV.Intensity.kWh.sqm</t>
    <phoneticPr fontId="4" type="noConversion"/>
  </si>
  <si>
    <t>Total.Area.sqm</t>
    <phoneticPr fontId="4" type="noConversion"/>
  </si>
  <si>
    <t>Americas</t>
    <phoneticPr fontId="4" type="noConversion"/>
  </si>
  <si>
    <t>United States</t>
    <phoneticPr fontId="4" type="noConversion"/>
  </si>
  <si>
    <t>Rating</t>
    <phoneticPr fontId="4" type="noConversion"/>
  </si>
  <si>
    <t>LEED-Platinum</t>
    <phoneticPr fontId="4" type="noConversion"/>
  </si>
  <si>
    <t>LEED-Gold</t>
    <phoneticPr fontId="4" type="noConversion"/>
  </si>
  <si>
    <t>LEED-Platinum</t>
    <phoneticPr fontId="4" type="noConversion"/>
  </si>
  <si>
    <t>LEED-Platinum</t>
    <phoneticPr fontId="4" type="noConversion"/>
  </si>
  <si>
    <t>Green-Globe-5</t>
    <phoneticPr fontId="4" type="noConversion"/>
  </si>
  <si>
    <t>The Cooper Union</t>
    <phoneticPr fontId="4" type="noConversion"/>
  </si>
  <si>
    <t>Biodesign Institute B</t>
    <phoneticPr fontId="4" type="noConversion"/>
  </si>
  <si>
    <t>DELL Children's Medical Center of Central Texas</t>
    <phoneticPr fontId="4" type="noConversion"/>
  </si>
  <si>
    <t>United States</t>
    <phoneticPr fontId="4" type="noConversion"/>
  </si>
  <si>
    <t>Hospital</t>
    <phoneticPr fontId="4" type="noConversion"/>
  </si>
  <si>
    <t>University</t>
    <phoneticPr fontId="4" type="noConversion"/>
  </si>
  <si>
    <t>Commercial</t>
    <phoneticPr fontId="4" type="noConversion"/>
  </si>
  <si>
    <t>Commercial</t>
    <phoneticPr fontId="4" type="noConversion"/>
  </si>
  <si>
    <t>Type</t>
    <phoneticPr fontId="4" type="noConversion"/>
  </si>
  <si>
    <t>1 Million BTUs</t>
    <phoneticPr fontId="4" type="noConversion"/>
  </si>
  <si>
    <t>kWh</t>
    <phoneticPr fontId="4" type="noConversion"/>
  </si>
  <si>
    <t>Transoceanica</t>
    <phoneticPr fontId="4" type="noConversion"/>
  </si>
  <si>
    <t>Heinrich Boll Foundation</t>
    <phoneticPr fontId="4" type="noConversion"/>
  </si>
  <si>
    <t>Data from Judelson and Meyer, “The World’s Greenest Buildings”, 2013</t>
    <phoneticPr fontId="4" type="noConversion"/>
  </si>
  <si>
    <t>SN 27 SEP 2013</t>
    <phoneticPr fontId="4" type="noConversion"/>
  </si>
  <si>
    <t>L/sqm</t>
    <phoneticPr fontId="4" type="noConversion"/>
  </si>
  <si>
    <t>1 gallons/sq.ft</t>
    <phoneticPr fontId="4" type="noConversion"/>
  </si>
  <si>
    <t>Conversions used</t>
    <phoneticPr fontId="4" type="noConversion"/>
  </si>
  <si>
    <t>UNIT</t>
    <phoneticPr fontId="4" type="noConversion"/>
  </si>
  <si>
    <t>IS</t>
    <phoneticPr fontId="4" type="noConversion"/>
  </si>
  <si>
    <t>Project</t>
  </si>
  <si>
    <t>Region</t>
  </si>
  <si>
    <t>Americas</t>
  </si>
  <si>
    <t>Kroon Hall</t>
  </si>
  <si>
    <t>Newark Center at Ohlone College</t>
  </si>
  <si>
    <t>Tahoe Center for Environmental Sciences</t>
  </si>
  <si>
    <t>Manitoba Hydro Place</t>
  </si>
  <si>
    <t>NREL Research Support Facility 1</t>
  </si>
  <si>
    <t>Twelve West</t>
  </si>
  <si>
    <t>Child Development Centre</t>
  </si>
  <si>
    <t>2000 Tower Oaks Blvd</t>
  </si>
  <si>
    <t>Regent's Hall</t>
  </si>
  <si>
    <t>Great River Energy</t>
  </si>
  <si>
    <t>Lewis &amp; Clark State Office building</t>
  </si>
  <si>
    <t>Johnson Controls Campus</t>
  </si>
  <si>
    <t>Genzyme Center</t>
  </si>
  <si>
    <t>FIPKE Centre for Innovative Research</t>
  </si>
  <si>
    <t>Europe</t>
  </si>
  <si>
    <t>Paul Wunderlich-Haus</t>
  </si>
  <si>
    <t>Eawag Forum Chriesbach</t>
  </si>
  <si>
    <t>Daniel Swarovski Corp</t>
  </si>
  <si>
    <t>Federal Environmental Agency</t>
  </si>
  <si>
    <t>Country</t>
  </si>
  <si>
    <t>Solon Corporate HQ</t>
  </si>
  <si>
    <t>TNT Express HQ</t>
  </si>
  <si>
    <t>Hagaporten 3</t>
  </si>
  <si>
    <t>3 Assembly Square</t>
  </si>
  <si>
    <t>SAP</t>
  </si>
  <si>
    <t>Suttie Centre</t>
  </si>
  <si>
    <t>CSOB</t>
  </si>
  <si>
    <t>Lintulahti</t>
  </si>
  <si>
    <t>EMGP 270</t>
  </si>
  <si>
    <t>Asia-Pacific</t>
  </si>
  <si>
    <t>Magic School of Green Technology</t>
  </si>
  <si>
    <t>Zero Energy Building</t>
  </si>
  <si>
    <t>Suzlon One Earth</t>
  </si>
  <si>
    <t>2 Victoria Avenue</t>
  </si>
  <si>
    <t>Workplace6</t>
  </si>
  <si>
    <t>School of Art, Design, Media at NTU</t>
  </si>
  <si>
    <t>Vanke Center</t>
  </si>
  <si>
    <t>Keio University 4th Building Hiyoshi Campus</t>
  </si>
  <si>
    <t>One Shelley Street</t>
  </si>
  <si>
    <t>Epson Innovation Center</t>
  </si>
  <si>
    <t>Council House 2</t>
  </si>
  <si>
    <t>The Gague</t>
  </si>
  <si>
    <t>Honda Wako</t>
  </si>
  <si>
    <t>Nissan Global HQ</t>
  </si>
  <si>
    <t>Kansai Electric Power HQ</t>
  </si>
  <si>
    <t>Chile</t>
  </si>
  <si>
    <t>Canada</t>
  </si>
  <si>
    <t>United States</t>
  </si>
  <si>
    <t>Czech Republic</t>
  </si>
  <si>
    <t>Finland</t>
  </si>
  <si>
    <t>France</t>
  </si>
  <si>
    <t>Germany</t>
  </si>
  <si>
    <t>Ireland</t>
  </si>
  <si>
    <t>United Kingdom</t>
  </si>
  <si>
    <t>The Netherlands</t>
  </si>
  <si>
    <t>Sweden</t>
  </si>
  <si>
    <t>Switzerland</t>
  </si>
  <si>
    <t>Australia</t>
  </si>
  <si>
    <t>China</t>
  </si>
  <si>
    <t>India</t>
  </si>
  <si>
    <t>Japan</t>
  </si>
  <si>
    <t>Singapore</t>
  </si>
  <si>
    <t>Taiwan</t>
  </si>
  <si>
    <t>Total.Delivered.kWh</t>
    <phoneticPr fontId="4" type="noConversion"/>
  </si>
  <si>
    <r>
      <t>Delivered.Intensity.</t>
    </r>
    <r>
      <rPr>
        <b/>
        <sz val="12"/>
        <color theme="1"/>
        <rFont val="Calibri"/>
        <family val="2"/>
        <scheme val="minor"/>
      </rPr>
      <t>KWh.sqm.y</t>
    </r>
    <phoneticPr fontId="4" type="noConversion"/>
  </si>
  <si>
    <r>
      <t>Electricity</t>
    </r>
    <r>
      <rPr>
        <b/>
        <sz val="12"/>
        <color indexed="8"/>
        <rFont val="Calibri"/>
        <family val="2"/>
      </rPr>
      <t>.Intensity.kWh.sqm.y</t>
    </r>
    <phoneticPr fontId="4" type="noConversion"/>
  </si>
  <si>
    <t>Green-Star-Office-6</t>
    <phoneticPr fontId="4" type="noConversion"/>
  </si>
  <si>
    <t>1 AUD</t>
    <phoneticPr fontId="4" type="noConversion"/>
  </si>
  <si>
    <t>Commercial+Retail</t>
    <phoneticPr fontId="4" type="noConversion"/>
  </si>
  <si>
    <t>Thyssenkrupp Q1</t>
    <phoneticPr fontId="4" type="noConversion"/>
  </si>
  <si>
    <t>CASBEE-S</t>
    <phoneticPr fontId="4" type="noConversion"/>
  </si>
</sst>
</file>

<file path=xl/styles.xml><?xml version="1.0" encoding="utf-8"?>
<styleSheet xmlns="http://schemas.openxmlformats.org/spreadsheetml/2006/main">
  <numFmts count="2">
    <numFmt numFmtId="164" formatCode="0"/>
    <numFmt numFmtId="165" formatCode="#,##0\ [$€-1];[Red]\-#,##0\ [$€-1]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  <font>
      <sz val="12"/>
      <color indexed="53"/>
      <name val="Calibri"/>
    </font>
    <font>
      <sz val="12"/>
      <color indexed="57"/>
      <name val="Calibri"/>
    </font>
    <font>
      <sz val="12"/>
      <color indexed="15"/>
      <name val="Calibri"/>
    </font>
    <font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17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1"/>
  <sheetViews>
    <sheetView zoomScale="200" workbookViewId="0">
      <selection activeCell="D21" sqref="D21"/>
    </sheetView>
  </sheetViews>
  <sheetFormatPr baseColWidth="10" defaultRowHeight="16"/>
  <cols>
    <col min="1" max="1" width="13.875" customWidth="1"/>
  </cols>
  <sheetData>
    <row r="1" spans="1:4">
      <c r="A1" s="6" t="s">
        <v>70</v>
      </c>
    </row>
    <row r="2" spans="1:4">
      <c r="A2" t="s">
        <v>69</v>
      </c>
    </row>
    <row r="4" spans="1:4">
      <c r="A4" s="5" t="s">
        <v>73</v>
      </c>
    </row>
    <row r="5" spans="1:4">
      <c r="A5" s="7" t="s">
        <v>74</v>
      </c>
      <c r="B5" s="7" t="s">
        <v>75</v>
      </c>
      <c r="C5" s="7"/>
    </row>
    <row r="6" spans="1:4">
      <c r="A6" t="s">
        <v>65</v>
      </c>
      <c r="B6">
        <v>293.07</v>
      </c>
      <c r="C6" t="s">
        <v>66</v>
      </c>
    </row>
    <row r="7" spans="1:4">
      <c r="A7" t="s">
        <v>12</v>
      </c>
      <c r="B7">
        <f>B6/1000</f>
        <v>0.29307</v>
      </c>
      <c r="C7" t="s">
        <v>66</v>
      </c>
    </row>
    <row r="8" spans="1:4">
      <c r="A8" t="s">
        <v>23</v>
      </c>
      <c r="B8">
        <f>B7/1000</f>
        <v>2.9306999999999998E-4</v>
      </c>
      <c r="C8" t="s">
        <v>66</v>
      </c>
    </row>
    <row r="9" spans="1:4">
      <c r="A9" t="s">
        <v>14</v>
      </c>
      <c r="B9">
        <f>1/B14</f>
        <v>10.763910416709722</v>
      </c>
      <c r="C9" t="s">
        <v>17</v>
      </c>
    </row>
    <row r="10" spans="1:4">
      <c r="A10" t="s">
        <v>10</v>
      </c>
      <c r="B10">
        <v>29.3</v>
      </c>
      <c r="C10" t="s">
        <v>66</v>
      </c>
    </row>
    <row r="11" spans="1:4">
      <c r="A11" t="s">
        <v>28</v>
      </c>
      <c r="B11">
        <v>11.3</v>
      </c>
      <c r="C11" t="s">
        <v>66</v>
      </c>
    </row>
    <row r="13" spans="1:4">
      <c r="A13" t="s">
        <v>72</v>
      </c>
      <c r="B13">
        <v>40.700000000000003</v>
      </c>
      <c r="C13" t="s">
        <v>71</v>
      </c>
    </row>
    <row r="14" spans="1:4">
      <c r="A14" t="s">
        <v>15</v>
      </c>
      <c r="B14">
        <v>9.2903040000000006E-2</v>
      </c>
      <c r="C14" t="s">
        <v>16</v>
      </c>
    </row>
    <row r="16" spans="1:4">
      <c r="A16" t="s">
        <v>25</v>
      </c>
      <c r="B16">
        <v>0.97</v>
      </c>
      <c r="C16" t="s">
        <v>26</v>
      </c>
      <c r="D16" s="8">
        <v>41518</v>
      </c>
    </row>
    <row r="17" spans="1:4">
      <c r="A17" s="9" t="s">
        <v>43</v>
      </c>
      <c r="B17">
        <v>1.35</v>
      </c>
      <c r="C17" t="s">
        <v>26</v>
      </c>
      <c r="D17" s="8">
        <v>41518</v>
      </c>
    </row>
    <row r="18" spans="1:4">
      <c r="A18" t="s">
        <v>38</v>
      </c>
      <c r="B18">
        <v>1.1100000000000001</v>
      </c>
      <c r="C18" t="s">
        <v>39</v>
      </c>
      <c r="D18" s="8">
        <v>41518</v>
      </c>
    </row>
    <row r="19" spans="1:4">
      <c r="A19" t="s">
        <v>42</v>
      </c>
      <c r="B19">
        <v>1.62</v>
      </c>
      <c r="C19" t="s">
        <v>26</v>
      </c>
      <c r="D19" s="8">
        <v>41518</v>
      </c>
    </row>
    <row r="20" spans="1:4">
      <c r="A20" t="s">
        <v>146</v>
      </c>
      <c r="B20">
        <v>0.93</v>
      </c>
      <c r="C20" t="s">
        <v>26</v>
      </c>
      <c r="D20" s="8">
        <v>41518</v>
      </c>
    </row>
    <row r="21" spans="1:4">
      <c r="A21" t="s">
        <v>4</v>
      </c>
      <c r="B21">
        <v>0.8</v>
      </c>
      <c r="C21" t="s">
        <v>26</v>
      </c>
      <c r="D21" s="8">
        <v>41518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50"/>
  <sheetViews>
    <sheetView tabSelected="1" zoomScaleNormal="200" zoomScalePageLayoutView="2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baseColWidth="10" defaultRowHeight="16"/>
  <cols>
    <col min="1" max="1" width="20.125" customWidth="1"/>
    <col min="2" max="2" width="10.375" bestFit="1" customWidth="1"/>
    <col min="3" max="3" width="14.625" bestFit="1" customWidth="1"/>
    <col min="4" max="7" width="14.625" customWidth="1"/>
    <col min="8" max="8" width="15.375" bestFit="1" customWidth="1"/>
    <col min="9" max="9" width="22.875" bestFit="1" customWidth="1"/>
    <col min="10" max="10" width="23.25" bestFit="1" customWidth="1"/>
    <col min="11" max="11" width="14.375" customWidth="1"/>
    <col min="13" max="13" width="16.75" bestFit="1" customWidth="1"/>
    <col min="14" max="14" width="16.75" customWidth="1"/>
    <col min="16" max="16" width="11.75" customWidth="1"/>
  </cols>
  <sheetData>
    <row r="1" spans="1:20">
      <c r="A1" s="2" t="s">
        <v>76</v>
      </c>
      <c r="B1" s="2" t="s">
        <v>77</v>
      </c>
      <c r="C1" s="2" t="s">
        <v>98</v>
      </c>
      <c r="D1" s="1" t="s">
        <v>64</v>
      </c>
      <c r="E1" s="1" t="s">
        <v>50</v>
      </c>
      <c r="F1" s="1" t="s">
        <v>24</v>
      </c>
      <c r="G1" s="1" t="s">
        <v>47</v>
      </c>
      <c r="H1" s="1" t="s">
        <v>142</v>
      </c>
      <c r="I1" s="1" t="s">
        <v>143</v>
      </c>
      <c r="J1" s="2" t="s">
        <v>144</v>
      </c>
      <c r="K1" s="1" t="s">
        <v>45</v>
      </c>
      <c r="L1" s="2" t="s">
        <v>44</v>
      </c>
      <c r="M1" s="1" t="s">
        <v>46</v>
      </c>
      <c r="N1" s="1" t="s">
        <v>11</v>
      </c>
      <c r="O1" s="1" t="s">
        <v>7</v>
      </c>
      <c r="P1" s="1" t="s">
        <v>29</v>
      </c>
      <c r="Q1" s="1" t="s">
        <v>30</v>
      </c>
      <c r="R1" s="1" t="s">
        <v>35</v>
      </c>
      <c r="S1" s="1" t="s">
        <v>36</v>
      </c>
      <c r="T1" s="1" t="s">
        <v>41</v>
      </c>
    </row>
    <row r="2" spans="1:20">
      <c r="A2" s="3" t="s">
        <v>82</v>
      </c>
      <c r="B2" t="s">
        <v>78</v>
      </c>
      <c r="C2" t="s">
        <v>125</v>
      </c>
      <c r="D2" t="s">
        <v>62</v>
      </c>
      <c r="E2" t="s">
        <v>53</v>
      </c>
      <c r="F2" s="10">
        <f>278*INFO!B16</f>
        <v>269.65999999999997</v>
      </c>
      <c r="G2" s="10">
        <v>65000</v>
      </c>
      <c r="H2" s="10">
        <f>G2*I2</f>
        <v>7280000</v>
      </c>
      <c r="I2" s="10">
        <v>112</v>
      </c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>
      <c r="A3" s="3" t="s">
        <v>85</v>
      </c>
      <c r="B3" t="s">
        <v>78</v>
      </c>
      <c r="C3" t="s">
        <v>125</v>
      </c>
      <c r="D3" t="s">
        <v>61</v>
      </c>
      <c r="E3" t="s">
        <v>54</v>
      </c>
      <c r="F3" s="10">
        <f>23*INFO!B16</f>
        <v>22.31</v>
      </c>
      <c r="G3" s="10">
        <f>H3/I3</f>
        <v>11612.140575079873</v>
      </c>
      <c r="H3" s="10">
        <v>1817300</v>
      </c>
      <c r="I3" s="10">
        <v>156.5</v>
      </c>
      <c r="J3" s="10">
        <v>47</v>
      </c>
      <c r="K3" s="10">
        <v>105</v>
      </c>
      <c r="L3" s="10">
        <v>69</v>
      </c>
      <c r="M3" s="10">
        <v>4.5</v>
      </c>
      <c r="N3" s="10"/>
      <c r="O3" s="10"/>
      <c r="P3" s="10"/>
      <c r="Q3" s="10"/>
      <c r="R3" s="10"/>
      <c r="S3" s="10"/>
    </row>
    <row r="4" spans="1:20">
      <c r="A4" s="3" t="s">
        <v>92</v>
      </c>
      <c r="B4" t="s">
        <v>78</v>
      </c>
      <c r="C4" t="s">
        <v>125</v>
      </c>
      <c r="D4" t="s">
        <v>61</v>
      </c>
      <c r="E4" t="s">
        <v>55</v>
      </c>
      <c r="F4" s="10">
        <f>31.5*INFO!B16</f>
        <v>30.555</v>
      </c>
      <c r="G4" s="10">
        <f>H4/I4</f>
        <v>6323.7941176470586</v>
      </c>
      <c r="H4" s="10">
        <v>2365099</v>
      </c>
      <c r="I4" s="10">
        <v>374</v>
      </c>
      <c r="J4" s="10">
        <v>307</v>
      </c>
      <c r="K4" s="10">
        <v>67</v>
      </c>
      <c r="L4" s="10"/>
      <c r="M4" s="10"/>
      <c r="N4" s="10"/>
      <c r="O4" s="10"/>
      <c r="P4" s="10"/>
      <c r="Q4" s="10"/>
      <c r="R4" s="10"/>
      <c r="S4" s="10"/>
    </row>
    <row r="5" spans="1:20">
      <c r="A5" s="3" t="s">
        <v>67</v>
      </c>
      <c r="B5" t="s">
        <v>78</v>
      </c>
      <c r="C5" t="s">
        <v>124</v>
      </c>
      <c r="D5" t="s">
        <v>63</v>
      </c>
      <c r="E5" t="s">
        <v>52</v>
      </c>
      <c r="F5" s="10">
        <f>(1079+420)*G5/1000000</f>
        <v>20.924644283054</v>
      </c>
      <c r="G5" s="10">
        <f t="shared" ref="G5:G11" si="0">H5/I5</f>
        <v>13959.068901303537</v>
      </c>
      <c r="H5" s="10">
        <v>749602</v>
      </c>
      <c r="I5" s="10">
        <v>53.7</v>
      </c>
      <c r="J5" s="10">
        <f>I5</f>
        <v>53.7</v>
      </c>
      <c r="K5" s="10"/>
      <c r="L5" s="10">
        <v>330</v>
      </c>
      <c r="M5" s="10"/>
      <c r="N5" s="10"/>
      <c r="O5" s="10"/>
      <c r="P5" s="10"/>
      <c r="Q5" s="10"/>
      <c r="R5" s="10"/>
      <c r="S5" s="10"/>
    </row>
    <row r="6" spans="1:20">
      <c r="A6" s="3" t="s">
        <v>56</v>
      </c>
      <c r="B6" t="s">
        <v>48</v>
      </c>
      <c r="C6" t="s">
        <v>49</v>
      </c>
      <c r="D6" t="s">
        <v>61</v>
      </c>
      <c r="E6" t="s">
        <v>51</v>
      </c>
      <c r="F6" s="10">
        <v>112</v>
      </c>
      <c r="G6" s="10">
        <f t="shared" si="0"/>
        <v>16255.124535315985</v>
      </c>
      <c r="H6" s="10">
        <v>8745257</v>
      </c>
      <c r="I6" s="10">
        <v>538</v>
      </c>
      <c r="J6" s="10">
        <v>306</v>
      </c>
      <c r="K6" s="10">
        <v>232</v>
      </c>
      <c r="L6" s="10"/>
      <c r="M6" s="10"/>
      <c r="N6" s="10"/>
      <c r="O6" s="10"/>
      <c r="P6" s="10"/>
      <c r="Q6" s="10"/>
      <c r="R6" s="10"/>
      <c r="S6" s="10"/>
    </row>
    <row r="7" spans="1:20">
      <c r="A7" s="3" t="s">
        <v>57</v>
      </c>
      <c r="B7" t="s">
        <v>48</v>
      </c>
      <c r="C7" t="s">
        <v>49</v>
      </c>
      <c r="D7" t="s">
        <v>61</v>
      </c>
      <c r="E7" t="s">
        <v>51</v>
      </c>
      <c r="F7" s="10">
        <v>78.5</v>
      </c>
      <c r="G7" s="10">
        <f t="shared" si="0"/>
        <v>27184.466019417476</v>
      </c>
      <c r="H7" s="10">
        <v>25200000</v>
      </c>
      <c r="I7" s="10">
        <v>927</v>
      </c>
      <c r="J7" s="10"/>
      <c r="K7" s="10"/>
      <c r="L7" s="10">
        <v>602</v>
      </c>
      <c r="M7" s="10"/>
      <c r="N7" s="10"/>
      <c r="O7" s="10"/>
      <c r="P7" s="10"/>
      <c r="Q7" s="10"/>
      <c r="R7" s="10"/>
      <c r="S7" s="10"/>
    </row>
    <row r="8" spans="1:20">
      <c r="A8" s="3" t="s">
        <v>58</v>
      </c>
      <c r="B8" t="s">
        <v>48</v>
      </c>
      <c r="C8" t="s">
        <v>59</v>
      </c>
      <c r="D8" t="s">
        <v>60</v>
      </c>
      <c r="E8" t="s">
        <v>53</v>
      </c>
      <c r="F8" s="10">
        <v>137</v>
      </c>
      <c r="G8" s="10">
        <f t="shared" si="0"/>
        <v>43948.234955947133</v>
      </c>
      <c r="H8" s="10">
        <f>136162*INFO!B6</f>
        <v>39904997.339999996</v>
      </c>
      <c r="I8" s="10">
        <v>908</v>
      </c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0">
      <c r="A9" s="3" t="s">
        <v>79</v>
      </c>
      <c r="B9" t="s">
        <v>78</v>
      </c>
      <c r="C9" t="s">
        <v>126</v>
      </c>
      <c r="D9" t="s">
        <v>61</v>
      </c>
      <c r="E9" t="s">
        <v>53</v>
      </c>
      <c r="F9" s="10">
        <v>33.5</v>
      </c>
      <c r="G9" s="10">
        <f t="shared" si="0"/>
        <v>6205.2540650406499</v>
      </c>
      <c r="H9" s="10">
        <v>610597</v>
      </c>
      <c r="I9" s="10">
        <v>98.4</v>
      </c>
      <c r="J9" s="10">
        <v>83</v>
      </c>
      <c r="K9" s="10"/>
      <c r="L9" s="10">
        <v>130</v>
      </c>
      <c r="M9" s="10">
        <v>15.4</v>
      </c>
      <c r="N9" s="10"/>
      <c r="O9" s="10"/>
      <c r="P9" s="10"/>
      <c r="Q9" s="10"/>
      <c r="R9" s="10"/>
      <c r="S9" s="10"/>
    </row>
    <row r="10" spans="1:20">
      <c r="A10" s="3" t="s">
        <v>80</v>
      </c>
      <c r="B10" t="s">
        <v>78</v>
      </c>
      <c r="C10" t="s">
        <v>126</v>
      </c>
      <c r="D10" t="s">
        <v>61</v>
      </c>
      <c r="E10" t="s">
        <v>53</v>
      </c>
      <c r="F10" s="10">
        <v>58</v>
      </c>
      <c r="G10" s="10">
        <f t="shared" si="0"/>
        <v>12806.321243523316</v>
      </c>
      <c r="H10" s="10">
        <v>1235810</v>
      </c>
      <c r="I10" s="10">
        <f>102-M10</f>
        <v>96.5</v>
      </c>
      <c r="J10" s="10">
        <f>3.6*INFO!B9</f>
        <v>38.750077500155001</v>
      </c>
      <c r="K10" s="10">
        <f>0.4*INFO!B9</f>
        <v>4.3055641666838893</v>
      </c>
      <c r="L10" s="10">
        <v>425</v>
      </c>
      <c r="M10" s="10">
        <v>5.5</v>
      </c>
      <c r="N10" s="10"/>
      <c r="O10" s="10"/>
      <c r="P10" s="10"/>
      <c r="Q10" s="10"/>
      <c r="R10" s="10"/>
      <c r="S10" s="10"/>
    </row>
    <row r="11" spans="1:20">
      <c r="A11" s="3" t="s">
        <v>81</v>
      </c>
      <c r="B11" t="s">
        <v>78</v>
      </c>
      <c r="C11" t="s">
        <v>126</v>
      </c>
      <c r="D11" t="s">
        <v>61</v>
      </c>
      <c r="E11" t="s">
        <v>53</v>
      </c>
      <c r="F11" s="10">
        <v>25</v>
      </c>
      <c r="G11" s="10">
        <f t="shared" si="0"/>
        <v>4374.3106796116508</v>
      </c>
      <c r="H11" s="10">
        <v>450554</v>
      </c>
      <c r="I11" s="10">
        <v>103</v>
      </c>
      <c r="J11" s="10">
        <f>5.6*INFO!B9</f>
        <v>60.277898333574441</v>
      </c>
      <c r="K11" s="10">
        <f>0.7*INFO!B9</f>
        <v>7.5347372916968052</v>
      </c>
      <c r="L11" s="10"/>
      <c r="M11" s="10">
        <f>0.6*INFO!B9</f>
        <v>6.4583462500258326</v>
      </c>
      <c r="N11" s="10"/>
      <c r="O11" s="10"/>
      <c r="P11" s="10"/>
      <c r="Q11" s="10"/>
      <c r="R11" s="10"/>
      <c r="S11" s="10"/>
    </row>
    <row r="12" spans="1:20">
      <c r="A12" s="3" t="s">
        <v>18</v>
      </c>
      <c r="B12" t="s">
        <v>19</v>
      </c>
      <c r="C12" t="s">
        <v>49</v>
      </c>
      <c r="D12" t="s">
        <v>20</v>
      </c>
      <c r="E12" t="s">
        <v>53</v>
      </c>
      <c r="F12" s="10">
        <v>145.4</v>
      </c>
      <c r="G12" s="10">
        <f t="shared" ref="G12" si="1">H12/I12</f>
        <v>38143.178708849933</v>
      </c>
      <c r="H12" s="10">
        <f>17888490-45111</f>
        <v>17843379</v>
      </c>
      <c r="I12" s="10">
        <f>469-M12</f>
        <v>467.8</v>
      </c>
      <c r="J12" s="10">
        <v>189</v>
      </c>
      <c r="K12" s="10">
        <v>281</v>
      </c>
      <c r="L12" s="10">
        <v>459</v>
      </c>
      <c r="M12" s="10">
        <v>1.2</v>
      </c>
      <c r="N12" s="10"/>
      <c r="O12" s="10"/>
      <c r="P12" s="10"/>
      <c r="Q12" s="10"/>
      <c r="R12" s="10"/>
      <c r="S12" s="10"/>
    </row>
    <row r="13" spans="1:20">
      <c r="A13" s="3" t="s">
        <v>83</v>
      </c>
      <c r="B13" t="s">
        <v>78</v>
      </c>
      <c r="C13" t="s">
        <v>126</v>
      </c>
      <c r="D13" t="s">
        <v>61</v>
      </c>
      <c r="E13" t="s">
        <v>13</v>
      </c>
      <c r="F13" s="10">
        <v>91.4</v>
      </c>
      <c r="G13" s="10">
        <v>33457</v>
      </c>
      <c r="H13" s="10">
        <f>G13*I13</f>
        <v>3713727</v>
      </c>
      <c r="I13" s="10">
        <v>111</v>
      </c>
      <c r="J13" s="10"/>
      <c r="K13" s="10"/>
      <c r="L13" s="10">
        <f>2995000/G13</f>
        <v>89.517888633170941</v>
      </c>
      <c r="M13" s="10"/>
      <c r="N13" s="10"/>
      <c r="O13" s="10"/>
      <c r="P13" s="10"/>
      <c r="Q13" s="10"/>
      <c r="R13" s="10"/>
      <c r="S13" s="10"/>
    </row>
    <row r="14" spans="1:20">
      <c r="A14" s="3" t="s">
        <v>84</v>
      </c>
      <c r="B14" t="s">
        <v>78</v>
      </c>
      <c r="C14" t="s">
        <v>126</v>
      </c>
      <c r="D14" t="s">
        <v>22</v>
      </c>
      <c r="E14" t="s">
        <v>53</v>
      </c>
      <c r="F14" s="10">
        <v>138</v>
      </c>
      <c r="G14" s="10">
        <v>39747</v>
      </c>
      <c r="H14" s="10">
        <f>I14*G14</f>
        <v>5476264.2858619057</v>
      </c>
      <c r="I14" s="10">
        <f>12.8*INFO!B9</f>
        <v>137.77805333388446</v>
      </c>
      <c r="J14" s="10">
        <f>6*INFO!B9</f>
        <v>64.583462500258335</v>
      </c>
      <c r="K14" s="10">
        <f>3.4*INFO!B9</f>
        <v>36.597295416813054</v>
      </c>
      <c r="L14" s="10"/>
      <c r="M14" s="10"/>
      <c r="N14" s="10"/>
      <c r="O14" s="10"/>
      <c r="P14" s="10"/>
      <c r="Q14" s="10"/>
      <c r="R14" s="10"/>
      <c r="S14" s="10"/>
    </row>
    <row r="15" spans="1:20">
      <c r="A15" s="3" t="s">
        <v>86</v>
      </c>
      <c r="B15" t="s">
        <v>78</v>
      </c>
      <c r="C15" t="s">
        <v>126</v>
      </c>
      <c r="D15" t="s">
        <v>62</v>
      </c>
      <c r="E15" t="s">
        <v>51</v>
      </c>
      <c r="F15" s="10">
        <f>54.3+9.3</f>
        <v>63.599999999999994</v>
      </c>
      <c r="G15" s="10">
        <f t="shared" ref="G15:G16" si="2">H15/I15</f>
        <v>18619.361936193618</v>
      </c>
      <c r="H15" s="10">
        <v>3385000</v>
      </c>
      <c r="I15" s="10">
        <v>181.8</v>
      </c>
      <c r="J15" s="10">
        <f>I15</f>
        <v>181.8</v>
      </c>
      <c r="K15" s="10"/>
      <c r="L15" s="10">
        <f>13.75*INFO!B13</f>
        <v>559.625</v>
      </c>
      <c r="M15" s="10"/>
      <c r="N15" s="10"/>
      <c r="O15" s="10"/>
      <c r="P15" s="10"/>
      <c r="Q15" s="10"/>
      <c r="R15" s="10"/>
      <c r="S15" s="10"/>
    </row>
    <row r="16" spans="1:20">
      <c r="A16" s="3" t="s">
        <v>87</v>
      </c>
      <c r="B16" t="s">
        <v>78</v>
      </c>
      <c r="C16" t="s">
        <v>126</v>
      </c>
      <c r="D16" t="s">
        <v>21</v>
      </c>
      <c r="E16" t="s">
        <v>53</v>
      </c>
      <c r="F16" s="10">
        <v>63</v>
      </c>
      <c r="G16" s="10">
        <f t="shared" si="2"/>
        <v>17859.989361702126</v>
      </c>
      <c r="H16" s="10">
        <v>3357678</v>
      </c>
      <c r="I16" s="10">
        <v>188</v>
      </c>
      <c r="J16" s="10">
        <f>2208508/G16</f>
        <v>123.65673658998868</v>
      </c>
      <c r="K16" s="10"/>
      <c r="L16" s="10">
        <v>208</v>
      </c>
      <c r="M16" s="10"/>
      <c r="N16" s="10"/>
      <c r="O16" s="10">
        <f>6.04*INFO!B9</f>
        <v>65.014018916926716</v>
      </c>
      <c r="P16" s="10"/>
      <c r="Q16" s="10"/>
      <c r="R16" s="10"/>
      <c r="S16" s="10"/>
    </row>
    <row r="17" spans="1:19">
      <c r="A17" s="3" t="s">
        <v>88</v>
      </c>
      <c r="B17" t="s">
        <v>78</v>
      </c>
      <c r="C17" t="s">
        <v>126</v>
      </c>
      <c r="D17" t="s">
        <v>8</v>
      </c>
      <c r="E17" t="s">
        <v>53</v>
      </c>
      <c r="F17" s="10">
        <v>65</v>
      </c>
      <c r="G17" s="10">
        <f t="shared" ref="G17:G18" si="3">H17/I17</f>
        <v>15434.07</v>
      </c>
      <c r="H17" s="10">
        <v>3086814</v>
      </c>
      <c r="I17" s="10">
        <v>200</v>
      </c>
      <c r="J17" s="10">
        <v>186</v>
      </c>
      <c r="K17" s="10">
        <v>14</v>
      </c>
      <c r="L17" s="10"/>
      <c r="M17" s="10"/>
      <c r="N17" s="10"/>
      <c r="O17" s="10"/>
      <c r="P17" s="10"/>
      <c r="Q17" s="10"/>
      <c r="R17" s="10"/>
      <c r="S17" s="10"/>
    </row>
    <row r="18" spans="1:19">
      <c r="A18" s="3" t="s">
        <v>89</v>
      </c>
      <c r="B18" t="s">
        <v>78</v>
      </c>
      <c r="C18" t="s">
        <v>126</v>
      </c>
      <c r="D18" t="s">
        <v>62</v>
      </c>
      <c r="E18" t="s">
        <v>53</v>
      </c>
      <c r="F18" s="10">
        <v>18.100000000000001</v>
      </c>
      <c r="G18" s="10">
        <f t="shared" si="3"/>
        <v>11324.251202702702</v>
      </c>
      <c r="H18" s="10">
        <f>8578100*INFO!B7</f>
        <v>2513983.767</v>
      </c>
      <c r="I18" s="10">
        <f>J18</f>
        <v>222</v>
      </c>
      <c r="J18" s="10">
        <v>222</v>
      </c>
      <c r="K18" s="10"/>
      <c r="L18" s="10">
        <v>75</v>
      </c>
      <c r="M18" s="10">
        <v>5.7</v>
      </c>
      <c r="N18" s="10"/>
      <c r="O18" s="10"/>
      <c r="P18" s="10"/>
      <c r="Q18" s="10"/>
      <c r="R18" s="10"/>
      <c r="S18" s="10"/>
    </row>
    <row r="19" spans="1:19">
      <c r="A19" s="3" t="s">
        <v>90</v>
      </c>
      <c r="B19" t="s">
        <v>78</v>
      </c>
      <c r="C19" t="s">
        <v>126</v>
      </c>
      <c r="D19" t="s">
        <v>62</v>
      </c>
      <c r="E19" t="s">
        <v>9</v>
      </c>
      <c r="F19" s="10">
        <v>73</v>
      </c>
      <c r="G19" s="10">
        <f t="shared" ref="G19:G23" si="4">H19/I19</f>
        <v>28745.989411764709</v>
      </c>
      <c r="H19" s="10">
        <f>4849367+84671*INFO!B10</f>
        <v>7330227.3000000007</v>
      </c>
      <c r="I19" s="10">
        <v>255</v>
      </c>
      <c r="J19" s="10">
        <f>4849367/G19</f>
        <v>168.69716782179455</v>
      </c>
      <c r="K19" s="10">
        <f>84671*INFO!B10/G19</f>
        <v>86.302832178205449</v>
      </c>
      <c r="L19" s="10"/>
      <c r="M19" s="10">
        <v>1.1000000000000001</v>
      </c>
      <c r="N19" s="10">
        <v>0.2</v>
      </c>
      <c r="O19" s="10"/>
      <c r="P19" s="10"/>
      <c r="Q19" s="10"/>
      <c r="R19" s="10"/>
      <c r="S19" s="10"/>
    </row>
    <row r="20" spans="1:19">
      <c r="A20" s="3" t="s">
        <v>91</v>
      </c>
      <c r="B20" t="s">
        <v>78</v>
      </c>
      <c r="C20" t="s">
        <v>126</v>
      </c>
      <c r="D20" t="s">
        <v>62</v>
      </c>
      <c r="E20" t="s">
        <v>6</v>
      </c>
      <c r="F20" s="10">
        <v>140</v>
      </c>
      <c r="G20" s="10">
        <f t="shared" si="4"/>
        <v>32021.614035087718</v>
      </c>
      <c r="H20" s="10">
        <f>4760460+4365700</f>
        <v>9126160</v>
      </c>
      <c r="I20" s="10">
        <v>285</v>
      </c>
      <c r="J20" s="10">
        <v>149</v>
      </c>
      <c r="K20" s="10"/>
      <c r="L20" s="10">
        <v>638</v>
      </c>
      <c r="M20" s="10">
        <v>0.8</v>
      </c>
      <c r="N20" s="10"/>
      <c r="O20" s="10">
        <v>136</v>
      </c>
      <c r="P20" s="10"/>
      <c r="Q20" s="10"/>
      <c r="R20" s="10"/>
      <c r="S20" s="10"/>
    </row>
    <row r="21" spans="1:19">
      <c r="A21" s="4" t="s">
        <v>105</v>
      </c>
      <c r="B21" t="s">
        <v>93</v>
      </c>
      <c r="C21" t="s">
        <v>127</v>
      </c>
      <c r="D21" t="s">
        <v>62</v>
      </c>
      <c r="E21" t="s">
        <v>27</v>
      </c>
      <c r="F21" s="10">
        <v>107</v>
      </c>
      <c r="G21" s="10">
        <f t="shared" si="4"/>
        <v>82365.58043478262</v>
      </c>
      <c r="H21" s="10">
        <f>12482410+(236536)*INFO!B11</f>
        <v>15155266.800000001</v>
      </c>
      <c r="I21" s="10">
        <v>184</v>
      </c>
      <c r="J21" s="10">
        <v>152</v>
      </c>
      <c r="K21" s="10">
        <f>I21-J21</f>
        <v>32</v>
      </c>
      <c r="L21" s="10">
        <v>325</v>
      </c>
      <c r="M21" s="10"/>
      <c r="N21" s="10"/>
      <c r="O21" s="10"/>
      <c r="P21" s="10"/>
      <c r="Q21" s="10"/>
      <c r="R21" s="10"/>
      <c r="S21" s="10"/>
    </row>
    <row r="22" spans="1:19">
      <c r="A22" s="4" t="s">
        <v>106</v>
      </c>
      <c r="B22" t="s">
        <v>93</v>
      </c>
      <c r="C22" t="s">
        <v>128</v>
      </c>
      <c r="D22" t="s">
        <v>62</v>
      </c>
      <c r="E22" t="s">
        <v>53</v>
      </c>
      <c r="F22" s="10">
        <v>29.5</v>
      </c>
      <c r="G22" s="10">
        <f t="shared" si="4"/>
        <v>12885.708920187793</v>
      </c>
      <c r="H22" s="10">
        <v>2744656</v>
      </c>
      <c r="I22" s="10">
        <v>213</v>
      </c>
      <c r="J22" s="10">
        <v>86.8</v>
      </c>
      <c r="K22" s="10"/>
      <c r="L22" s="10">
        <v>221</v>
      </c>
      <c r="M22" s="10"/>
      <c r="N22" s="10"/>
      <c r="O22" s="10"/>
      <c r="P22" s="10">
        <v>89.2</v>
      </c>
      <c r="Q22" s="10">
        <v>39.4</v>
      </c>
      <c r="R22" s="10"/>
      <c r="S22" s="10"/>
    </row>
    <row r="23" spans="1:19">
      <c r="A23" s="4" t="s">
        <v>107</v>
      </c>
      <c r="B23" t="s">
        <v>93</v>
      </c>
      <c r="C23" t="s">
        <v>129</v>
      </c>
      <c r="D23" t="s">
        <v>62</v>
      </c>
      <c r="E23" t="s">
        <v>31</v>
      </c>
      <c r="F23" s="10">
        <v>24.9</v>
      </c>
      <c r="G23" s="10">
        <f t="shared" si="4"/>
        <v>9983.3771929824561</v>
      </c>
      <c r="H23" s="10">
        <v>2276210</v>
      </c>
      <c r="I23" s="10">
        <v>228</v>
      </c>
      <c r="J23" s="10">
        <f>130+20+36+42</f>
        <v>228</v>
      </c>
      <c r="K23" s="10"/>
      <c r="L23" s="10"/>
      <c r="M23" s="10"/>
      <c r="N23" s="10"/>
      <c r="O23" s="10"/>
      <c r="P23" s="10"/>
      <c r="Q23" s="10"/>
      <c r="R23" s="10"/>
      <c r="S23" s="10"/>
    </row>
    <row r="24" spans="1:19">
      <c r="A24" s="4" t="s">
        <v>94</v>
      </c>
      <c r="B24" t="s">
        <v>93</v>
      </c>
      <c r="C24" t="s">
        <v>130</v>
      </c>
      <c r="D24" t="s">
        <v>33</v>
      </c>
      <c r="E24" t="s">
        <v>37</v>
      </c>
      <c r="F24" s="10">
        <f>23.9*INFO!B17</f>
        <v>32.265000000000001</v>
      </c>
      <c r="G24" s="10">
        <v>22000</v>
      </c>
      <c r="H24" s="10">
        <f>G24*I24</f>
        <v>1056000</v>
      </c>
      <c r="I24" s="10">
        <v>48</v>
      </c>
      <c r="J24" s="10">
        <f>10+4+6+5+10</f>
        <v>35</v>
      </c>
      <c r="K24" s="10">
        <v>12</v>
      </c>
      <c r="L24" s="10">
        <v>121</v>
      </c>
      <c r="M24" s="10"/>
      <c r="N24" s="10"/>
      <c r="O24" s="10"/>
      <c r="P24" s="10"/>
      <c r="Q24" s="10"/>
      <c r="R24" s="10"/>
      <c r="S24" s="10"/>
    </row>
    <row r="25" spans="1:19">
      <c r="A25" s="4" t="s">
        <v>97</v>
      </c>
      <c r="B25" t="s">
        <v>93</v>
      </c>
      <c r="C25" t="s">
        <v>130</v>
      </c>
      <c r="D25" t="s">
        <v>32</v>
      </c>
      <c r="E25" t="s">
        <v>34</v>
      </c>
      <c r="F25" s="10">
        <f>68*INFO!B17</f>
        <v>91.800000000000011</v>
      </c>
      <c r="G25" s="10">
        <v>41000</v>
      </c>
      <c r="H25" s="10">
        <f>G25*I25</f>
        <v>3513700</v>
      </c>
      <c r="I25" s="10">
        <v>85.7</v>
      </c>
      <c r="J25" s="10">
        <v>22.9</v>
      </c>
      <c r="K25" s="10">
        <v>62.8</v>
      </c>
      <c r="L25" s="10"/>
      <c r="M25" s="10"/>
      <c r="N25" s="10"/>
      <c r="O25" s="10"/>
      <c r="P25" s="10"/>
      <c r="Q25" s="10"/>
      <c r="R25" s="10"/>
      <c r="S25" s="10"/>
    </row>
    <row r="26" spans="1:19">
      <c r="A26" s="4" t="s">
        <v>68</v>
      </c>
      <c r="B26" t="s">
        <v>93</v>
      </c>
      <c r="C26" t="s">
        <v>130</v>
      </c>
      <c r="D26" t="s">
        <v>33</v>
      </c>
      <c r="E26" t="s">
        <v>34</v>
      </c>
      <c r="F26" s="10">
        <f>12.5*INFO!B17</f>
        <v>16.875</v>
      </c>
      <c r="G26" s="10">
        <f>H26/I26</f>
        <v>6964.5092024539881</v>
      </c>
      <c r="H26" s="10">
        <v>681129</v>
      </c>
      <c r="I26" s="10">
        <v>97.8</v>
      </c>
      <c r="J26" s="10">
        <v>61.1</v>
      </c>
      <c r="K26" s="10">
        <v>36.6</v>
      </c>
      <c r="L26" s="10">
        <v>681</v>
      </c>
      <c r="M26" s="10"/>
      <c r="N26" s="10"/>
      <c r="O26" s="10"/>
      <c r="P26" s="10"/>
      <c r="Q26" s="10"/>
      <c r="R26" s="10"/>
      <c r="S26" s="10"/>
    </row>
    <row r="27" spans="1:19">
      <c r="A27" s="4" t="s">
        <v>99</v>
      </c>
      <c r="B27" t="s">
        <v>93</v>
      </c>
      <c r="C27" t="s">
        <v>130</v>
      </c>
      <c r="D27" t="s">
        <v>62</v>
      </c>
      <c r="E27" t="s">
        <v>34</v>
      </c>
      <c r="F27" s="10">
        <f>47*INFO!B17</f>
        <v>63.45</v>
      </c>
      <c r="G27" s="10">
        <v>33451</v>
      </c>
      <c r="H27" s="10">
        <f>G27*I27</f>
        <v>3646159</v>
      </c>
      <c r="I27" s="10">
        <v>109</v>
      </c>
      <c r="J27" s="10">
        <v>41.9</v>
      </c>
      <c r="K27" s="10">
        <v>67.3</v>
      </c>
      <c r="L27" s="10"/>
      <c r="M27" s="10">
        <v>9.1999999999999993</v>
      </c>
      <c r="N27" s="10"/>
      <c r="O27" s="10"/>
      <c r="P27" s="10"/>
      <c r="Q27" s="10"/>
      <c r="R27" s="10">
        <v>71.3</v>
      </c>
      <c r="S27" s="10">
        <v>148</v>
      </c>
    </row>
    <row r="28" spans="1:19">
      <c r="A28" s="4" t="s">
        <v>148</v>
      </c>
      <c r="B28" t="s">
        <v>93</v>
      </c>
      <c r="C28" t="s">
        <v>130</v>
      </c>
      <c r="D28" t="s">
        <v>62</v>
      </c>
      <c r="E28" t="s">
        <v>34</v>
      </c>
      <c r="F28" s="10">
        <v>116</v>
      </c>
      <c r="G28" s="10">
        <v>29000</v>
      </c>
      <c r="H28" s="10">
        <f>G28*I28</f>
        <v>4350000</v>
      </c>
      <c r="I28" s="10">
        <v>150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>
      <c r="A29" s="4" t="s">
        <v>103</v>
      </c>
      <c r="B29" t="s">
        <v>93</v>
      </c>
      <c r="C29" t="s">
        <v>131</v>
      </c>
      <c r="D29" t="s">
        <v>62</v>
      </c>
      <c r="F29" s="10">
        <v>18</v>
      </c>
      <c r="G29" s="10">
        <v>6000</v>
      </c>
      <c r="H29" s="10">
        <v>1009421</v>
      </c>
      <c r="I29" s="10">
        <v>168</v>
      </c>
      <c r="J29" s="10">
        <v>96.7</v>
      </c>
      <c r="K29" s="10">
        <v>71.5</v>
      </c>
      <c r="L29" s="10">
        <v>681</v>
      </c>
      <c r="M29" s="10"/>
      <c r="N29" s="10"/>
      <c r="O29" s="10"/>
      <c r="P29" s="10"/>
      <c r="Q29" s="10"/>
      <c r="R29" s="10"/>
      <c r="S29" s="10"/>
    </row>
    <row r="30" spans="1:19">
      <c r="A30" s="4" t="s">
        <v>101</v>
      </c>
      <c r="B30" t="s">
        <v>93</v>
      </c>
      <c r="C30" t="s">
        <v>134</v>
      </c>
      <c r="D30" t="s">
        <v>62</v>
      </c>
      <c r="E30" t="s">
        <v>0</v>
      </c>
      <c r="F30" s="10">
        <v>130</v>
      </c>
      <c r="G30" s="10">
        <v>30000</v>
      </c>
      <c r="H30" s="10">
        <v>4050000</v>
      </c>
      <c r="I30" s="10">
        <v>135</v>
      </c>
      <c r="J30" s="10">
        <f>17+57</f>
        <v>74</v>
      </c>
      <c r="K30" s="10"/>
      <c r="L30" s="10"/>
      <c r="M30" s="10"/>
      <c r="N30" s="10"/>
      <c r="O30" s="10"/>
      <c r="P30" s="10">
        <v>43</v>
      </c>
      <c r="Q30" s="10">
        <v>18</v>
      </c>
      <c r="R30" s="10"/>
      <c r="S30" s="10"/>
    </row>
    <row r="31" spans="1:19">
      <c r="A31" s="4" t="s">
        <v>95</v>
      </c>
      <c r="B31" t="s">
        <v>93</v>
      </c>
      <c r="C31" t="s">
        <v>135</v>
      </c>
      <c r="D31" t="s">
        <v>62</v>
      </c>
      <c r="F31" s="10">
        <f>29.5*INFO!B18</f>
        <v>32.745000000000005</v>
      </c>
      <c r="G31" s="10">
        <v>8533</v>
      </c>
      <c r="H31" s="10">
        <v>419795</v>
      </c>
      <c r="I31" s="10">
        <v>49.2</v>
      </c>
      <c r="J31" s="10">
        <f>5.1+31.2</f>
        <v>36.299999999999997</v>
      </c>
      <c r="K31" s="10">
        <f>7.5+1.6+3.8</f>
        <v>12.899999999999999</v>
      </c>
      <c r="L31" s="10">
        <v>152</v>
      </c>
      <c r="M31" s="10"/>
      <c r="N31" s="10">
        <v>3.1</v>
      </c>
      <c r="O31" s="10"/>
      <c r="P31" s="10"/>
      <c r="Q31" s="10"/>
      <c r="R31" s="10"/>
      <c r="S31" s="10"/>
    </row>
    <row r="32" spans="1:19">
      <c r="A32" s="4" t="s">
        <v>96</v>
      </c>
      <c r="B32" t="s">
        <v>93</v>
      </c>
      <c r="C32" t="s">
        <v>135</v>
      </c>
      <c r="D32" t="s">
        <v>62</v>
      </c>
      <c r="F32" s="10">
        <v>57</v>
      </c>
      <c r="G32" s="10">
        <f>H32/I32</f>
        <v>12627.187079407806</v>
      </c>
      <c r="H32" s="10">
        <v>938200</v>
      </c>
      <c r="I32" s="10">
        <v>74.3</v>
      </c>
      <c r="J32" s="10">
        <f>14+13.1+10.8+36.4</f>
        <v>74.300000000000011</v>
      </c>
      <c r="K32" s="10"/>
      <c r="L32" s="10">
        <v>453</v>
      </c>
      <c r="M32" s="10"/>
      <c r="N32" s="10"/>
      <c r="O32" s="10"/>
      <c r="P32" s="10"/>
      <c r="Q32" s="10"/>
      <c r="R32" s="10"/>
      <c r="S32" s="10"/>
    </row>
    <row r="33" spans="1:20">
      <c r="A33" s="4" t="s">
        <v>100</v>
      </c>
      <c r="B33" t="s">
        <v>93</v>
      </c>
      <c r="C33" t="s">
        <v>133</v>
      </c>
      <c r="D33" t="s">
        <v>62</v>
      </c>
      <c r="E33" t="s">
        <v>53</v>
      </c>
      <c r="F33" s="10"/>
      <c r="G33" s="10">
        <v>17250</v>
      </c>
      <c r="H33" s="10">
        <f>G33*I33</f>
        <v>1966500</v>
      </c>
      <c r="I33" s="10">
        <v>114</v>
      </c>
      <c r="J33" s="10"/>
      <c r="K33" s="10"/>
      <c r="L33" s="10">
        <v>168</v>
      </c>
      <c r="M33" s="10"/>
      <c r="N33" s="10"/>
      <c r="O33" s="10"/>
      <c r="P33" s="10"/>
      <c r="Q33" s="10"/>
      <c r="R33" s="10"/>
      <c r="S33" s="10"/>
    </row>
    <row r="34" spans="1:20">
      <c r="A34" s="4" t="s">
        <v>102</v>
      </c>
      <c r="B34" t="s">
        <v>93</v>
      </c>
      <c r="C34" t="s">
        <v>132</v>
      </c>
      <c r="D34" t="s">
        <v>62</v>
      </c>
      <c r="E34" t="s">
        <v>40</v>
      </c>
      <c r="F34" s="10">
        <v>19.5</v>
      </c>
      <c r="G34" s="10">
        <f>H34/I34</f>
        <v>6106.6993865030672</v>
      </c>
      <c r="H34" s="10">
        <v>995392</v>
      </c>
      <c r="I34" s="10">
        <v>163</v>
      </c>
      <c r="J34" s="10">
        <f>10.2*INFO!B9</f>
        <v>109.79188625043916</v>
      </c>
      <c r="K34" s="10">
        <f>1.3*INFO!B9</f>
        <v>13.993083541722639</v>
      </c>
      <c r="L34" s="10"/>
      <c r="M34" s="10"/>
      <c r="N34" s="10"/>
      <c r="O34" s="10"/>
      <c r="P34" s="10"/>
      <c r="Q34" s="10"/>
      <c r="R34" s="10"/>
      <c r="S34" s="10"/>
      <c r="T34" s="11">
        <f>3.6*INFO!B9</f>
        <v>38.750077500155001</v>
      </c>
    </row>
    <row r="35" spans="1:20">
      <c r="A35" s="4" t="s">
        <v>104</v>
      </c>
      <c r="B35" t="s">
        <v>93</v>
      </c>
      <c r="C35" t="s">
        <v>132</v>
      </c>
      <c r="D35" t="s">
        <v>61</v>
      </c>
      <c r="E35" t="s">
        <v>40</v>
      </c>
      <c r="F35" s="10">
        <f>13.8*INFO!B19</f>
        <v>22.356000000000002</v>
      </c>
      <c r="G35" s="10">
        <v>6500</v>
      </c>
      <c r="H35">
        <f>G35*I35</f>
        <v>1098500</v>
      </c>
      <c r="I35" s="10">
        <v>169</v>
      </c>
      <c r="J35" s="10">
        <v>169</v>
      </c>
      <c r="K35" s="10"/>
      <c r="L35" s="10"/>
      <c r="M35" s="10"/>
      <c r="N35" s="10"/>
      <c r="O35" s="10"/>
      <c r="P35" s="10"/>
      <c r="Q35" s="10"/>
      <c r="R35" s="10"/>
      <c r="S35" s="10"/>
    </row>
    <row r="36" spans="1:20">
      <c r="A36" s="5" t="s">
        <v>112</v>
      </c>
      <c r="B36" t="s">
        <v>108</v>
      </c>
      <c r="C36" t="s">
        <v>136</v>
      </c>
      <c r="D36" t="s">
        <v>62</v>
      </c>
      <c r="E36" t="s">
        <v>145</v>
      </c>
      <c r="F36" s="10"/>
      <c r="G36" s="10">
        <v>7185</v>
      </c>
      <c r="H36" s="10">
        <v>700853</v>
      </c>
      <c r="I36" s="10">
        <v>97.6</v>
      </c>
      <c r="J36" s="10">
        <f>47.6+18.8</f>
        <v>66.400000000000006</v>
      </c>
      <c r="K36" s="10">
        <v>13.6</v>
      </c>
      <c r="L36" s="10">
        <v>725</v>
      </c>
      <c r="M36" s="10"/>
      <c r="N36" s="10"/>
      <c r="O36" s="10"/>
      <c r="P36" s="10"/>
      <c r="Q36" s="10"/>
      <c r="R36" s="10"/>
      <c r="S36" s="10"/>
    </row>
    <row r="37" spans="1:20">
      <c r="A37" s="5" t="s">
        <v>113</v>
      </c>
      <c r="B37" t="s">
        <v>108</v>
      </c>
      <c r="C37" t="s">
        <v>136</v>
      </c>
      <c r="D37" t="s">
        <v>147</v>
      </c>
      <c r="E37" t="s">
        <v>145</v>
      </c>
      <c r="F37" s="10">
        <f>56*INFO!B20</f>
        <v>52.080000000000005</v>
      </c>
      <c r="G37" s="10">
        <v>18000</v>
      </c>
      <c r="H37">
        <f>G37*I37</f>
        <v>2052000</v>
      </c>
      <c r="I37" s="10">
        <v>114</v>
      </c>
      <c r="J37" s="10">
        <f>74.8+74.8*0.33</f>
        <v>99.483999999999995</v>
      </c>
      <c r="K37" s="10">
        <f>13.7</f>
        <v>13.7</v>
      </c>
      <c r="L37" s="10">
        <v>117</v>
      </c>
      <c r="M37" s="10"/>
      <c r="N37" s="10"/>
      <c r="O37" s="10"/>
      <c r="P37" s="10"/>
      <c r="Q37" s="10"/>
      <c r="R37" s="10"/>
      <c r="S37" s="10"/>
    </row>
    <row r="38" spans="1:20">
      <c r="A38" s="5" t="s">
        <v>117</v>
      </c>
      <c r="B38" t="s">
        <v>108</v>
      </c>
      <c r="C38" t="s">
        <v>136</v>
      </c>
      <c r="D38" t="s">
        <v>147</v>
      </c>
      <c r="E38" t="s">
        <v>145</v>
      </c>
      <c r="F38" s="10"/>
      <c r="G38" s="10">
        <v>33000</v>
      </c>
      <c r="H38" s="10">
        <v>4929499</v>
      </c>
      <c r="I38" s="10">
        <v>160</v>
      </c>
      <c r="J38" s="10">
        <v>96.2</v>
      </c>
      <c r="K38" s="10">
        <f>57.7+6.4</f>
        <v>64.100000000000009</v>
      </c>
      <c r="L38" s="10"/>
      <c r="M38" s="10"/>
      <c r="N38" s="10"/>
      <c r="O38" s="10"/>
      <c r="P38" s="10"/>
      <c r="Q38" s="10"/>
      <c r="R38" s="10"/>
      <c r="S38" s="10"/>
    </row>
    <row r="39" spans="1:20">
      <c r="A39" s="5" t="s">
        <v>119</v>
      </c>
      <c r="B39" t="s">
        <v>108</v>
      </c>
      <c r="C39" t="s">
        <v>136</v>
      </c>
      <c r="D39" t="s">
        <v>33</v>
      </c>
      <c r="E39" t="s">
        <v>145</v>
      </c>
      <c r="F39" s="10">
        <f>77.14*INFO!B20</f>
        <v>71.740200000000002</v>
      </c>
      <c r="G39" s="10">
        <v>12536</v>
      </c>
      <c r="H39" s="10">
        <v>2295816</v>
      </c>
      <c r="I39" s="10">
        <v>183</v>
      </c>
      <c r="J39" s="10">
        <v>77.2</v>
      </c>
      <c r="K39" s="10">
        <v>106</v>
      </c>
      <c r="L39" s="10">
        <v>592</v>
      </c>
      <c r="M39" s="10"/>
      <c r="N39" s="10"/>
      <c r="O39" s="10"/>
      <c r="P39" s="10"/>
      <c r="Q39" s="10"/>
      <c r="R39" s="10"/>
      <c r="S39" s="10"/>
    </row>
    <row r="40" spans="1:20">
      <c r="A40" s="5" t="s">
        <v>120</v>
      </c>
      <c r="B40" t="s">
        <v>108</v>
      </c>
      <c r="C40" t="s">
        <v>136</v>
      </c>
      <c r="D40" t="s">
        <v>147</v>
      </c>
      <c r="E40" t="s">
        <v>145</v>
      </c>
      <c r="F40" s="10"/>
      <c r="G40" s="10">
        <v>10366</v>
      </c>
      <c r="H40" s="10">
        <f>G40*I40</f>
        <v>2467108</v>
      </c>
      <c r="I40" s="10">
        <v>238</v>
      </c>
      <c r="J40" s="10">
        <v>128</v>
      </c>
      <c r="K40" s="10">
        <f>65.7+43.8</f>
        <v>109.5</v>
      </c>
      <c r="L40" s="10">
        <v>463</v>
      </c>
      <c r="M40" s="10"/>
      <c r="N40" s="10"/>
      <c r="O40" s="10"/>
      <c r="P40" s="10"/>
      <c r="Q40" s="10"/>
      <c r="R40" s="10"/>
      <c r="S40" s="10"/>
    </row>
    <row r="41" spans="1:20">
      <c r="A41" s="5" t="s">
        <v>115</v>
      </c>
      <c r="B41" t="s">
        <v>108</v>
      </c>
      <c r="C41" t="s">
        <v>137</v>
      </c>
      <c r="D41" t="s">
        <v>62</v>
      </c>
      <c r="E41" t="s">
        <v>53</v>
      </c>
      <c r="F41" s="10"/>
      <c r="G41" s="10">
        <v>14239</v>
      </c>
      <c r="H41" s="10">
        <v>1980000</v>
      </c>
      <c r="I41" s="10">
        <v>139</v>
      </c>
      <c r="J41" s="10"/>
      <c r="K41" s="10"/>
      <c r="L41" s="10"/>
      <c r="M41" s="10">
        <v>18.7</v>
      </c>
      <c r="N41" s="10"/>
      <c r="O41" s="10"/>
      <c r="P41" s="10"/>
      <c r="Q41" s="10"/>
      <c r="R41" s="10"/>
      <c r="S41" s="10"/>
    </row>
    <row r="42" spans="1:20">
      <c r="A42" s="5" t="s">
        <v>111</v>
      </c>
      <c r="B42" t="s">
        <v>108</v>
      </c>
      <c r="C42" t="s">
        <v>138</v>
      </c>
      <c r="D42" t="s">
        <v>62</v>
      </c>
      <c r="E42" t="s">
        <v>6</v>
      </c>
      <c r="F42" s="10"/>
      <c r="G42" s="10">
        <v>75809</v>
      </c>
      <c r="H42" s="10">
        <f>G42*I42</f>
        <v>4472731</v>
      </c>
      <c r="I42" s="10">
        <v>59</v>
      </c>
      <c r="J42" s="10"/>
      <c r="K42" s="10"/>
      <c r="L42" s="10">
        <v>304</v>
      </c>
      <c r="M42" s="10"/>
      <c r="N42" s="10"/>
      <c r="O42" s="10"/>
      <c r="P42" s="10"/>
      <c r="Q42" s="10"/>
      <c r="R42" s="10"/>
      <c r="S42" s="10"/>
    </row>
    <row r="43" spans="1:20">
      <c r="A43" s="5" t="s">
        <v>116</v>
      </c>
      <c r="B43" t="s">
        <v>108</v>
      </c>
      <c r="C43" t="s">
        <v>139</v>
      </c>
      <c r="D43" t="s">
        <v>61</v>
      </c>
      <c r="E43" t="s">
        <v>2</v>
      </c>
      <c r="F43" s="10"/>
      <c r="G43" s="10">
        <v>18399</v>
      </c>
      <c r="H43" s="10">
        <f>G43*I43</f>
        <v>2907042</v>
      </c>
      <c r="I43" s="10">
        <v>158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0">
      <c r="A44" s="5" t="s">
        <v>118</v>
      </c>
      <c r="B44" t="s">
        <v>108</v>
      </c>
      <c r="C44" t="s">
        <v>139</v>
      </c>
      <c r="D44" t="s">
        <v>62</v>
      </c>
      <c r="E44" t="s">
        <v>149</v>
      </c>
      <c r="F44" s="10"/>
      <c r="G44" s="10">
        <v>53372</v>
      </c>
      <c r="H44" s="10">
        <f>G44*I44</f>
        <v>8966496</v>
      </c>
      <c r="I44" s="10">
        <f>J44</f>
        <v>168</v>
      </c>
      <c r="J44" s="10">
        <v>168</v>
      </c>
      <c r="K44" s="10"/>
      <c r="L44" s="10">
        <v>580</v>
      </c>
      <c r="M44" s="10"/>
      <c r="N44" s="10"/>
      <c r="O44" s="10"/>
      <c r="P44" s="10"/>
      <c r="Q44" s="10"/>
      <c r="R44" s="10"/>
      <c r="S44" s="10"/>
    </row>
    <row r="45" spans="1:20">
      <c r="A45" s="5" t="s">
        <v>121</v>
      </c>
      <c r="B45" t="s">
        <v>108</v>
      </c>
      <c r="C45" t="s">
        <v>139</v>
      </c>
      <c r="D45" t="s">
        <v>62</v>
      </c>
      <c r="E45" t="s">
        <v>149</v>
      </c>
      <c r="F45" s="10"/>
      <c r="G45" s="10">
        <f>H45/I45</f>
        <v>52112.714285714283</v>
      </c>
      <c r="H45" s="10">
        <v>12038037</v>
      </c>
      <c r="I45" s="10">
        <v>231</v>
      </c>
      <c r="J45" s="10">
        <v>156</v>
      </c>
      <c r="K45" s="10">
        <v>73.900000000000006</v>
      </c>
      <c r="L45" s="10">
        <v>714</v>
      </c>
      <c r="M45" s="10">
        <v>1.3</v>
      </c>
      <c r="N45" s="10"/>
      <c r="O45" s="10"/>
      <c r="P45" s="10"/>
      <c r="Q45" s="10"/>
      <c r="R45" s="10"/>
      <c r="S45" s="10"/>
    </row>
    <row r="46" spans="1:20">
      <c r="A46" s="5" t="s">
        <v>122</v>
      </c>
      <c r="B46" t="s">
        <v>108</v>
      </c>
      <c r="C46" t="s">
        <v>139</v>
      </c>
      <c r="D46" t="s">
        <v>62</v>
      </c>
      <c r="E46" t="s">
        <v>2</v>
      </c>
      <c r="F46" s="10"/>
      <c r="G46" s="10">
        <v>78500</v>
      </c>
      <c r="H46" s="10">
        <f>G46*I46</f>
        <v>24570500</v>
      </c>
      <c r="I46" s="10">
        <v>313</v>
      </c>
      <c r="J46" s="10"/>
      <c r="K46" s="10"/>
      <c r="L46" s="10">
        <v>260</v>
      </c>
      <c r="M46" s="10"/>
      <c r="N46" s="10"/>
      <c r="O46" s="10"/>
      <c r="P46" s="10"/>
      <c r="Q46" s="10"/>
      <c r="R46" s="10"/>
      <c r="S46" s="10"/>
    </row>
    <row r="47" spans="1:20">
      <c r="A47" s="5" t="s">
        <v>123</v>
      </c>
      <c r="B47" t="s">
        <v>108</v>
      </c>
      <c r="C47" t="s">
        <v>139</v>
      </c>
      <c r="D47" t="s">
        <v>1</v>
      </c>
      <c r="E47" t="s">
        <v>149</v>
      </c>
      <c r="F47" s="10"/>
      <c r="G47" s="10">
        <v>60000</v>
      </c>
      <c r="H47" s="10">
        <f>G47*I47</f>
        <v>20280000</v>
      </c>
      <c r="I47" s="10">
        <v>338</v>
      </c>
      <c r="J47" s="10"/>
      <c r="K47" s="10"/>
      <c r="L47" s="10">
        <f>73+64+39+63+87+42+61+33</f>
        <v>462</v>
      </c>
      <c r="M47" s="10"/>
      <c r="N47" s="10"/>
      <c r="O47" s="10"/>
      <c r="P47" s="10"/>
      <c r="Q47" s="10"/>
      <c r="R47" s="10"/>
      <c r="S47" s="10"/>
    </row>
    <row r="48" spans="1:20">
      <c r="A48" s="5" t="s">
        <v>110</v>
      </c>
      <c r="B48" t="s">
        <v>108</v>
      </c>
      <c r="C48" t="s">
        <v>140</v>
      </c>
      <c r="D48" t="s">
        <v>33</v>
      </c>
      <c r="E48" t="s">
        <v>5</v>
      </c>
      <c r="F48" s="10">
        <v>8.8000000000000007</v>
      </c>
      <c r="G48" s="10">
        <v>4500</v>
      </c>
      <c r="H48" s="10">
        <f>G48*I48</f>
        <v>183150</v>
      </c>
      <c r="I48" s="10">
        <v>40.700000000000003</v>
      </c>
      <c r="J48" s="10"/>
      <c r="K48" s="10"/>
      <c r="L48" s="10">
        <v>98</v>
      </c>
      <c r="M48" s="10"/>
      <c r="N48" s="10"/>
      <c r="O48" s="10"/>
      <c r="P48" s="10"/>
      <c r="Q48" s="10"/>
      <c r="R48" s="10"/>
      <c r="S48" s="10"/>
    </row>
    <row r="49" spans="1:19">
      <c r="A49" s="5" t="s">
        <v>114</v>
      </c>
      <c r="B49" t="s">
        <v>108</v>
      </c>
      <c r="C49" t="s">
        <v>140</v>
      </c>
      <c r="D49" t="s">
        <v>61</v>
      </c>
      <c r="E49" t="s">
        <v>3</v>
      </c>
      <c r="F49" s="10">
        <f>36*INFO!B21</f>
        <v>28.8</v>
      </c>
      <c r="G49" s="10">
        <v>19975</v>
      </c>
      <c r="H49" s="10">
        <f>G49*I49</f>
        <v>2692630</v>
      </c>
      <c r="I49" s="10">
        <v>134.80000000000001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>
      <c r="A50" s="5" t="s">
        <v>109</v>
      </c>
      <c r="B50" t="s">
        <v>108</v>
      </c>
      <c r="C50" t="s">
        <v>141</v>
      </c>
      <c r="D50" t="s">
        <v>61</v>
      </c>
      <c r="E50" t="s">
        <v>53</v>
      </c>
      <c r="F50" s="10">
        <v>6</v>
      </c>
      <c r="G50" s="10">
        <v>3055</v>
      </c>
      <c r="H50" s="10">
        <f>G50*I50</f>
        <v>123513.65</v>
      </c>
      <c r="I50" s="10">
        <v>40.43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</row>
  </sheetData>
  <sortState ref="A32:C46">
    <sortCondition ref="C32:C46"/>
  </sortState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>University of Bath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Sukumar Natarajan</dc:creator>
  <cp:lastModifiedBy>Sukumar Natarajan</cp:lastModifiedBy>
  <dcterms:created xsi:type="dcterms:W3CDTF">2013-09-27T18:28:14Z</dcterms:created>
  <dcterms:modified xsi:type="dcterms:W3CDTF">2013-09-28T01:11:10Z</dcterms:modified>
</cp:coreProperties>
</file>