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 defaultThemeVersion="124226"/>
  <xr:revisionPtr revIDLastSave="39" documentId="13_ncr:1_{6760D5BB-B83A-4C6F-A3AC-A8DAED81F1A0}" xr6:coauthVersionLast="47" xr6:coauthVersionMax="47" xr10:uidLastSave="{82A2C31B-594B-49CC-B864-8C6DD075746A}"/>
  <bookViews>
    <workbookView xWindow="-120" yWindow="-120" windowWidth="29040" windowHeight="15840" xr2:uid="{00000000-000D-0000-FFFF-FFFF00000000}"/>
  </bookViews>
  <sheets>
    <sheet name="BM" sheetId="1" r:id="rId1"/>
    <sheet name="SF" sheetId="5" r:id="rId2"/>
    <sheet name="Results (ULS)" sheetId="2" r:id="rId3"/>
  </sheets>
  <definedNames>
    <definedName name="D">BM!$H$13</definedName>
    <definedName name="_xlnm.Print_Area" localSheetId="0">BM!$A$1:$J$53</definedName>
    <definedName name="_xlnm.Print_Area" localSheetId="1">SF!$A$1:$J$53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67" i="2" l="1"/>
  <c r="AJ67" i="2"/>
  <c r="AL67" i="2" s="1"/>
  <c r="AO67" i="2" s="1"/>
  <c r="AK67" i="2"/>
  <c r="AN67" i="2" s="1"/>
  <c r="AI68" i="2"/>
  <c r="AK68" i="2" s="1"/>
  <c r="AN68" i="2" s="1"/>
  <c r="AJ68" i="2"/>
  <c r="AL68" i="2" s="1"/>
  <c r="AO68" i="2" s="1"/>
  <c r="AI69" i="2"/>
  <c r="AJ69" i="2"/>
  <c r="AL69" i="2" s="1"/>
  <c r="AO69" i="2" s="1"/>
  <c r="AK69" i="2"/>
  <c r="AN69" i="2" s="1"/>
  <c r="AI70" i="2"/>
  <c r="AK70" i="2" s="1"/>
  <c r="AN70" i="2" s="1"/>
  <c r="AJ70" i="2"/>
  <c r="AL70" i="2" s="1"/>
  <c r="AO70" i="2" s="1"/>
  <c r="AI71" i="2"/>
  <c r="AJ71" i="2"/>
  <c r="AL71" i="2" s="1"/>
  <c r="AO71" i="2" s="1"/>
  <c r="AK71" i="2"/>
  <c r="AN71" i="2" s="1"/>
  <c r="AK66" i="2"/>
  <c r="AN66" i="2" s="1"/>
  <c r="AJ66" i="2"/>
  <c r="AL66" i="2" s="1"/>
  <c r="AO66" i="2" s="1"/>
  <c r="AI66" i="2"/>
  <c r="AJ65" i="2"/>
  <c r="AL65" i="2" s="1"/>
  <c r="AO65" i="2" s="1"/>
  <c r="AI65" i="2"/>
  <c r="AK65" i="2" s="1"/>
  <c r="AN65" i="2" s="1"/>
  <c r="AJ64" i="2"/>
  <c r="AL64" i="2" s="1"/>
  <c r="AO64" i="2" s="1"/>
  <c r="AI64" i="2"/>
  <c r="AK64" i="2" s="1"/>
  <c r="AN64" i="2" s="1"/>
  <c r="AJ63" i="2"/>
  <c r="AL63" i="2" s="1"/>
  <c r="AO63" i="2" s="1"/>
  <c r="AI63" i="2"/>
  <c r="AK63" i="2" s="1"/>
  <c r="AN63" i="2" s="1"/>
  <c r="AK62" i="2"/>
  <c r="AN62" i="2" s="1"/>
  <c r="AJ62" i="2"/>
  <c r="AL62" i="2" s="1"/>
  <c r="AO62" i="2" s="1"/>
  <c r="AI62" i="2"/>
  <c r="AJ61" i="2"/>
  <c r="AL61" i="2" s="1"/>
  <c r="AO61" i="2" s="1"/>
  <c r="AI61" i="2"/>
  <c r="AK61" i="2" s="1"/>
  <c r="AN61" i="2" s="1"/>
  <c r="AJ60" i="2"/>
  <c r="AL60" i="2" s="1"/>
  <c r="AO60" i="2" s="1"/>
  <c r="AI60" i="2"/>
  <c r="AK60" i="2" s="1"/>
  <c r="AN60" i="2" s="1"/>
  <c r="AJ59" i="2"/>
  <c r="AL59" i="2" s="1"/>
  <c r="AO59" i="2" s="1"/>
  <c r="AI59" i="2"/>
  <c r="AK59" i="2" s="1"/>
  <c r="AN59" i="2" s="1"/>
  <c r="AK58" i="2"/>
  <c r="AN58" i="2" s="1"/>
  <c r="AJ58" i="2"/>
  <c r="AL58" i="2" s="1"/>
  <c r="AO58" i="2" s="1"/>
  <c r="AI58" i="2"/>
  <c r="AJ57" i="2"/>
  <c r="AL57" i="2" s="1"/>
  <c r="AO57" i="2" s="1"/>
  <c r="AI57" i="2"/>
  <c r="AK57" i="2" s="1"/>
  <c r="AN57" i="2" s="1"/>
  <c r="AJ56" i="2"/>
  <c r="AL56" i="2" s="1"/>
  <c r="AO56" i="2" s="1"/>
  <c r="AI56" i="2"/>
  <c r="AK56" i="2" s="1"/>
  <c r="AN56" i="2" s="1"/>
  <c r="AJ55" i="2"/>
  <c r="AL55" i="2" s="1"/>
  <c r="AO55" i="2" s="1"/>
  <c r="AI55" i="2"/>
  <c r="AK55" i="2" s="1"/>
  <c r="AN55" i="2" s="1"/>
  <c r="AK54" i="2"/>
  <c r="AN54" i="2" s="1"/>
  <c r="AJ54" i="2"/>
  <c r="AL54" i="2" s="1"/>
  <c r="AO54" i="2" s="1"/>
  <c r="AI54" i="2"/>
  <c r="AJ53" i="2"/>
  <c r="AL53" i="2" s="1"/>
  <c r="AO53" i="2" s="1"/>
  <c r="AI53" i="2"/>
  <c r="AK53" i="2" s="1"/>
  <c r="AN53" i="2" s="1"/>
  <c r="AJ52" i="2"/>
  <c r="AL52" i="2" s="1"/>
  <c r="AO52" i="2" s="1"/>
  <c r="AI52" i="2"/>
  <c r="AK52" i="2" s="1"/>
  <c r="AN52" i="2" s="1"/>
  <c r="AJ51" i="2"/>
  <c r="AL51" i="2" s="1"/>
  <c r="AO51" i="2" s="1"/>
  <c r="AI51" i="2"/>
  <c r="AK51" i="2" s="1"/>
  <c r="AN51" i="2" s="1"/>
  <c r="AK50" i="2"/>
  <c r="AN50" i="2" s="1"/>
  <c r="AJ50" i="2"/>
  <c r="AL50" i="2" s="1"/>
  <c r="AO50" i="2" s="1"/>
  <c r="AI50" i="2"/>
  <c r="AJ49" i="2"/>
  <c r="AL49" i="2" s="1"/>
  <c r="AO49" i="2" s="1"/>
  <c r="AI49" i="2"/>
  <c r="AK49" i="2" s="1"/>
  <c r="AN49" i="2" s="1"/>
  <c r="AJ48" i="2"/>
  <c r="AL48" i="2" s="1"/>
  <c r="AO48" i="2" s="1"/>
  <c r="AI48" i="2"/>
  <c r="AK48" i="2" s="1"/>
  <c r="AN48" i="2" s="1"/>
  <c r="AJ47" i="2"/>
  <c r="AL47" i="2" s="1"/>
  <c r="AO47" i="2" s="1"/>
  <c r="AI47" i="2"/>
  <c r="AK47" i="2" s="1"/>
  <c r="AN47" i="2" s="1"/>
  <c r="AK46" i="2"/>
  <c r="AN46" i="2" s="1"/>
  <c r="AJ46" i="2"/>
  <c r="AL46" i="2" s="1"/>
  <c r="AO46" i="2" s="1"/>
  <c r="AI46" i="2"/>
  <c r="AJ45" i="2"/>
  <c r="AL45" i="2" s="1"/>
  <c r="AO45" i="2" s="1"/>
  <c r="AI45" i="2"/>
  <c r="AK45" i="2" s="1"/>
  <c r="AN45" i="2" s="1"/>
  <c r="AJ44" i="2"/>
  <c r="AL44" i="2" s="1"/>
  <c r="AO44" i="2" s="1"/>
  <c r="AI44" i="2"/>
  <c r="AK44" i="2" s="1"/>
  <c r="AN44" i="2" s="1"/>
  <c r="AJ43" i="2"/>
  <c r="AL43" i="2" s="1"/>
  <c r="AO43" i="2" s="1"/>
  <c r="AI43" i="2"/>
  <c r="AK43" i="2" s="1"/>
  <c r="AN43" i="2" s="1"/>
  <c r="AK42" i="2"/>
  <c r="AN42" i="2" s="1"/>
  <c r="AJ42" i="2"/>
  <c r="AL42" i="2" s="1"/>
  <c r="AO42" i="2" s="1"/>
  <c r="AI42" i="2"/>
  <c r="AJ41" i="2"/>
  <c r="AL41" i="2" s="1"/>
  <c r="AO41" i="2" s="1"/>
  <c r="AI41" i="2"/>
  <c r="AK41" i="2" s="1"/>
  <c r="AN41" i="2" s="1"/>
  <c r="AJ40" i="2"/>
  <c r="AL40" i="2" s="1"/>
  <c r="AO40" i="2" s="1"/>
  <c r="AI40" i="2"/>
  <c r="AK40" i="2" s="1"/>
  <c r="AN40" i="2" s="1"/>
  <c r="AJ39" i="2"/>
  <c r="AL39" i="2" s="1"/>
  <c r="AO39" i="2" s="1"/>
  <c r="AI39" i="2"/>
  <c r="AK39" i="2" s="1"/>
  <c r="AN39" i="2" s="1"/>
  <c r="AK38" i="2"/>
  <c r="AN38" i="2" s="1"/>
  <c r="AJ38" i="2"/>
  <c r="AL38" i="2" s="1"/>
  <c r="AO38" i="2" s="1"/>
  <c r="AI38" i="2"/>
  <c r="AJ37" i="2"/>
  <c r="AL37" i="2" s="1"/>
  <c r="AO37" i="2" s="1"/>
  <c r="AI37" i="2"/>
  <c r="AK37" i="2" s="1"/>
  <c r="AN37" i="2" s="1"/>
  <c r="AJ36" i="2"/>
  <c r="AL36" i="2" s="1"/>
  <c r="AO36" i="2" s="1"/>
  <c r="AI36" i="2"/>
  <c r="AK36" i="2" s="1"/>
  <c r="AN36" i="2" s="1"/>
  <c r="AJ35" i="2"/>
  <c r="AL35" i="2" s="1"/>
  <c r="AO35" i="2" s="1"/>
  <c r="AI35" i="2"/>
  <c r="AK35" i="2" s="1"/>
  <c r="AN35" i="2" s="1"/>
  <c r="AK34" i="2"/>
  <c r="AN34" i="2" s="1"/>
  <c r="AJ34" i="2"/>
  <c r="AL34" i="2" s="1"/>
  <c r="AO34" i="2" s="1"/>
  <c r="AI34" i="2"/>
  <c r="AJ33" i="2"/>
  <c r="AL33" i="2" s="1"/>
  <c r="AO33" i="2" s="1"/>
  <c r="AI33" i="2"/>
  <c r="AK33" i="2" s="1"/>
  <c r="AN33" i="2" s="1"/>
  <c r="AJ32" i="2"/>
  <c r="AL32" i="2" s="1"/>
  <c r="AO32" i="2" s="1"/>
  <c r="AI32" i="2"/>
  <c r="AK32" i="2" s="1"/>
  <c r="AN32" i="2" s="1"/>
  <c r="AJ31" i="2"/>
  <c r="AL31" i="2" s="1"/>
  <c r="AO31" i="2" s="1"/>
  <c r="AI31" i="2"/>
  <c r="AK31" i="2" s="1"/>
  <c r="AN31" i="2" s="1"/>
  <c r="AK30" i="2"/>
  <c r="AN30" i="2" s="1"/>
  <c r="AJ30" i="2"/>
  <c r="AL30" i="2" s="1"/>
  <c r="AO30" i="2" s="1"/>
  <c r="AI30" i="2"/>
  <c r="AJ29" i="2"/>
  <c r="AL29" i="2" s="1"/>
  <c r="AO29" i="2" s="1"/>
  <c r="AI29" i="2"/>
  <c r="AK29" i="2" s="1"/>
  <c r="AN29" i="2" s="1"/>
  <c r="AJ28" i="2"/>
  <c r="AL28" i="2" s="1"/>
  <c r="AO28" i="2" s="1"/>
  <c r="AI28" i="2"/>
  <c r="AK28" i="2" s="1"/>
  <c r="AN28" i="2" s="1"/>
  <c r="AJ27" i="2"/>
  <c r="AL27" i="2" s="1"/>
  <c r="AO27" i="2" s="1"/>
  <c r="AI27" i="2"/>
  <c r="AK27" i="2" s="1"/>
  <c r="AN27" i="2" s="1"/>
  <c r="AL26" i="2"/>
  <c r="AO26" i="2" s="1"/>
  <c r="AJ26" i="2"/>
  <c r="AI26" i="2"/>
  <c r="AK26" i="2" s="1"/>
  <c r="AN26" i="2" s="1"/>
  <c r="AJ25" i="2"/>
  <c r="AL25" i="2" s="1"/>
  <c r="AO25" i="2" s="1"/>
  <c r="AI25" i="2"/>
  <c r="AK25" i="2" s="1"/>
  <c r="AN25" i="2" s="1"/>
  <c r="AL24" i="2"/>
  <c r="AO24" i="2" s="1"/>
  <c r="AJ24" i="2"/>
  <c r="AI24" i="2"/>
  <c r="AK24" i="2" s="1"/>
  <c r="AN24" i="2" s="1"/>
  <c r="AJ23" i="2"/>
  <c r="AL23" i="2" s="1"/>
  <c r="AO23" i="2" s="1"/>
  <c r="AI23" i="2"/>
  <c r="AK23" i="2" s="1"/>
  <c r="AN23" i="2" s="1"/>
  <c r="AL22" i="2"/>
  <c r="AO22" i="2" s="1"/>
  <c r="AJ22" i="2"/>
  <c r="AI22" i="2"/>
  <c r="AK22" i="2" s="1"/>
  <c r="AN22" i="2" s="1"/>
  <c r="AJ21" i="2"/>
  <c r="AL21" i="2" s="1"/>
  <c r="AO21" i="2" s="1"/>
  <c r="AI21" i="2"/>
  <c r="AK21" i="2" s="1"/>
  <c r="AN21" i="2" s="1"/>
  <c r="AL20" i="2"/>
  <c r="AO20" i="2" s="1"/>
  <c r="AJ20" i="2"/>
  <c r="AI20" i="2"/>
  <c r="AK20" i="2" s="1"/>
  <c r="AN20" i="2" s="1"/>
  <c r="AJ19" i="2"/>
  <c r="AL19" i="2" s="1"/>
  <c r="AO19" i="2" s="1"/>
  <c r="AI19" i="2"/>
  <c r="AK19" i="2" s="1"/>
  <c r="AN19" i="2" s="1"/>
  <c r="AL18" i="2"/>
  <c r="AO18" i="2" s="1"/>
  <c r="AJ18" i="2"/>
  <c r="AI18" i="2"/>
  <c r="AK18" i="2" s="1"/>
  <c r="AN18" i="2" s="1"/>
  <c r="AJ17" i="2"/>
  <c r="AL17" i="2" s="1"/>
  <c r="AO17" i="2" s="1"/>
  <c r="AI17" i="2"/>
  <c r="AK17" i="2" s="1"/>
  <c r="AN17" i="2" s="1"/>
  <c r="AL16" i="2"/>
  <c r="AO16" i="2" s="1"/>
  <c r="AJ16" i="2"/>
  <c r="AI16" i="2"/>
  <c r="AK16" i="2" s="1"/>
  <c r="AN16" i="2" s="1"/>
  <c r="AJ15" i="2"/>
  <c r="AL15" i="2" s="1"/>
  <c r="AO15" i="2" s="1"/>
  <c r="AI15" i="2"/>
  <c r="AK15" i="2" s="1"/>
  <c r="AN15" i="2" s="1"/>
  <c r="AJ14" i="2"/>
  <c r="AL14" i="2" s="1"/>
  <c r="AO14" i="2" s="1"/>
  <c r="AI14" i="2"/>
  <c r="AK14" i="2" s="1"/>
  <c r="AN14" i="2" s="1"/>
  <c r="AJ13" i="2"/>
  <c r="AL13" i="2" s="1"/>
  <c r="AO13" i="2" s="1"/>
  <c r="AI13" i="2"/>
  <c r="AK13" i="2" s="1"/>
  <c r="AN13" i="2" s="1"/>
  <c r="AJ12" i="2"/>
  <c r="AL12" i="2" s="1"/>
  <c r="AO12" i="2" s="1"/>
  <c r="AI12" i="2"/>
  <c r="AK12" i="2" s="1"/>
  <c r="AN12" i="2" s="1"/>
  <c r="AJ11" i="2"/>
  <c r="AL11" i="2" s="1"/>
  <c r="AO11" i="2" s="1"/>
  <c r="AI11" i="2"/>
  <c r="AK11" i="2" s="1"/>
  <c r="AN11" i="2" s="1"/>
  <c r="AJ10" i="2"/>
  <c r="AL10" i="2" s="1"/>
  <c r="AO10" i="2" s="1"/>
  <c r="AI10" i="2"/>
  <c r="AK10" i="2" s="1"/>
  <c r="AN10" i="2" s="1"/>
  <c r="AJ9" i="2"/>
  <c r="AL9" i="2" s="1"/>
  <c r="AO9" i="2" s="1"/>
  <c r="AI9" i="2"/>
  <c r="AK9" i="2" s="1"/>
  <c r="AN9" i="2" s="1"/>
  <c r="AJ8" i="2"/>
  <c r="AL8" i="2" s="1"/>
  <c r="AO8" i="2" s="1"/>
  <c r="AI8" i="2"/>
  <c r="AK8" i="2" s="1"/>
  <c r="AN8" i="2" s="1"/>
  <c r="AJ7" i="2"/>
  <c r="AL7" i="2" s="1"/>
  <c r="AO7" i="2" s="1"/>
  <c r="AI7" i="2"/>
  <c r="AK7" i="2" s="1"/>
  <c r="AN7" i="2" s="1"/>
  <c r="AJ6" i="2"/>
  <c r="AL6" i="2" s="1"/>
  <c r="AO6" i="2" s="1"/>
  <c r="AI6" i="2"/>
  <c r="AK6" i="2" s="1"/>
  <c r="AN6" i="2" s="1"/>
  <c r="AJ5" i="2"/>
  <c r="AL5" i="2" s="1"/>
  <c r="AO5" i="2" s="1"/>
  <c r="AI5" i="2"/>
  <c r="AK5" i="2" s="1"/>
  <c r="AN5" i="2" s="1"/>
  <c r="AJ4" i="2"/>
  <c r="AL4" i="2" s="1"/>
  <c r="AO4" i="2" s="1"/>
  <c r="AI4" i="2"/>
  <c r="AK4" i="2" s="1"/>
  <c r="AN4" i="2" s="1"/>
  <c r="AA5" i="2"/>
  <c r="AB5" i="2"/>
  <c r="AA6" i="2"/>
  <c r="AB6" i="2"/>
  <c r="AA7" i="2"/>
  <c r="AB7" i="2"/>
  <c r="AA8" i="2"/>
  <c r="AB8" i="2"/>
  <c r="AA9" i="2"/>
  <c r="AB9" i="2"/>
  <c r="AA10" i="2"/>
  <c r="AB10" i="2"/>
  <c r="AA11" i="2"/>
  <c r="AB11" i="2"/>
  <c r="AA12" i="2"/>
  <c r="AB12" i="2"/>
  <c r="AA13" i="2"/>
  <c r="AB13" i="2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26" i="2"/>
  <c r="AB26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AA35" i="2"/>
  <c r="AB35" i="2"/>
  <c r="AA36" i="2"/>
  <c r="AB36" i="2"/>
  <c r="AA37" i="2"/>
  <c r="AB37" i="2"/>
  <c r="AA38" i="2"/>
  <c r="AB38" i="2"/>
  <c r="AA39" i="2"/>
  <c r="AB39" i="2"/>
  <c r="AA40" i="2"/>
  <c r="AB40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A48" i="2"/>
  <c r="AB48" i="2"/>
  <c r="AA49" i="2"/>
  <c r="AB49" i="2"/>
  <c r="AA50" i="2"/>
  <c r="AB50" i="2"/>
  <c r="AA51" i="2"/>
  <c r="AB51" i="2"/>
  <c r="AA52" i="2"/>
  <c r="AB52" i="2"/>
  <c r="AA53" i="2"/>
  <c r="AB53" i="2"/>
  <c r="AA54" i="2"/>
  <c r="AB54" i="2"/>
  <c r="AA55" i="2"/>
  <c r="AB55" i="2"/>
  <c r="AA56" i="2"/>
  <c r="AB56" i="2"/>
  <c r="AA57" i="2"/>
  <c r="AB57" i="2"/>
  <c r="AA58" i="2"/>
  <c r="AB58" i="2"/>
  <c r="AA59" i="2"/>
  <c r="AB59" i="2"/>
  <c r="AA60" i="2"/>
  <c r="AB60" i="2"/>
  <c r="AA61" i="2"/>
  <c r="AB61" i="2"/>
  <c r="AA62" i="2"/>
  <c r="AB62" i="2"/>
  <c r="AA63" i="2"/>
  <c r="AB63" i="2"/>
  <c r="AA64" i="2"/>
  <c r="AB64" i="2"/>
  <c r="AA65" i="2"/>
  <c r="AB65" i="2"/>
  <c r="AA66" i="2"/>
  <c r="AB66" i="2"/>
  <c r="AB4" i="2"/>
  <c r="AA4" i="2"/>
  <c r="W66" i="2"/>
  <c r="Y66" i="2" s="1"/>
  <c r="V66" i="2"/>
  <c r="X66" i="2" s="1"/>
  <c r="Y65" i="2"/>
  <c r="X65" i="2"/>
  <c r="W65" i="2"/>
  <c r="V65" i="2"/>
  <c r="X64" i="2"/>
  <c r="W64" i="2"/>
  <c r="Y64" i="2" s="1"/>
  <c r="V64" i="2"/>
  <c r="W63" i="2"/>
  <c r="Y63" i="2" s="1"/>
  <c r="V63" i="2"/>
  <c r="X63" i="2" s="1"/>
  <c r="Y62" i="2"/>
  <c r="X62" i="2"/>
  <c r="W62" i="2"/>
  <c r="V62" i="2"/>
  <c r="X61" i="2"/>
  <c r="W61" i="2"/>
  <c r="Y61" i="2" s="1"/>
  <c r="V61" i="2"/>
  <c r="W60" i="2"/>
  <c r="Y60" i="2" s="1"/>
  <c r="V60" i="2"/>
  <c r="X60" i="2" s="1"/>
  <c r="Y59" i="2"/>
  <c r="X59" i="2"/>
  <c r="W59" i="2"/>
  <c r="V59" i="2"/>
  <c r="X58" i="2"/>
  <c r="W58" i="2"/>
  <c r="Y58" i="2" s="1"/>
  <c r="V58" i="2"/>
  <c r="W57" i="2"/>
  <c r="Y57" i="2" s="1"/>
  <c r="V57" i="2"/>
  <c r="X57" i="2" s="1"/>
  <c r="Y56" i="2"/>
  <c r="X56" i="2"/>
  <c r="W56" i="2"/>
  <c r="V56" i="2"/>
  <c r="X55" i="2"/>
  <c r="W55" i="2"/>
  <c r="Y55" i="2" s="1"/>
  <c r="V55" i="2"/>
  <c r="W54" i="2"/>
  <c r="Y54" i="2" s="1"/>
  <c r="V54" i="2"/>
  <c r="X54" i="2" s="1"/>
  <c r="Y53" i="2"/>
  <c r="X53" i="2"/>
  <c r="W53" i="2"/>
  <c r="V53" i="2"/>
  <c r="X52" i="2"/>
  <c r="W52" i="2"/>
  <c r="Y52" i="2" s="1"/>
  <c r="V52" i="2"/>
  <c r="W51" i="2"/>
  <c r="Y51" i="2" s="1"/>
  <c r="V51" i="2"/>
  <c r="X51" i="2" s="1"/>
  <c r="Y50" i="2"/>
  <c r="X50" i="2"/>
  <c r="W50" i="2"/>
  <c r="V50" i="2"/>
  <c r="X49" i="2"/>
  <c r="W49" i="2"/>
  <c r="Y49" i="2" s="1"/>
  <c r="V49" i="2"/>
  <c r="W48" i="2"/>
  <c r="Y48" i="2" s="1"/>
  <c r="V48" i="2"/>
  <c r="X48" i="2" s="1"/>
  <c r="Y47" i="2"/>
  <c r="X47" i="2"/>
  <c r="W47" i="2"/>
  <c r="V47" i="2"/>
  <c r="X46" i="2"/>
  <c r="W46" i="2"/>
  <c r="Y46" i="2" s="1"/>
  <c r="V46" i="2"/>
  <c r="W45" i="2"/>
  <c r="Y45" i="2" s="1"/>
  <c r="V45" i="2"/>
  <c r="X45" i="2" s="1"/>
  <c r="Y44" i="2"/>
  <c r="X44" i="2"/>
  <c r="W44" i="2"/>
  <c r="V44" i="2"/>
  <c r="X43" i="2"/>
  <c r="W43" i="2"/>
  <c r="Y43" i="2" s="1"/>
  <c r="V43" i="2"/>
  <c r="W42" i="2"/>
  <c r="Y42" i="2" s="1"/>
  <c r="V42" i="2"/>
  <c r="X42" i="2" s="1"/>
  <c r="Y41" i="2"/>
  <c r="X41" i="2"/>
  <c r="W41" i="2"/>
  <c r="V41" i="2"/>
  <c r="X40" i="2"/>
  <c r="W40" i="2"/>
  <c r="Y40" i="2" s="1"/>
  <c r="V40" i="2"/>
  <c r="X39" i="2"/>
  <c r="W39" i="2"/>
  <c r="Y39" i="2" s="1"/>
  <c r="V39" i="2"/>
  <c r="Y38" i="2"/>
  <c r="X38" i="2"/>
  <c r="W38" i="2"/>
  <c r="V38" i="2"/>
  <c r="X37" i="2"/>
  <c r="W37" i="2"/>
  <c r="Y37" i="2" s="1"/>
  <c r="V37" i="2"/>
  <c r="X36" i="2"/>
  <c r="W36" i="2"/>
  <c r="Y36" i="2" s="1"/>
  <c r="V36" i="2"/>
  <c r="Y35" i="2"/>
  <c r="X35" i="2"/>
  <c r="W35" i="2"/>
  <c r="V35" i="2"/>
  <c r="X34" i="2"/>
  <c r="W34" i="2"/>
  <c r="Y34" i="2" s="1"/>
  <c r="V34" i="2"/>
  <c r="W33" i="2"/>
  <c r="Y33" i="2" s="1"/>
  <c r="V33" i="2"/>
  <c r="X33" i="2" s="1"/>
  <c r="Y32" i="2"/>
  <c r="X32" i="2"/>
  <c r="W32" i="2"/>
  <c r="V32" i="2"/>
  <c r="X31" i="2"/>
  <c r="W31" i="2"/>
  <c r="Y31" i="2" s="1"/>
  <c r="V31" i="2"/>
  <c r="W30" i="2"/>
  <c r="Y30" i="2" s="1"/>
  <c r="V30" i="2"/>
  <c r="X30" i="2" s="1"/>
  <c r="Y29" i="2"/>
  <c r="X29" i="2"/>
  <c r="W29" i="2"/>
  <c r="V29" i="2"/>
  <c r="X28" i="2"/>
  <c r="W28" i="2"/>
  <c r="Y28" i="2" s="1"/>
  <c r="V28" i="2"/>
  <c r="W27" i="2"/>
  <c r="Y27" i="2" s="1"/>
  <c r="V27" i="2"/>
  <c r="X27" i="2" s="1"/>
  <c r="Y26" i="2"/>
  <c r="X26" i="2"/>
  <c r="W26" i="2"/>
  <c r="V26" i="2"/>
  <c r="X25" i="2"/>
  <c r="W25" i="2"/>
  <c r="Y25" i="2" s="1"/>
  <c r="V25" i="2"/>
  <c r="W24" i="2"/>
  <c r="Y24" i="2" s="1"/>
  <c r="V24" i="2"/>
  <c r="X24" i="2" s="1"/>
  <c r="Y23" i="2"/>
  <c r="X23" i="2"/>
  <c r="W23" i="2"/>
  <c r="V23" i="2"/>
  <c r="X22" i="2"/>
  <c r="W22" i="2"/>
  <c r="Y22" i="2" s="1"/>
  <c r="V22" i="2"/>
  <c r="W21" i="2"/>
  <c r="Y21" i="2" s="1"/>
  <c r="V21" i="2"/>
  <c r="X21" i="2" s="1"/>
  <c r="Y20" i="2"/>
  <c r="X20" i="2"/>
  <c r="W20" i="2"/>
  <c r="V20" i="2"/>
  <c r="X19" i="2"/>
  <c r="W19" i="2"/>
  <c r="Y19" i="2" s="1"/>
  <c r="V19" i="2"/>
  <c r="W18" i="2"/>
  <c r="Y18" i="2" s="1"/>
  <c r="V18" i="2"/>
  <c r="X18" i="2" s="1"/>
  <c r="Y17" i="2"/>
  <c r="X17" i="2"/>
  <c r="W17" i="2"/>
  <c r="V17" i="2"/>
  <c r="X16" i="2"/>
  <c r="W16" i="2"/>
  <c r="Y16" i="2" s="1"/>
  <c r="V16" i="2"/>
  <c r="W15" i="2"/>
  <c r="Y15" i="2" s="1"/>
  <c r="V15" i="2"/>
  <c r="X15" i="2" s="1"/>
  <c r="Y14" i="2"/>
  <c r="X14" i="2"/>
  <c r="W14" i="2"/>
  <c r="V14" i="2"/>
  <c r="X13" i="2"/>
  <c r="W13" i="2"/>
  <c r="Y13" i="2" s="1"/>
  <c r="V13" i="2"/>
  <c r="W12" i="2"/>
  <c r="Y12" i="2" s="1"/>
  <c r="V12" i="2"/>
  <c r="X12" i="2" s="1"/>
  <c r="Y11" i="2"/>
  <c r="X11" i="2"/>
  <c r="W11" i="2"/>
  <c r="V11" i="2"/>
  <c r="X10" i="2"/>
  <c r="W10" i="2"/>
  <c r="Y10" i="2" s="1"/>
  <c r="V10" i="2"/>
  <c r="W9" i="2"/>
  <c r="Y9" i="2" s="1"/>
  <c r="V9" i="2"/>
  <c r="X9" i="2" s="1"/>
  <c r="Y8" i="2"/>
  <c r="X8" i="2"/>
  <c r="W8" i="2"/>
  <c r="V8" i="2"/>
  <c r="X7" i="2"/>
  <c r="W7" i="2"/>
  <c r="Y7" i="2" s="1"/>
  <c r="V7" i="2"/>
  <c r="W6" i="2"/>
  <c r="Y6" i="2" s="1"/>
  <c r="V6" i="2"/>
  <c r="X6" i="2" s="1"/>
  <c r="Y5" i="2"/>
  <c r="X5" i="2"/>
  <c r="W5" i="2"/>
  <c r="V5" i="2"/>
  <c r="X4" i="2"/>
  <c r="W4" i="2"/>
  <c r="Y4" i="2" s="1"/>
  <c r="V4" i="2"/>
  <c r="H13" i="5" l="1"/>
  <c r="H12" i="5"/>
  <c r="AC51" i="1"/>
  <c r="Y8" i="1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M4" i="2"/>
  <c r="L4" i="2"/>
  <c r="K4" i="2"/>
  <c r="G4" i="2"/>
  <c r="F4" i="2"/>
  <c r="E4" i="2"/>
  <c r="AA25" i="1" l="1"/>
  <c r="Z50" i="1" s="1"/>
  <c r="Y25" i="1"/>
  <c r="X50" i="1" s="1"/>
  <c r="H15" i="5"/>
  <c r="H20" i="5" s="1"/>
  <c r="H14" i="5"/>
  <c r="H19" i="5" s="1"/>
  <c r="H21" i="5" l="1"/>
  <c r="U5" i="5" l="1"/>
  <c r="X27" i="1"/>
  <c r="AC27" i="1" s="1"/>
  <c r="U7" i="5" l="1"/>
  <c r="U8" i="5"/>
  <c r="J6" i="5"/>
  <c r="J4" i="5"/>
  <c r="J2" i="5"/>
  <c r="J6" i="1"/>
  <c r="J2" i="1"/>
  <c r="J4" i="1"/>
  <c r="U6" i="5" l="1"/>
  <c r="H16" i="5"/>
  <c r="H17" i="5"/>
  <c r="H21" i="1"/>
  <c r="N11" i="5" l="1"/>
  <c r="O11" i="5" s="1"/>
  <c r="P11" i="5" s="1"/>
  <c r="Q11" i="5" s="1"/>
  <c r="N12" i="5"/>
  <c r="O12" i="5" s="1"/>
  <c r="P12" i="5" s="1"/>
  <c r="Q12" i="5" s="1"/>
  <c r="N13" i="5"/>
  <c r="O13" i="5" s="1"/>
  <c r="P13" i="5" s="1"/>
  <c r="Q13" i="5" s="1"/>
  <c r="N14" i="5"/>
  <c r="O14" i="5" s="1"/>
  <c r="P14" i="5" s="1"/>
  <c r="Q14" i="5" s="1"/>
  <c r="N15" i="5"/>
  <c r="O15" i="5" s="1"/>
  <c r="P15" i="5" s="1"/>
  <c r="Q15" i="5" s="1"/>
  <c r="N16" i="5"/>
  <c r="O16" i="5" s="1"/>
  <c r="P16" i="5" s="1"/>
  <c r="Q16" i="5" s="1"/>
  <c r="N17" i="5"/>
  <c r="O17" i="5" s="1"/>
  <c r="P17" i="5" s="1"/>
  <c r="Q17" i="5" s="1"/>
  <c r="N18" i="5"/>
  <c r="O18" i="5" s="1"/>
  <c r="P18" i="5" s="1"/>
  <c r="Q18" i="5" s="1"/>
  <c r="N19" i="5"/>
  <c r="O19" i="5" s="1"/>
  <c r="P19" i="5" s="1"/>
  <c r="Q19" i="5" s="1"/>
  <c r="N20" i="5"/>
  <c r="O20" i="5" s="1"/>
  <c r="P20" i="5" s="1"/>
  <c r="Q20" i="5" s="1"/>
  <c r="N21" i="5"/>
  <c r="O21" i="5" s="1"/>
  <c r="P21" i="5" s="1"/>
  <c r="Q21" i="5" s="1"/>
  <c r="N22" i="5"/>
  <c r="O22" i="5" s="1"/>
  <c r="P22" i="5" s="1"/>
  <c r="Q22" i="5" s="1"/>
  <c r="N23" i="5"/>
  <c r="O23" i="5" s="1"/>
  <c r="P23" i="5" s="1"/>
  <c r="Q23" i="5" s="1"/>
  <c r="N24" i="5"/>
  <c r="O24" i="5" s="1"/>
  <c r="P24" i="5" s="1"/>
  <c r="Q24" i="5" s="1"/>
  <c r="N25" i="5"/>
  <c r="O25" i="5" s="1"/>
  <c r="N26" i="5"/>
  <c r="N27" i="5"/>
  <c r="N28" i="5"/>
  <c r="N29" i="5"/>
  <c r="N30" i="5"/>
  <c r="N10" i="5"/>
  <c r="H20" i="1"/>
  <c r="H16" i="1" s="1"/>
  <c r="O10" i="5" l="1"/>
  <c r="P10" i="5" s="1"/>
  <c r="Q10" i="5" s="1"/>
  <c r="O26" i="5"/>
  <c r="P25" i="5"/>
  <c r="Q25" i="5" s="1"/>
  <c r="O50" i="1"/>
  <c r="P26" i="5" l="1"/>
  <c r="Q26" i="5" s="1"/>
  <c r="O27" i="5"/>
  <c r="H17" i="1"/>
  <c r="P27" i="5" l="1"/>
  <c r="Q27" i="5" s="1"/>
  <c r="O28" i="5"/>
  <c r="H19" i="1"/>
  <c r="Q27" i="1" s="1"/>
  <c r="O29" i="5" l="1"/>
  <c r="P28" i="5"/>
  <c r="Q28" i="5" s="1"/>
  <c r="S50" i="1"/>
  <c r="N49" i="1"/>
  <c r="R49" i="1" s="1"/>
  <c r="N48" i="1"/>
  <c r="R48" i="1" s="1"/>
  <c r="N47" i="1"/>
  <c r="R47" i="1" s="1"/>
  <c r="N46" i="1"/>
  <c r="R46" i="1" s="1"/>
  <c r="N45" i="1"/>
  <c r="R45" i="1" s="1"/>
  <c r="N44" i="1"/>
  <c r="R44" i="1" s="1"/>
  <c r="N43" i="1"/>
  <c r="R43" i="1" s="1"/>
  <c r="N42" i="1"/>
  <c r="R42" i="1" s="1"/>
  <c r="N41" i="1"/>
  <c r="R41" i="1" s="1"/>
  <c r="N40" i="1"/>
  <c r="R40" i="1" s="1"/>
  <c r="N39" i="1"/>
  <c r="R39" i="1" s="1"/>
  <c r="N38" i="1"/>
  <c r="R38" i="1" s="1"/>
  <c r="N37" i="1"/>
  <c r="R37" i="1" s="1"/>
  <c r="N36" i="1"/>
  <c r="R36" i="1" s="1"/>
  <c r="N35" i="1"/>
  <c r="R35" i="1" s="1"/>
  <c r="N34" i="1"/>
  <c r="R34" i="1" s="1"/>
  <c r="N33" i="1"/>
  <c r="R33" i="1" s="1"/>
  <c r="N32" i="1"/>
  <c r="R32" i="1" s="1"/>
  <c r="N31" i="1"/>
  <c r="R31" i="1" s="1"/>
  <c r="N30" i="1"/>
  <c r="R30" i="1" s="1"/>
  <c r="N29" i="1"/>
  <c r="N28" i="1"/>
  <c r="V27" i="1"/>
  <c r="Y50" i="1" l="1"/>
  <c r="Y10" i="1" s="1"/>
  <c r="Q29" i="1"/>
  <c r="R29" i="1"/>
  <c r="R28" i="1"/>
  <c r="Q28" i="1"/>
  <c r="O30" i="5"/>
  <c r="P29" i="5"/>
  <c r="Q29" i="5" s="1"/>
  <c r="O28" i="1"/>
  <c r="V28" i="1" s="1"/>
  <c r="AA28" i="1" s="1"/>
  <c r="Q37" i="1"/>
  <c r="O37" i="1"/>
  <c r="V37" i="1" s="1"/>
  <c r="AA37" i="1" s="1"/>
  <c r="Q31" i="1"/>
  <c r="O31" i="1"/>
  <c r="V31" i="1" s="1"/>
  <c r="AA31" i="1" s="1"/>
  <c r="Q44" i="1"/>
  <c r="O44" i="1"/>
  <c r="V44" i="1" s="1"/>
  <c r="AA44" i="1" s="1"/>
  <c r="Q32" i="1"/>
  <c r="O32" i="1"/>
  <c r="V32" i="1" s="1"/>
  <c r="AA32" i="1" s="1"/>
  <c r="Q48" i="1"/>
  <c r="O48" i="1"/>
  <c r="V48" i="1" s="1"/>
  <c r="AA48" i="1" s="1"/>
  <c r="Q41" i="1"/>
  <c r="O41" i="1"/>
  <c r="V41" i="1" s="1"/>
  <c r="AA41" i="1" s="1"/>
  <c r="Q49" i="1"/>
  <c r="O49" i="1"/>
  <c r="V49" i="1" s="1"/>
  <c r="AA49" i="1" s="1"/>
  <c r="O29" i="1"/>
  <c r="V29" i="1" s="1"/>
  <c r="AA29" i="1" s="1"/>
  <c r="Q30" i="1"/>
  <c r="O30" i="1"/>
  <c r="V30" i="1" s="1"/>
  <c r="AA30" i="1" s="1"/>
  <c r="Q39" i="1"/>
  <c r="O39" i="1"/>
  <c r="V39" i="1" s="1"/>
  <c r="AA39" i="1" s="1"/>
  <c r="Q40" i="1"/>
  <c r="O40" i="1"/>
  <c r="V40" i="1" s="1"/>
  <c r="AA40" i="1" s="1"/>
  <c r="Q33" i="1"/>
  <c r="O33" i="1"/>
  <c r="V33" i="1" s="1"/>
  <c r="AA33" i="1" s="1"/>
  <c r="Q34" i="1"/>
  <c r="O34" i="1"/>
  <c r="V34" i="1" s="1"/>
  <c r="AA34" i="1" s="1"/>
  <c r="Q42" i="1"/>
  <c r="O42" i="1"/>
  <c r="V42" i="1" s="1"/>
  <c r="AA42" i="1" s="1"/>
  <c r="Q36" i="1"/>
  <c r="O36" i="1"/>
  <c r="V36" i="1" s="1"/>
  <c r="AA36" i="1" s="1"/>
  <c r="Q45" i="1"/>
  <c r="O45" i="1"/>
  <c r="V45" i="1" s="1"/>
  <c r="AA45" i="1" s="1"/>
  <c r="Q38" i="1"/>
  <c r="O38" i="1"/>
  <c r="V38" i="1" s="1"/>
  <c r="AA38" i="1" s="1"/>
  <c r="Q46" i="1"/>
  <c r="O46" i="1"/>
  <c r="V46" i="1" s="1"/>
  <c r="AA46" i="1" s="1"/>
  <c r="Q47" i="1"/>
  <c r="O47" i="1"/>
  <c r="V47" i="1" s="1"/>
  <c r="AA47" i="1" s="1"/>
  <c r="Q35" i="1"/>
  <c r="O35" i="1"/>
  <c r="V35" i="1" s="1"/>
  <c r="AA35" i="1" s="1"/>
  <c r="Q43" i="1"/>
  <c r="O43" i="1"/>
  <c r="V43" i="1" s="1"/>
  <c r="AA43" i="1" s="1"/>
  <c r="U50" i="1"/>
  <c r="V50" i="1"/>
  <c r="AA50" i="1" s="1"/>
  <c r="S27" i="1"/>
  <c r="P46" i="1"/>
  <c r="P42" i="1"/>
  <c r="P38" i="1"/>
  <c r="P34" i="1"/>
  <c r="P30" i="1"/>
  <c r="P49" i="1"/>
  <c r="P45" i="1"/>
  <c r="P41" i="1"/>
  <c r="P37" i="1"/>
  <c r="P33" i="1"/>
  <c r="P28" i="1"/>
  <c r="P48" i="1"/>
  <c r="P44" i="1"/>
  <c r="P40" i="1"/>
  <c r="P36" i="1"/>
  <c r="P32" i="1"/>
  <c r="P29" i="1"/>
  <c r="P31" i="1"/>
  <c r="P35" i="1"/>
  <c r="P39" i="1"/>
  <c r="P43" i="1"/>
  <c r="P47" i="1"/>
  <c r="Y12" i="1" l="1"/>
  <c r="Z10" i="1"/>
  <c r="Z12" i="1" s="1"/>
  <c r="Y27" i="1"/>
  <c r="AD27" i="1" s="1"/>
  <c r="Y14" i="1"/>
  <c r="Z14" i="1"/>
  <c r="P30" i="5"/>
  <c r="Q30" i="5" s="1"/>
  <c r="O31" i="5"/>
  <c r="W45" i="1"/>
  <c r="Z45" i="1" s="1"/>
  <c r="S40" i="1"/>
  <c r="W41" i="1"/>
  <c r="Z41" i="1" s="1"/>
  <c r="W33" i="1"/>
  <c r="Z33" i="1" s="1"/>
  <c r="W49" i="1"/>
  <c r="S29" i="1"/>
  <c r="W37" i="1"/>
  <c r="Z37" i="1" s="1"/>
  <c r="S39" i="1"/>
  <c r="S34" i="1"/>
  <c r="S28" i="1"/>
  <c r="S32" i="1"/>
  <c r="S48" i="1"/>
  <c r="S37" i="1"/>
  <c r="S41" i="1"/>
  <c r="S45" i="1"/>
  <c r="S49" i="1"/>
  <c r="S31" i="1"/>
  <c r="S47" i="1"/>
  <c r="S42" i="1"/>
  <c r="S36" i="1"/>
  <c r="S35" i="1"/>
  <c r="S43" i="1"/>
  <c r="S30" i="1"/>
  <c r="S38" i="1"/>
  <c r="S46" i="1"/>
  <c r="S44" i="1"/>
  <c r="S33" i="1"/>
  <c r="W30" i="1"/>
  <c r="Z30" i="1" s="1"/>
  <c r="W42" i="1"/>
  <c r="Z42" i="1" s="1"/>
  <c r="W32" i="1"/>
  <c r="Z32" i="1" s="1"/>
  <c r="W40" i="1"/>
  <c r="Z40" i="1" s="1"/>
  <c r="W48" i="1"/>
  <c r="Z48" i="1" s="1"/>
  <c r="W29" i="1"/>
  <c r="Z29" i="1" s="1"/>
  <c r="U27" i="1"/>
  <c r="W35" i="1"/>
  <c r="Z35" i="1" s="1"/>
  <c r="W38" i="1"/>
  <c r="Z38" i="1" s="1"/>
  <c r="W28" i="1"/>
  <c r="Z28" i="1" s="1"/>
  <c r="W46" i="1"/>
  <c r="Z46" i="1" s="1"/>
  <c r="W31" i="1"/>
  <c r="Z31" i="1" s="1"/>
  <c r="W34" i="1"/>
  <c r="Z34" i="1" s="1"/>
  <c r="W36" i="1"/>
  <c r="Z36" i="1" s="1"/>
  <c r="W44" i="1"/>
  <c r="Z44" i="1" s="1"/>
  <c r="W39" i="1"/>
  <c r="Z39" i="1" s="1"/>
  <c r="W43" i="1"/>
  <c r="Z43" i="1" s="1"/>
  <c r="W47" i="1"/>
  <c r="Z47" i="1" s="1"/>
  <c r="Y43" i="1" l="1"/>
  <c r="AD43" i="1" s="1"/>
  <c r="Y29" i="1"/>
  <c r="AD29" i="1" s="1"/>
  <c r="Y35" i="1"/>
  <c r="AD35" i="1" s="1"/>
  <c r="Z49" i="1"/>
  <c r="Y15" i="1" s="1"/>
  <c r="Y36" i="1"/>
  <c r="AD36" i="1" s="1"/>
  <c r="Y31" i="1"/>
  <c r="AD31" i="1" s="1"/>
  <c r="Y45" i="1"/>
  <c r="AD45" i="1" s="1"/>
  <c r="Y42" i="1"/>
  <c r="AD42" i="1" s="1"/>
  <c r="Y49" i="1"/>
  <c r="AD49" i="1" s="1"/>
  <c r="Y41" i="1"/>
  <c r="AD41" i="1" s="1"/>
  <c r="Y48" i="1"/>
  <c r="AD48" i="1" s="1"/>
  <c r="Y33" i="1"/>
  <c r="AD33" i="1" s="1"/>
  <c r="Y32" i="1"/>
  <c r="AD32" i="1" s="1"/>
  <c r="Y30" i="1"/>
  <c r="AD30" i="1" s="1"/>
  <c r="Y40" i="1"/>
  <c r="AD40" i="1" s="1"/>
  <c r="Y44" i="1"/>
  <c r="AD44" i="1" s="1"/>
  <c r="Y28" i="1"/>
  <c r="AD28" i="1" s="1"/>
  <c r="Y38" i="1"/>
  <c r="AD38" i="1" s="1"/>
  <c r="Y39" i="1"/>
  <c r="AD39" i="1" s="1"/>
  <c r="Y47" i="1"/>
  <c r="AD47" i="1" s="1"/>
  <c r="Y37" i="1"/>
  <c r="AD37" i="1" s="1"/>
  <c r="Y46" i="1"/>
  <c r="AD46" i="1" s="1"/>
  <c r="Y34" i="1"/>
  <c r="AD34" i="1" s="1"/>
  <c r="Z15" i="1"/>
  <c r="O32" i="5"/>
  <c r="P32" i="5" s="1"/>
  <c r="P31" i="5"/>
  <c r="Q31" i="5" s="1"/>
  <c r="U37" i="1"/>
  <c r="U36" i="1"/>
  <c r="U49" i="1"/>
  <c r="T39" i="1"/>
  <c r="U47" i="1"/>
  <c r="U41" i="1"/>
  <c r="U39" i="1"/>
  <c r="U33" i="1"/>
  <c r="U42" i="1"/>
  <c r="U45" i="1"/>
  <c r="T47" i="1"/>
  <c r="T41" i="1"/>
  <c r="T28" i="1"/>
  <c r="T49" i="1"/>
  <c r="T36" i="1"/>
  <c r="U31" i="1"/>
  <c r="T34" i="1"/>
  <c r="U28" i="1"/>
  <c r="T45" i="1"/>
  <c r="T42" i="1"/>
  <c r="T31" i="1"/>
  <c r="T37" i="1"/>
  <c r="U34" i="1"/>
  <c r="T33" i="1"/>
  <c r="U44" i="1"/>
  <c r="T44" i="1"/>
  <c r="U43" i="1"/>
  <c r="T43" i="1"/>
  <c r="T29" i="1"/>
  <c r="U29" i="1"/>
  <c r="T46" i="1"/>
  <c r="U46" i="1"/>
  <c r="U35" i="1"/>
  <c r="T35" i="1"/>
  <c r="U48" i="1"/>
  <c r="T48" i="1"/>
  <c r="T30" i="1"/>
  <c r="U30" i="1"/>
  <c r="U40" i="1"/>
  <c r="T40" i="1"/>
  <c r="T38" i="1"/>
  <c r="U38" i="1"/>
  <c r="U32" i="1"/>
  <c r="T32" i="1"/>
  <c r="AB11" i="1" l="1"/>
  <c r="X32" i="1"/>
  <c r="AC32" i="1" s="1"/>
  <c r="X28" i="1"/>
  <c r="AC28" i="1" s="1"/>
  <c r="X33" i="1"/>
  <c r="AC33" i="1" s="1"/>
  <c r="X43" i="1"/>
  <c r="AC43" i="1" s="1"/>
  <c r="X36" i="1"/>
  <c r="AC36" i="1" s="1"/>
  <c r="X41" i="1"/>
  <c r="AC41" i="1" s="1"/>
  <c r="X46" i="1"/>
  <c r="AC46" i="1" s="1"/>
  <c r="X37" i="1"/>
  <c r="AC37" i="1" s="1"/>
  <c r="X49" i="1"/>
  <c r="AC49" i="1" s="1"/>
  <c r="X38" i="1"/>
  <c r="AC38" i="1" s="1"/>
  <c r="X30" i="1"/>
  <c r="AC30" i="1" s="1"/>
  <c r="X42" i="1"/>
  <c r="AC42" i="1" s="1"/>
  <c r="X39" i="1"/>
  <c r="AC39" i="1" s="1"/>
  <c r="X40" i="1"/>
  <c r="AC40" i="1" s="1"/>
  <c r="X31" i="1"/>
  <c r="AC31" i="1" s="1"/>
  <c r="X48" i="1"/>
  <c r="AC48" i="1" s="1"/>
  <c r="X45" i="1"/>
  <c r="AC45" i="1" s="1"/>
  <c r="X29" i="1"/>
  <c r="AC29" i="1" s="1"/>
  <c r="X35" i="1"/>
  <c r="AC35" i="1" s="1"/>
  <c r="X47" i="1"/>
  <c r="AC47" i="1" s="1"/>
  <c r="X44" i="1"/>
  <c r="AC44" i="1" s="1"/>
  <c r="X34" i="1"/>
  <c r="AC34" i="1" s="1"/>
  <c r="AC11" i="1"/>
  <c r="AC50" i="1"/>
  <c r="AD50" i="1" l="1"/>
  <c r="AC12" i="1"/>
  <c r="AD5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2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Currently using full depth, D, as apposed to distance to extreme compression fibre, d.
</t>
        </r>
      </text>
    </comment>
  </commentList>
</comments>
</file>

<file path=xl/sharedStrings.xml><?xml version="1.0" encoding="utf-8"?>
<sst xmlns="http://schemas.openxmlformats.org/spreadsheetml/2006/main" count="311" uniqueCount="175">
  <si>
    <t>Project:</t>
  </si>
  <si>
    <t>Structure:</t>
  </si>
  <si>
    <t>Dated :</t>
  </si>
  <si>
    <r>
      <t xml:space="preserve"> </t>
    </r>
    <r>
      <rPr>
        <b/>
        <i/>
        <sz val="10"/>
        <rFont val="Arial"/>
        <family val="2"/>
      </rPr>
      <t>Basis for Moment-Thrust Curve</t>
    </r>
  </si>
  <si>
    <t xml:space="preserve">  Rectangular Stress Block Diagram for SFRC</t>
  </si>
  <si>
    <t>Rectangular Stress Block Diagram for Plain Concrete</t>
  </si>
  <si>
    <t>Reference: AS5100 - Bridge Design</t>
  </si>
  <si>
    <t>mm</t>
  </si>
  <si>
    <r>
      <t>Characteristic compressive concrete cylinder strength, f '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</t>
    </r>
  </si>
  <si>
    <t>MPa</t>
  </si>
  <si>
    <r>
      <t>Characteristic flexural tensile strength of concrete, f'</t>
    </r>
    <r>
      <rPr>
        <vertAlign val="subscript"/>
        <sz val="10"/>
        <color indexed="8"/>
        <rFont val="Arial"/>
        <family val="2"/>
      </rPr>
      <t xml:space="preserve">cf </t>
    </r>
  </si>
  <si>
    <r>
      <t>Residual Characteristic Flexural Strength f</t>
    </r>
    <r>
      <rPr>
        <vertAlign val="subscript"/>
        <sz val="10"/>
        <color indexed="8"/>
        <rFont val="Arial"/>
        <family val="2"/>
      </rPr>
      <t>e</t>
    </r>
  </si>
  <si>
    <t xml:space="preserve">  </t>
  </si>
  <si>
    <t>Compression</t>
  </si>
  <si>
    <t>Tension</t>
  </si>
  <si>
    <t>SFRC</t>
  </si>
  <si>
    <t>PLAIN CONCRETE</t>
  </si>
  <si>
    <t>Depth to Neutral Axis</t>
  </si>
  <si>
    <r>
      <t>F</t>
    </r>
    <r>
      <rPr>
        <vertAlign val="subscript"/>
        <sz val="8"/>
        <rFont val="Arial"/>
        <family val="2"/>
      </rPr>
      <t>cu</t>
    </r>
  </si>
  <si>
    <t>Lever Arm</t>
  </si>
  <si>
    <r>
      <t>F</t>
    </r>
    <r>
      <rPr>
        <vertAlign val="subscript"/>
        <sz val="8"/>
        <rFont val="Arial"/>
        <family val="2"/>
      </rPr>
      <t>ct</t>
    </r>
  </si>
  <si>
    <t>Lever arm</t>
  </si>
  <si>
    <r>
      <t>N</t>
    </r>
    <r>
      <rPr>
        <vertAlign val="subscript"/>
        <sz val="8"/>
        <rFont val="Arial"/>
        <family val="2"/>
      </rPr>
      <t>u</t>
    </r>
  </si>
  <si>
    <r>
      <t>M</t>
    </r>
    <r>
      <rPr>
        <vertAlign val="subscript"/>
        <sz val="8"/>
        <rFont val="Arial"/>
        <family val="2"/>
      </rPr>
      <t>u</t>
    </r>
  </si>
  <si>
    <t>Unreinforced</t>
  </si>
  <si>
    <r>
      <t>fM</t>
    </r>
    <r>
      <rPr>
        <vertAlign val="subscript"/>
        <sz val="8"/>
        <rFont val="Arial"/>
        <family val="2"/>
      </rPr>
      <t>u</t>
    </r>
  </si>
  <si>
    <r>
      <t>fN</t>
    </r>
    <r>
      <rPr>
        <vertAlign val="subscript"/>
        <sz val="8"/>
        <rFont val="Arial"/>
        <family val="2"/>
      </rPr>
      <t>u</t>
    </r>
  </si>
  <si>
    <t>Ku</t>
  </si>
  <si>
    <r>
      <t>k</t>
    </r>
    <r>
      <rPr>
        <vertAlign val="subscript"/>
        <sz val="8"/>
        <rFont val="Arial"/>
        <family val="2"/>
      </rPr>
      <t>u</t>
    </r>
    <r>
      <rPr>
        <sz val="8"/>
        <rFont val="Arial"/>
        <family val="2"/>
      </rPr>
      <t>d</t>
    </r>
  </si>
  <si>
    <r>
      <t>0.5gk</t>
    </r>
    <r>
      <rPr>
        <vertAlign val="subscript"/>
        <sz val="8"/>
        <rFont val="Arial"/>
        <family val="2"/>
      </rPr>
      <t>u</t>
    </r>
    <r>
      <rPr>
        <sz val="8"/>
        <rFont val="Arial"/>
        <family val="2"/>
      </rPr>
      <t>d</t>
    </r>
  </si>
  <si>
    <r>
      <t>d-0.5g(d-k</t>
    </r>
    <r>
      <rPr>
        <vertAlign val="subscript"/>
        <sz val="8"/>
        <rFont val="Arial"/>
        <family val="2"/>
      </rPr>
      <t>u</t>
    </r>
    <r>
      <rPr>
        <sz val="8"/>
        <rFont val="Arial"/>
        <family val="2"/>
      </rPr>
      <t>d)</t>
    </r>
  </si>
  <si>
    <r>
      <t>F</t>
    </r>
    <r>
      <rPr>
        <vertAlign val="subscript"/>
        <sz val="8"/>
        <rFont val="Arial"/>
        <family val="2"/>
      </rPr>
      <t xml:space="preserve">ct </t>
    </r>
    <r>
      <rPr>
        <sz val="8"/>
        <rFont val="Arial"/>
        <family val="2"/>
      </rPr>
      <t>+ F</t>
    </r>
    <r>
      <rPr>
        <vertAlign val="subscript"/>
        <sz val="8"/>
        <rFont val="Arial"/>
        <family val="2"/>
      </rPr>
      <t>cu</t>
    </r>
  </si>
  <si>
    <t>(mm)</t>
  </si>
  <si>
    <t>(N/mm)</t>
  </si>
  <si>
    <t>Nu</t>
  </si>
  <si>
    <t>Mu</t>
  </si>
  <si>
    <t>-</t>
  </si>
  <si>
    <t>Full Tension</t>
  </si>
  <si>
    <t xml:space="preserve"> </t>
  </si>
  <si>
    <t>Full Compression</t>
  </si>
  <si>
    <t>Overall depth of section, D</t>
  </si>
  <si>
    <t>SF(kN)</t>
  </si>
  <si>
    <t>BM(kNm)</t>
  </si>
  <si>
    <t>AF(kN)</t>
  </si>
  <si>
    <t>Beam Number</t>
  </si>
  <si>
    <t>Analysis Results</t>
  </si>
  <si>
    <t>Design Values</t>
  </si>
  <si>
    <r>
      <t>Design Residual Flexural Strength, f'</t>
    </r>
    <r>
      <rPr>
        <vertAlign val="subscript"/>
        <sz val="10"/>
        <color indexed="8"/>
        <rFont val="Arial"/>
        <family val="2"/>
      </rPr>
      <t>eq</t>
    </r>
  </si>
  <si>
    <t>SFRC Moment -Thrust Curve</t>
  </si>
  <si>
    <t>Calculation of Steel Fibre Reinforced Concrete Capacity</t>
  </si>
  <si>
    <t>SFRC Shear -Thrust Curve</t>
  </si>
  <si>
    <r>
      <t>Maximum design compressive stress of concrete, α f'</t>
    </r>
    <r>
      <rPr>
        <vertAlign val="subscript"/>
        <sz val="10"/>
        <color indexed="8"/>
        <rFont val="Arial"/>
        <family val="2"/>
      </rPr>
      <t>c</t>
    </r>
  </si>
  <si>
    <r>
      <t>αf'</t>
    </r>
    <r>
      <rPr>
        <vertAlign val="subscript"/>
        <sz val="8"/>
        <rFont val="Arial"/>
        <family val="2"/>
      </rPr>
      <t>c</t>
    </r>
    <r>
      <rPr>
        <sz val="8"/>
        <rFont val="Arial"/>
        <family val="2"/>
      </rPr>
      <t>gk</t>
    </r>
    <r>
      <rPr>
        <vertAlign val="subscript"/>
        <sz val="8"/>
        <rFont val="Arial"/>
        <family val="2"/>
      </rPr>
      <t>u</t>
    </r>
    <r>
      <rPr>
        <sz val="8"/>
        <rFont val="Arial"/>
        <family val="2"/>
      </rPr>
      <t>d</t>
    </r>
  </si>
  <si>
    <t>Depth to neutral axis</t>
  </si>
  <si>
    <t>Axial capacity</t>
  </si>
  <si>
    <r>
      <t>k</t>
    </r>
    <r>
      <rPr>
        <vertAlign val="subscript"/>
        <sz val="10"/>
        <rFont val="Arial"/>
        <family val="2"/>
      </rPr>
      <t>u</t>
    </r>
  </si>
  <si>
    <r>
      <t>k</t>
    </r>
    <r>
      <rPr>
        <vertAlign val="subscript"/>
        <sz val="10"/>
        <rFont val="Arial"/>
        <family val="2"/>
      </rPr>
      <t>u</t>
    </r>
    <r>
      <rPr>
        <sz val="10"/>
        <rFont val="Arial"/>
        <family val="2"/>
      </rPr>
      <t xml:space="preserve"> D</t>
    </r>
  </si>
  <si>
    <t>[mm]</t>
  </si>
  <si>
    <t>[kN]</t>
  </si>
  <si>
    <t>[MPa]</t>
  </si>
  <si>
    <t>Calculation of ultimate column capacity with shear</t>
  </si>
  <si>
    <t>Section width, b</t>
  </si>
  <si>
    <t>Steel fibre as TR63</t>
  </si>
  <si>
    <r>
      <t xml:space="preserve">Fibre tension loss, </t>
    </r>
    <r>
      <rPr>
        <i/>
        <sz val="10"/>
        <color rgb="FF000000"/>
        <rFont val="Arial"/>
        <family val="2"/>
      </rPr>
      <t>h</t>
    </r>
    <r>
      <rPr>
        <i/>
        <vertAlign val="subscript"/>
        <sz val="10"/>
        <color rgb="FF000000"/>
        <rFont val="Arial"/>
        <family val="2"/>
      </rPr>
      <t>fl</t>
    </r>
  </si>
  <si>
    <t>Coefficient, α</t>
  </si>
  <si>
    <r>
      <t xml:space="preserve">Factor, </t>
    </r>
    <r>
      <rPr>
        <sz val="10"/>
        <color rgb="FF000000"/>
        <rFont val="Symbol"/>
        <family val="1"/>
        <charset val="2"/>
      </rPr>
      <t>g</t>
    </r>
  </si>
  <si>
    <t>CALCULATION SHEET</t>
  </si>
  <si>
    <t>By:</t>
  </si>
  <si>
    <t>Verified:</t>
  </si>
  <si>
    <t>Checked:</t>
  </si>
  <si>
    <t>Design value</t>
  </si>
  <si>
    <t>Calculation of ultimate column capacity with bending</t>
  </si>
  <si>
    <t>Cut off at 75%</t>
  </si>
  <si>
    <r>
      <rPr>
        <sz val="8"/>
        <rFont val="Symbol"/>
        <family val="1"/>
        <charset val="2"/>
      </rPr>
      <t>f</t>
    </r>
    <r>
      <rPr>
        <sz val="8"/>
        <rFont val="Arial"/>
        <family val="2"/>
      </rPr>
      <t xml:space="preserve"> = </t>
    </r>
  </si>
  <si>
    <r>
      <t xml:space="preserve">Reduction factor, </t>
    </r>
    <r>
      <rPr>
        <sz val="11"/>
        <color theme="1"/>
        <rFont val="Symbol"/>
        <family val="1"/>
        <charset val="2"/>
      </rPr>
      <t>f</t>
    </r>
  </si>
  <si>
    <r>
      <t>0.9(d-k</t>
    </r>
    <r>
      <rPr>
        <vertAlign val="subscript"/>
        <sz val="8"/>
        <rFont val="Arial"/>
        <family val="2"/>
      </rPr>
      <t>u</t>
    </r>
    <r>
      <rPr>
        <sz val="8"/>
        <rFont val="Arial"/>
        <family val="2"/>
      </rPr>
      <t>d)f</t>
    </r>
    <r>
      <rPr>
        <vertAlign val="subscript"/>
        <sz val="8"/>
        <rFont val="Arial"/>
        <family val="2"/>
      </rPr>
      <t>e</t>
    </r>
  </si>
  <si>
    <t>k</t>
  </si>
  <si>
    <t>k1</t>
  </si>
  <si>
    <t>Section 6.3.1 beam shear stats the equations for shear resistance of reinforced concrete without web reinforcement.</t>
  </si>
  <si>
    <t>The design shear strength of SFRC slabs without reinforcement bars for flexure shall follow equations 39 to 43, which are based on the ENV version of Eurocode 2.</t>
  </si>
  <si>
    <r>
      <t>f</t>
    </r>
    <r>
      <rPr>
        <vertAlign val="subscript"/>
        <sz val="10"/>
        <rFont val="Arial"/>
        <family val="2"/>
      </rPr>
      <t>ck</t>
    </r>
  </si>
  <si>
    <r>
      <t>V</t>
    </r>
    <r>
      <rPr>
        <vertAlign val="subscript"/>
        <sz val="10"/>
        <rFont val="Arial"/>
        <family val="2"/>
      </rPr>
      <t>min</t>
    </r>
  </si>
  <si>
    <t>Compressive stress</t>
  </si>
  <si>
    <r>
      <rPr>
        <sz val="12"/>
        <rFont val="Calibri"/>
        <family val="2"/>
      </rPr>
      <t>σ</t>
    </r>
    <r>
      <rPr>
        <vertAlign val="subscript"/>
        <sz val="10"/>
        <rFont val="Arial"/>
        <family val="2"/>
      </rPr>
      <t>cp</t>
    </r>
  </si>
  <si>
    <r>
      <rPr>
        <sz val="10"/>
        <rFont val="Symbol"/>
        <family val="1"/>
        <charset val="2"/>
      </rPr>
      <t>f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>Rd.c</t>
    </r>
  </si>
  <si>
    <t>Shear Strength</t>
  </si>
  <si>
    <r>
      <rPr>
        <sz val="10"/>
        <rFont val="Symbol"/>
        <family val="1"/>
        <charset val="2"/>
      </rPr>
      <t>f</t>
    </r>
    <r>
      <rPr>
        <sz val="10"/>
        <rFont val="Arial"/>
        <family val="2"/>
      </rPr>
      <t>N</t>
    </r>
    <r>
      <rPr>
        <vertAlign val="subscript"/>
        <sz val="10"/>
        <rFont val="Arial"/>
        <family val="2"/>
      </rPr>
      <t>u</t>
    </r>
  </si>
  <si>
    <t>kPa</t>
  </si>
  <si>
    <r>
      <t>Concrete design strength in compression, f</t>
    </r>
    <r>
      <rPr>
        <vertAlign val="subscript"/>
        <sz val="11"/>
        <color theme="1"/>
        <rFont val="Calibri"/>
        <family val="2"/>
        <scheme val="minor"/>
      </rPr>
      <t>cd</t>
    </r>
  </si>
  <si>
    <r>
      <t>Concrete design strength in tension, f</t>
    </r>
    <r>
      <rPr>
        <vertAlign val="subscript"/>
        <sz val="11"/>
        <color theme="1"/>
        <rFont val="Calibri"/>
        <family val="2"/>
        <scheme val="minor"/>
      </rPr>
      <t>ctd</t>
    </r>
  </si>
  <si>
    <r>
      <rPr>
        <sz val="10"/>
        <rFont val="Arial"/>
        <family val="2"/>
      </rPr>
      <t xml:space="preserve">Concrete compressive stress, 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c,lim</t>
    </r>
  </si>
  <si>
    <r>
      <t xml:space="preserve">Shear strength material factor, </t>
    </r>
    <r>
      <rPr>
        <sz val="11"/>
        <rFont val="Symbol"/>
        <family val="1"/>
        <charset val="2"/>
      </rPr>
      <t>g</t>
    </r>
  </si>
  <si>
    <t>TR63 Section 6.3</t>
  </si>
  <si>
    <t>Reference: TR63</t>
  </si>
  <si>
    <t>EC2 Section 6.2.2</t>
  </si>
  <si>
    <t>Compression cut-off</t>
  </si>
  <si>
    <t>LF</t>
  </si>
  <si>
    <t>LC2</t>
  </si>
  <si>
    <t>LC1</t>
  </si>
  <si>
    <t>Minimum eccentricity (for graph)</t>
  </si>
  <si>
    <r>
      <t>e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= 0.05D</t>
    </r>
  </si>
  <si>
    <t>Nuo</t>
  </si>
  <si>
    <t>Mmax</t>
  </si>
  <si>
    <r>
      <t xml:space="preserve">0.95 </t>
    </r>
    <r>
      <rPr>
        <sz val="12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 xml:space="preserve"> N</t>
    </r>
    <r>
      <rPr>
        <vertAlign val="subscript"/>
        <sz val="11"/>
        <color theme="1"/>
        <rFont val="Calibri"/>
        <family val="2"/>
        <scheme val="minor"/>
      </rPr>
      <t>u</t>
    </r>
  </si>
  <si>
    <t>Vfd</t>
  </si>
  <si>
    <t>ST3-Crown-Abs</t>
  </si>
  <si>
    <t>X</t>
  </si>
  <si>
    <t>Y</t>
  </si>
  <si>
    <t>Liner Node Numbers</t>
  </si>
  <si>
    <t>Moment [MNm]</t>
  </si>
  <si>
    <t>Axial Force [MN] (compression positive)</t>
  </si>
  <si>
    <t>Moment [KNm]</t>
  </si>
  <si>
    <t>Axial Force [KN] (compression positive)</t>
  </si>
  <si>
    <t>Moment [KNm]-abs</t>
  </si>
  <si>
    <t>Axial Force [KN] (compression positive)-abs</t>
  </si>
  <si>
    <t>45159</t>
  </si>
  <si>
    <t>45241</t>
  </si>
  <si>
    <t>45158</t>
  </si>
  <si>
    <t>45242</t>
  </si>
  <si>
    <t>45157</t>
  </si>
  <si>
    <t>45243</t>
  </si>
  <si>
    <t>45156</t>
  </si>
  <si>
    <t>45155</t>
  </si>
  <si>
    <t>45154</t>
  </si>
  <si>
    <t>45244</t>
  </si>
  <si>
    <t>45153</t>
  </si>
  <si>
    <t>45245</t>
  </si>
  <si>
    <t>45152</t>
  </si>
  <si>
    <t>45151</t>
  </si>
  <si>
    <t>45246</t>
  </si>
  <si>
    <t>45150</t>
  </si>
  <si>
    <t>45292</t>
  </si>
  <si>
    <t>45291</t>
  </si>
  <si>
    <t>45290</t>
  </si>
  <si>
    <t>45289</t>
  </si>
  <si>
    <t>45288</t>
  </si>
  <si>
    <t>45247</t>
  </si>
  <si>
    <t>45287</t>
  </si>
  <si>
    <t>45286</t>
  </si>
  <si>
    <t>45285</t>
  </si>
  <si>
    <t>45248</t>
  </si>
  <si>
    <t>45284</t>
  </si>
  <si>
    <t>45249</t>
  </si>
  <si>
    <t>45283</t>
  </si>
  <si>
    <t>45250</t>
  </si>
  <si>
    <t>45282</t>
  </si>
  <si>
    <t>45251</t>
  </si>
  <si>
    <t>45252</t>
  </si>
  <si>
    <t>45253</t>
  </si>
  <si>
    <t>45254</t>
  </si>
  <si>
    <t>45281</t>
  </si>
  <si>
    <t>45255</t>
  </si>
  <si>
    <t>45256</t>
  </si>
  <si>
    <t>45280</t>
  </si>
  <si>
    <t>45257</t>
  </si>
  <si>
    <t>45279</t>
  </si>
  <si>
    <t>45258</t>
  </si>
  <si>
    <t>45278</t>
  </si>
  <si>
    <t>45259</t>
  </si>
  <si>
    <t>45260</t>
  </si>
  <si>
    <t>45261</t>
  </si>
  <si>
    <t>45277</t>
  </si>
  <si>
    <t>45276</t>
  </si>
  <si>
    <t>45275</t>
  </si>
  <si>
    <t>45262</t>
  </si>
  <si>
    <t>45274</t>
  </si>
  <si>
    <t>45273</t>
  </si>
  <si>
    <t>ULS 1.5</t>
  </si>
  <si>
    <t>ST3-Crown-Final</t>
  </si>
  <si>
    <t>ST3-Crown-Construction Loading</t>
  </si>
  <si>
    <t>45161</t>
  </si>
  <si>
    <t>45238</t>
  </si>
  <si>
    <t>45239</t>
  </si>
  <si>
    <t>45160</t>
  </si>
  <si>
    <t>45240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</si>
</sst>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_)"/>
    <numFmt numFmtId="166" formatCode="0.00000_)"/>
    <numFmt numFmtId="167" formatCode="0.0000%"/>
    <numFmt numFmtId="168" formatCode="0.0_)"/>
    <numFmt numFmtId="169" formatCode="_-* #,##0_-;\-* #,##0_-;_-* &quot;-&quot;??_-;_-@_-"/>
    <numFmt numFmtId="170" formatCode="_-* #,##0.0_-;\-* #,##0.0_-;_-* &quot;-&quot;??_-;_-@_-"/>
    <numFmt numFmtId="171" formatCode="#,##0.0"/>
  </numFmts>
  <fonts count="4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Helv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Wingdings"/>
      <charset val="2"/>
    </font>
    <font>
      <b/>
      <i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9"/>
      <name val="Arial"/>
      <family val="2"/>
    </font>
    <font>
      <vertAlign val="subscript"/>
      <sz val="10"/>
      <color indexed="8"/>
      <name val="Arial"/>
      <family val="2"/>
    </font>
    <font>
      <sz val="10"/>
      <color indexed="41"/>
      <name val="Arial"/>
      <family val="2"/>
    </font>
    <font>
      <sz val="10"/>
      <name val="Symbol"/>
      <family val="1"/>
      <charset val="2"/>
    </font>
    <font>
      <sz val="8"/>
      <name val="Helv"/>
    </font>
    <font>
      <vertAlign val="subscript"/>
      <sz val="10"/>
      <name val="Arial"/>
      <family val="2"/>
    </font>
    <font>
      <sz val="10"/>
      <name val="Helv"/>
    </font>
    <font>
      <vertAlign val="subscript"/>
      <sz val="8"/>
      <name val="Arial"/>
      <family val="2"/>
    </font>
    <font>
      <b/>
      <sz val="10"/>
      <color rgb="FFFF0000"/>
      <name val="Arial"/>
      <family val="2"/>
    </font>
    <font>
      <b/>
      <sz val="10"/>
      <color indexed="1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sz val="8"/>
      <color indexed="10"/>
      <name val="Arial"/>
      <family val="2"/>
    </font>
    <font>
      <sz val="8"/>
      <color rgb="FFFF000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8"/>
      <name val="Symbol"/>
      <family val="1"/>
      <charset val="2"/>
    </font>
    <font>
      <i/>
      <sz val="10"/>
      <color rgb="FF000000"/>
      <name val="Arial"/>
      <family val="2"/>
    </font>
    <font>
      <i/>
      <vertAlign val="subscript"/>
      <sz val="10"/>
      <color rgb="FF000000"/>
      <name val="Arial"/>
      <family val="2"/>
    </font>
    <font>
      <sz val="10"/>
      <color rgb="FF000000"/>
      <name val="Symbol"/>
      <family val="1"/>
      <charset val="2"/>
    </font>
    <font>
      <sz val="8"/>
      <name val="Arial"/>
      <family val="1"/>
      <charset val="2"/>
    </font>
    <font>
      <sz val="11"/>
      <color theme="1"/>
      <name val="Symbol"/>
      <family val="1"/>
      <charset val="2"/>
    </font>
    <font>
      <sz val="11"/>
      <name val="Symbol"/>
      <family val="1"/>
      <charset val="2"/>
    </font>
    <font>
      <sz val="10"/>
      <name val="Arial"/>
      <family val="2"/>
    </font>
    <font>
      <sz val="12"/>
      <name val="Calibri"/>
      <family val="2"/>
    </font>
    <font>
      <sz val="10"/>
      <name val="Arial"/>
      <family val="1"/>
      <charset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b/>
      <sz val="11"/>
      <color rgb="FF0000FF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8" fillId="0" borderId="0"/>
    <xf numFmtId="0" fontId="3" fillId="0" borderId="0"/>
    <xf numFmtId="0" fontId="41" fillId="0" borderId="0"/>
    <xf numFmtId="0" fontId="3" fillId="0" borderId="0"/>
    <xf numFmtId="0" fontId="29" fillId="0" borderId="0"/>
    <xf numFmtId="0" fontId="1" fillId="0" borderId="0"/>
  </cellStyleXfs>
  <cellXfs count="231">
    <xf numFmtId="0" fontId="0" fillId="0" borderId="0" xfId="0"/>
    <xf numFmtId="0" fontId="0" fillId="3" borderId="0" xfId="0" applyFill="1"/>
    <xf numFmtId="0" fontId="3" fillId="4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8" fillId="3" borderId="0" xfId="0" applyFont="1" applyFill="1"/>
    <xf numFmtId="14" fontId="7" fillId="3" borderId="0" xfId="1" applyNumberFormat="1" applyFont="1" applyFill="1"/>
    <xf numFmtId="0" fontId="10" fillId="3" borderId="0" xfId="0" applyFont="1" applyFill="1"/>
    <xf numFmtId="0" fontId="13" fillId="3" borderId="0" xfId="0" applyFont="1" applyFill="1" applyAlignment="1">
      <alignment horizontal="center" vertical="center"/>
    </xf>
    <xf numFmtId="0" fontId="14" fillId="3" borderId="0" xfId="0" applyFont="1" applyFill="1"/>
    <xf numFmtId="0" fontId="15" fillId="3" borderId="0" xfId="0" applyFont="1" applyFill="1" applyAlignment="1">
      <alignment horizontal="right"/>
    </xf>
    <xf numFmtId="164" fontId="15" fillId="3" borderId="0" xfId="0" applyNumberFormat="1" applyFont="1" applyFill="1"/>
    <xf numFmtId="0" fontId="15" fillId="3" borderId="0" xfId="0" applyFont="1" applyFill="1"/>
    <xf numFmtId="0" fontId="5" fillId="5" borderId="4" xfId="0" applyFont="1" applyFill="1" applyBorder="1"/>
    <xf numFmtId="0" fontId="16" fillId="5" borderId="0" xfId="0" applyFont="1" applyFill="1" applyAlignment="1">
      <alignment horizontal="left"/>
    </xf>
    <xf numFmtId="0" fontId="5" fillId="5" borderId="0" xfId="0" applyFont="1" applyFill="1"/>
    <xf numFmtId="0" fontId="5" fillId="5" borderId="5" xfId="0" applyFont="1" applyFill="1" applyBorder="1"/>
    <xf numFmtId="0" fontId="17" fillId="3" borderId="0" xfId="0" applyFont="1" applyFill="1"/>
    <xf numFmtId="0" fontId="7" fillId="3" borderId="0" xfId="0" applyFont="1" applyFill="1"/>
    <xf numFmtId="0" fontId="7" fillId="5" borderId="0" xfId="0" applyFont="1" applyFill="1"/>
    <xf numFmtId="0" fontId="8" fillId="5" borderId="0" xfId="0" applyFont="1" applyFill="1"/>
    <xf numFmtId="0" fontId="8" fillId="5" borderId="0" xfId="0" applyFont="1" applyFill="1" applyProtection="1">
      <protection locked="0"/>
    </xf>
    <xf numFmtId="0" fontId="19" fillId="3" borderId="0" xfId="0" applyFont="1" applyFill="1"/>
    <xf numFmtId="0" fontId="7" fillId="5" borderId="0" xfId="0" applyFont="1" applyFill="1" applyAlignment="1">
      <alignment horizontal="left"/>
    </xf>
    <xf numFmtId="0" fontId="0" fillId="5" borderId="0" xfId="0" applyFill="1"/>
    <xf numFmtId="0" fontId="8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0" fillId="5" borderId="4" xfId="0" applyFill="1" applyBorder="1"/>
    <xf numFmtId="0" fontId="20" fillId="3" borderId="0" xfId="0" applyFont="1" applyFill="1" applyAlignment="1">
      <alignment horizontal="right"/>
    </xf>
    <xf numFmtId="2" fontId="21" fillId="3" borderId="0" xfId="0" applyNumberFormat="1" applyFont="1" applyFill="1"/>
    <xf numFmtId="1" fontId="15" fillId="3" borderId="0" xfId="0" applyNumberFormat="1" applyFont="1" applyFill="1"/>
    <xf numFmtId="0" fontId="0" fillId="5" borderId="5" xfId="0" applyFill="1" applyBorder="1"/>
    <xf numFmtId="2" fontId="21" fillId="4" borderId="0" xfId="0" applyNumberFormat="1" applyFont="1" applyFill="1"/>
    <xf numFmtId="0" fontId="23" fillId="3" borderId="0" xfId="0" applyFont="1" applyFill="1"/>
    <xf numFmtId="0" fontId="23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5" fillId="3" borderId="9" xfId="0" applyFont="1" applyFill="1" applyBorder="1"/>
    <xf numFmtId="0" fontId="15" fillId="3" borderId="13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/>
    <xf numFmtId="165" fontId="15" fillId="3" borderId="33" xfId="0" applyNumberFormat="1" applyFont="1" applyFill="1" applyBorder="1"/>
    <xf numFmtId="0" fontId="15" fillId="3" borderId="13" xfId="0" applyFont="1" applyFill="1" applyBorder="1"/>
    <xf numFmtId="0" fontId="15" fillId="3" borderId="34" xfId="0" applyFont="1" applyFill="1" applyBorder="1"/>
    <xf numFmtId="0" fontId="15" fillId="3" borderId="35" xfId="0" applyFont="1" applyFill="1" applyBorder="1"/>
    <xf numFmtId="0" fontId="15" fillId="3" borderId="36" xfId="0" applyFont="1" applyFill="1" applyBorder="1" applyAlignment="1">
      <alignment horizontal="center"/>
    </xf>
    <xf numFmtId="165" fontId="15" fillId="3" borderId="35" xfId="0" applyNumberFormat="1" applyFont="1" applyFill="1" applyBorder="1"/>
    <xf numFmtId="165" fontId="15" fillId="3" borderId="36" xfId="0" applyNumberFormat="1" applyFont="1" applyFill="1" applyBorder="1"/>
    <xf numFmtId="0" fontId="15" fillId="3" borderId="37" xfId="0" applyFont="1" applyFill="1" applyBorder="1"/>
    <xf numFmtId="165" fontId="15" fillId="3" borderId="33" xfId="0" applyNumberFormat="1" applyFont="1" applyFill="1" applyBorder="1" applyAlignment="1">
      <alignment horizontal="center"/>
    </xf>
    <xf numFmtId="0" fontId="15" fillId="3" borderId="33" xfId="0" applyFont="1" applyFill="1" applyBorder="1"/>
    <xf numFmtId="0" fontId="15" fillId="3" borderId="38" xfId="0" applyFont="1" applyFill="1" applyBorder="1"/>
    <xf numFmtId="165" fontId="15" fillId="3" borderId="38" xfId="0" applyNumberFormat="1" applyFont="1" applyFill="1" applyBorder="1"/>
    <xf numFmtId="165" fontId="15" fillId="3" borderId="10" xfId="0" applyNumberFormat="1" applyFont="1" applyFill="1" applyBorder="1"/>
    <xf numFmtId="166" fontId="0" fillId="5" borderId="0" xfId="0" applyNumberFormat="1" applyFill="1"/>
    <xf numFmtId="0" fontId="0" fillId="5" borderId="5" xfId="0" applyFill="1" applyBorder="1" applyAlignment="1">
      <alignment horizontal="left"/>
    </xf>
    <xf numFmtId="0" fontId="15" fillId="3" borderId="39" xfId="0" applyFont="1" applyFill="1" applyBorder="1"/>
    <xf numFmtId="0" fontId="15" fillId="3" borderId="40" xfId="0" applyFont="1" applyFill="1" applyBorder="1"/>
    <xf numFmtId="0" fontId="15" fillId="3" borderId="41" xfId="0" applyFont="1" applyFill="1" applyBorder="1"/>
    <xf numFmtId="0" fontId="15" fillId="3" borderId="42" xfId="0" applyFont="1" applyFill="1" applyBorder="1"/>
    <xf numFmtId="0" fontId="17" fillId="3" borderId="0" xfId="0" applyFont="1" applyFill="1" applyAlignment="1">
      <alignment horizontal="center"/>
    </xf>
    <xf numFmtId="168" fontId="25" fillId="3" borderId="0" xfId="0" applyNumberFormat="1" applyFont="1" applyFill="1" applyAlignment="1">
      <alignment horizontal="center"/>
    </xf>
    <xf numFmtId="0" fontId="25" fillId="3" borderId="0" xfId="0" applyFont="1" applyFill="1"/>
    <xf numFmtId="0" fontId="26" fillId="3" borderId="0" xfId="0" applyFont="1" applyFill="1"/>
    <xf numFmtId="0" fontId="0" fillId="5" borderId="6" xfId="0" applyFill="1" applyBorder="1"/>
    <xf numFmtId="0" fontId="0" fillId="5" borderId="7" xfId="0" applyFill="1" applyBorder="1"/>
    <xf numFmtId="0" fontId="8" fillId="4" borderId="0" xfId="0" applyFont="1" applyFill="1"/>
    <xf numFmtId="0" fontId="0" fillId="4" borderId="0" xfId="0" applyFill="1"/>
    <xf numFmtId="167" fontId="0" fillId="5" borderId="7" xfId="0" applyNumberFormat="1" applyFill="1" applyBorder="1"/>
    <xf numFmtId="0" fontId="0" fillId="5" borderId="8" xfId="0" applyFill="1" applyBorder="1"/>
    <xf numFmtId="0" fontId="8" fillId="5" borderId="0" xfId="0" applyFont="1" applyFill="1" applyAlignment="1">
      <alignment horizontal="right"/>
    </xf>
    <xf numFmtId="0" fontId="29" fillId="5" borderId="0" xfId="0" applyFont="1" applyFill="1"/>
    <xf numFmtId="0" fontId="29" fillId="0" borderId="0" xfId="0" applyFont="1"/>
    <xf numFmtId="0" fontId="2" fillId="0" borderId="0" xfId="0" applyFont="1"/>
    <xf numFmtId="164" fontId="30" fillId="4" borderId="0" xfId="0" applyNumberFormat="1" applyFont="1" applyFill="1"/>
    <xf numFmtId="0" fontId="30" fillId="4" borderId="0" xfId="0" applyFont="1" applyFill="1"/>
    <xf numFmtId="1" fontId="30" fillId="4" borderId="0" xfId="0" applyNumberFormat="1" applyFont="1" applyFill="1"/>
    <xf numFmtId="0" fontId="15" fillId="3" borderId="45" xfId="0" applyFont="1" applyFill="1" applyBorder="1"/>
    <xf numFmtId="0" fontId="15" fillId="3" borderId="46" xfId="0" applyFont="1" applyFill="1" applyBorder="1" applyAlignment="1">
      <alignment horizontal="center"/>
    </xf>
    <xf numFmtId="0" fontId="15" fillId="3" borderId="47" xfId="0" applyFont="1" applyFill="1" applyBorder="1"/>
    <xf numFmtId="0" fontId="15" fillId="3" borderId="48" xfId="0" applyFont="1" applyFill="1" applyBorder="1" applyAlignment="1">
      <alignment horizontal="center"/>
    </xf>
    <xf numFmtId="0" fontId="15" fillId="3" borderId="49" xfId="0" applyFont="1" applyFill="1" applyBorder="1"/>
    <xf numFmtId="0" fontId="15" fillId="3" borderId="5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9" fillId="2" borderId="0" xfId="0" applyFont="1" applyFill="1"/>
    <xf numFmtId="0" fontId="15" fillId="3" borderId="40" xfId="0" applyFont="1" applyFill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11" fontId="0" fillId="0" borderId="0" xfId="0" applyNumberFormat="1"/>
    <xf numFmtId="0" fontId="3" fillId="5" borderId="0" xfId="0" applyFont="1" applyFill="1" applyProtection="1">
      <protection locked="0"/>
    </xf>
    <xf numFmtId="0" fontId="33" fillId="3" borderId="0" xfId="0" applyFont="1" applyFill="1"/>
    <xf numFmtId="0" fontId="8" fillId="3" borderId="33" xfId="0" applyFont="1" applyFill="1" applyBorder="1"/>
    <xf numFmtId="0" fontId="8" fillId="3" borderId="2" xfId="0" applyFont="1" applyFill="1" applyBorder="1"/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3" fillId="5" borderId="0" xfId="0" applyFont="1" applyFill="1"/>
    <xf numFmtId="0" fontId="3" fillId="0" borderId="0" xfId="0" applyFont="1" applyProtection="1">
      <protection locked="0"/>
    </xf>
    <xf numFmtId="0" fontId="15" fillId="7" borderId="13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15" fillId="7" borderId="14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5" fillId="7" borderId="15" xfId="0" applyFont="1" applyFill="1" applyBorder="1" applyAlignment="1">
      <alignment horizontal="center"/>
    </xf>
    <xf numFmtId="0" fontId="15" fillId="7" borderId="44" xfId="0" applyFont="1" applyFill="1" applyBorder="1" applyAlignment="1">
      <alignment horizontal="center"/>
    </xf>
    <xf numFmtId="0" fontId="15" fillId="7" borderId="18" xfId="0" applyFont="1" applyFill="1" applyBorder="1" applyAlignment="1">
      <alignment horizontal="center"/>
    </xf>
    <xf numFmtId="0" fontId="15" fillId="7" borderId="20" xfId="0" applyFont="1" applyFill="1" applyBorder="1" applyAlignment="1">
      <alignment horizontal="center" vertical="center"/>
    </xf>
    <xf numFmtId="0" fontId="15" fillId="7" borderId="20" xfId="0" applyFont="1" applyFill="1" applyBorder="1" applyAlignment="1">
      <alignment horizontal="center"/>
    </xf>
    <xf numFmtId="0" fontId="15" fillId="7" borderId="21" xfId="0" applyFont="1" applyFill="1" applyBorder="1" applyAlignment="1">
      <alignment horizontal="center"/>
    </xf>
    <xf numFmtId="0" fontId="15" fillId="7" borderId="19" xfId="0" applyFont="1" applyFill="1" applyBorder="1" applyAlignment="1">
      <alignment horizontal="center"/>
    </xf>
    <xf numFmtId="0" fontId="15" fillId="7" borderId="22" xfId="0" applyFont="1" applyFill="1" applyBorder="1"/>
    <xf numFmtId="0" fontId="15" fillId="7" borderId="25" xfId="0" applyFont="1" applyFill="1" applyBorder="1"/>
    <xf numFmtId="0" fontId="15" fillId="7" borderId="24" xfId="0" applyFont="1" applyFill="1" applyBorder="1"/>
    <xf numFmtId="0" fontId="15" fillId="7" borderId="26" xfId="0" applyFont="1" applyFill="1" applyBorder="1"/>
    <xf numFmtId="0" fontId="15" fillId="7" borderId="28" xfId="0" applyFont="1" applyFill="1" applyBorder="1" applyAlignment="1">
      <alignment horizontal="center" vertical="center"/>
    </xf>
    <xf numFmtId="0" fontId="15" fillId="7" borderId="28" xfId="0" applyFont="1" applyFill="1" applyBorder="1" applyAlignment="1">
      <alignment horizontal="center"/>
    </xf>
    <xf numFmtId="0" fontId="15" fillId="7" borderId="29" xfId="0" applyFont="1" applyFill="1" applyBorder="1" applyAlignment="1">
      <alignment horizontal="center"/>
    </xf>
    <xf numFmtId="0" fontId="15" fillId="7" borderId="27" xfId="0" applyFont="1" applyFill="1" applyBorder="1" applyAlignment="1">
      <alignment horizontal="center"/>
    </xf>
    <xf numFmtId="0" fontId="15" fillId="7" borderId="30" xfId="0" applyFont="1" applyFill="1" applyBorder="1"/>
    <xf numFmtId="0" fontId="15" fillId="7" borderId="6" xfId="0" applyFont="1" applyFill="1" applyBorder="1"/>
    <xf numFmtId="0" fontId="15" fillId="7" borderId="31" xfId="0" applyFont="1" applyFill="1" applyBorder="1" applyAlignment="1">
      <alignment horizontal="center"/>
    </xf>
    <xf numFmtId="0" fontId="15" fillId="7" borderId="8" xfId="0" applyFont="1" applyFill="1" applyBorder="1" applyAlignment="1">
      <alignment horizontal="center"/>
    </xf>
    <xf numFmtId="3" fontId="9" fillId="6" borderId="0" xfId="0" applyNumberFormat="1" applyFont="1" applyFill="1" applyAlignment="1" applyProtection="1">
      <alignment horizontal="center"/>
      <protection locked="0"/>
    </xf>
    <xf numFmtId="0" fontId="9" fillId="6" borderId="0" xfId="0" applyFont="1" applyFill="1" applyAlignment="1" applyProtection="1">
      <alignment horizontal="center"/>
      <protection locked="0"/>
    </xf>
    <xf numFmtId="2" fontId="9" fillId="6" borderId="0" xfId="0" applyNumberFormat="1" applyFont="1" applyFill="1" applyAlignment="1">
      <alignment horizontal="center"/>
    </xf>
    <xf numFmtId="0" fontId="9" fillId="2" borderId="33" xfId="0" applyFont="1" applyFill="1" applyBorder="1" applyAlignment="1">
      <alignment horizontal="left"/>
    </xf>
    <xf numFmtId="0" fontId="9" fillId="2" borderId="33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9" fillId="2" borderId="12" xfId="0" applyFont="1" applyFill="1" applyBorder="1"/>
    <xf numFmtId="0" fontId="9" fillId="2" borderId="15" xfId="0" applyFont="1" applyFill="1" applyBorder="1" applyAlignment="1">
      <alignment horizontal="left"/>
    </xf>
    <xf numFmtId="14" fontId="7" fillId="2" borderId="38" xfId="1" applyNumberFormat="1" applyFont="1" applyFill="1" applyBorder="1" applyAlignment="1">
      <alignment horizontal="left"/>
    </xf>
    <xf numFmtId="0" fontId="9" fillId="2" borderId="38" xfId="0" applyFont="1" applyFill="1" applyBorder="1" applyAlignment="1">
      <alignment horizontal="left"/>
    </xf>
    <xf numFmtId="0" fontId="6" fillId="2" borderId="37" xfId="0" applyFont="1" applyFill="1" applyBorder="1" applyAlignment="1">
      <alignment horizontal="left"/>
    </xf>
    <xf numFmtId="0" fontId="6" fillId="2" borderId="39" xfId="0" applyFont="1" applyFill="1" applyBorder="1" applyAlignment="1">
      <alignment horizontal="left"/>
    </xf>
    <xf numFmtId="0" fontId="9" fillId="2" borderId="40" xfId="0" applyFont="1" applyFill="1" applyBorder="1" applyAlignment="1">
      <alignment horizontal="left"/>
    </xf>
    <xf numFmtId="14" fontId="7" fillId="2" borderId="42" xfId="1" applyNumberFormat="1" applyFont="1" applyFill="1" applyBorder="1" applyAlignment="1">
      <alignment horizontal="left"/>
    </xf>
    <xf numFmtId="0" fontId="0" fillId="5" borderId="0" xfId="0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0" borderId="4" xfId="0" applyBorder="1"/>
    <xf numFmtId="0" fontId="0" fillId="0" borderId="5" xfId="0" applyBorder="1"/>
    <xf numFmtId="14" fontId="6" fillId="2" borderId="38" xfId="1" applyNumberFormat="1" applyFont="1" applyFill="1" applyBorder="1" applyAlignment="1">
      <alignment horizontal="left"/>
    </xf>
    <xf numFmtId="14" fontId="6" fillId="2" borderId="38" xfId="2" applyNumberFormat="1" applyFont="1" applyFill="1" applyBorder="1" applyAlignment="1">
      <alignment horizontal="left"/>
    </xf>
    <xf numFmtId="0" fontId="8" fillId="7" borderId="33" xfId="0" applyFont="1" applyFill="1" applyBorder="1"/>
    <xf numFmtId="0" fontId="3" fillId="3" borderId="0" xfId="0" applyFont="1" applyFill="1" applyAlignment="1">
      <alignment horizontal="right"/>
    </xf>
    <xf numFmtId="0" fontId="38" fillId="7" borderId="23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2" fontId="15" fillId="7" borderId="26" xfId="0" applyNumberFormat="1" applyFont="1" applyFill="1" applyBorder="1" applyAlignment="1">
      <alignment horizontal="center" vertical="center"/>
    </xf>
    <xf numFmtId="3" fontId="3" fillId="2" borderId="0" xfId="2" applyNumberFormat="1" applyFill="1" applyAlignment="1">
      <alignment vertical="center"/>
    </xf>
    <xf numFmtId="0" fontId="13" fillId="5" borderId="0" xfId="0" applyFont="1" applyFill="1"/>
    <xf numFmtId="0" fontId="9" fillId="6" borderId="0" xfId="3" applyFont="1" applyFill="1" applyAlignment="1">
      <alignment horizontal="center"/>
    </xf>
    <xf numFmtId="0" fontId="3" fillId="3" borderId="33" xfId="0" applyFont="1" applyFill="1" applyBorder="1"/>
    <xf numFmtId="2" fontId="8" fillId="3" borderId="33" xfId="0" applyNumberFormat="1" applyFont="1" applyFill="1" applyBorder="1"/>
    <xf numFmtId="0" fontId="43" fillId="3" borderId="33" xfId="0" applyFont="1" applyFill="1" applyBorder="1"/>
    <xf numFmtId="0" fontId="7" fillId="2" borderId="0" xfId="0" applyFont="1" applyFill="1"/>
    <xf numFmtId="0" fontId="3" fillId="2" borderId="0" xfId="0" applyFont="1" applyFill="1"/>
    <xf numFmtId="3" fontId="3" fillId="2" borderId="0" xfId="0" applyNumberFormat="1" applyFont="1" applyFill="1" applyAlignment="1" applyProtection="1">
      <alignment horizontal="center"/>
      <protection locked="0"/>
    </xf>
    <xf numFmtId="2" fontId="3" fillId="5" borderId="0" xfId="0" applyNumberFormat="1" applyFont="1" applyFill="1" applyAlignment="1">
      <alignment horizontal="center"/>
    </xf>
    <xf numFmtId="0" fontId="20" fillId="0" borderId="0" xfId="0" applyFont="1" applyAlignment="1">
      <alignment horizontal="left"/>
    </xf>
    <xf numFmtId="164" fontId="3" fillId="5" borderId="0" xfId="0" applyNumberFormat="1" applyFont="1" applyFill="1" applyAlignment="1">
      <alignment horizontal="center"/>
    </xf>
    <xf numFmtId="0" fontId="33" fillId="3" borderId="1" xfId="0" applyFont="1" applyFill="1" applyBorder="1"/>
    <xf numFmtId="0" fontId="0" fillId="6" borderId="0" xfId="0" applyFill="1"/>
    <xf numFmtId="0" fontId="44" fillId="3" borderId="0" xfId="0" applyFont="1" applyFill="1"/>
    <xf numFmtId="0" fontId="3" fillId="4" borderId="0" xfId="4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4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5" fillId="3" borderId="0" xfId="0" applyFont="1" applyFill="1" applyAlignment="1">
      <alignment horizontal="center"/>
    </xf>
    <xf numFmtId="0" fontId="45" fillId="3" borderId="5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9" fontId="45" fillId="3" borderId="0" xfId="0" applyNumberFormat="1" applyFont="1" applyFill="1" applyAlignment="1">
      <alignment horizontal="center"/>
    </xf>
    <xf numFmtId="164" fontId="45" fillId="3" borderId="5" xfId="0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169" fontId="45" fillId="3" borderId="7" xfId="0" applyNumberFormat="1" applyFont="1" applyFill="1" applyBorder="1" applyAlignment="1">
      <alignment horizontal="center"/>
    </xf>
    <xf numFmtId="170" fontId="45" fillId="3" borderId="8" xfId="0" applyNumberFormat="1" applyFont="1" applyFill="1" applyBorder="1" applyAlignment="1">
      <alignment horizontal="center"/>
    </xf>
    <xf numFmtId="1" fontId="0" fillId="3" borderId="0" xfId="0" applyNumberFormat="1" applyFill="1"/>
    <xf numFmtId="0" fontId="44" fillId="3" borderId="0" xfId="0" applyFont="1" applyFill="1" applyAlignment="1">
      <alignment horizontal="center"/>
    </xf>
    <xf numFmtId="165" fontId="0" fillId="3" borderId="0" xfId="0" applyNumberFormat="1" applyFill="1"/>
    <xf numFmtId="171" fontId="0" fillId="5" borderId="0" xfId="0" applyNumberFormat="1" applyFill="1" applyAlignment="1">
      <alignment horizontal="center"/>
    </xf>
    <xf numFmtId="0" fontId="3" fillId="3" borderId="4" xfId="0" applyFont="1" applyFill="1" applyBorder="1"/>
    <xf numFmtId="0" fontId="0" fillId="0" borderId="0" xfId="0" applyAlignment="1">
      <alignment wrapText="1"/>
    </xf>
    <xf numFmtId="0" fontId="47" fillId="0" borderId="0" xfId="0" applyFont="1"/>
    <xf numFmtId="49" fontId="48" fillId="0" borderId="0" xfId="5" applyNumberFormat="1" applyFont="1"/>
    <xf numFmtId="49" fontId="48" fillId="0" borderId="0" xfId="5" applyNumberFormat="1" applyFont="1" applyAlignment="1">
      <alignment wrapText="1"/>
    </xf>
    <xf numFmtId="0" fontId="29" fillId="0" borderId="0" xfId="5"/>
    <xf numFmtId="49" fontId="29" fillId="0" borderId="0" xfId="5" applyNumberFormat="1" applyAlignment="1">
      <alignment wrapText="1"/>
    </xf>
    <xf numFmtId="0" fontId="29" fillId="0" borderId="0" xfId="5" applyAlignment="1">
      <alignment wrapText="1"/>
    </xf>
    <xf numFmtId="11" fontId="29" fillId="0" borderId="0" xfId="5" applyNumberFormat="1" applyAlignment="1">
      <alignment wrapText="1"/>
    </xf>
    <xf numFmtId="11" fontId="0" fillId="0" borderId="0" xfId="0" applyNumberFormat="1" applyAlignment="1">
      <alignment wrapText="1"/>
    </xf>
    <xf numFmtId="0" fontId="15" fillId="7" borderId="16" xfId="0" applyFont="1" applyFill="1" applyBorder="1" applyAlignment="1">
      <alignment horizontal="center"/>
    </xf>
    <xf numFmtId="0" fontId="15" fillId="7" borderId="17" xfId="0" applyFont="1" applyFill="1" applyBorder="1" applyAlignment="1">
      <alignment horizontal="center"/>
    </xf>
    <xf numFmtId="0" fontId="15" fillId="7" borderId="19" xfId="0" applyFont="1" applyFill="1" applyBorder="1" applyAlignment="1">
      <alignment horizontal="center" vertical="center"/>
    </xf>
    <xf numFmtId="0" fontId="15" fillId="7" borderId="27" xfId="0" applyFont="1" applyFill="1" applyBorder="1" applyAlignment="1">
      <alignment horizontal="center" vertical="center"/>
    </xf>
    <xf numFmtId="0" fontId="25" fillId="3" borderId="0" xfId="0" applyFont="1" applyFill="1" applyAlignment="1">
      <alignment horizontal="left"/>
    </xf>
    <xf numFmtId="0" fontId="13" fillId="5" borderId="0" xfId="0" applyFont="1" applyFill="1" applyAlignment="1">
      <alignment horizontal="center"/>
    </xf>
    <xf numFmtId="0" fontId="12" fillId="5" borderId="4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5" fillId="7" borderId="44" xfId="0" applyFont="1" applyFill="1" applyBorder="1" applyAlignment="1">
      <alignment horizontal="center"/>
    </xf>
    <xf numFmtId="0" fontId="15" fillId="7" borderId="18" xfId="0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5" fillId="3" borderId="41" xfId="0" applyFont="1" applyFill="1" applyBorder="1" applyAlignment="1">
      <alignment horizontal="center"/>
    </xf>
    <xf numFmtId="0" fontId="15" fillId="3" borderId="43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53" xfId="0" applyFont="1" applyFill="1" applyBorder="1" applyAlignment="1">
      <alignment horizontal="center" vertical="center"/>
    </xf>
    <xf numFmtId="0" fontId="12" fillId="5" borderId="51" xfId="0" applyFont="1" applyFill="1" applyBorder="1" applyAlignment="1">
      <alignment horizontal="center" vertical="center"/>
    </xf>
    <xf numFmtId="0" fontId="12" fillId="5" borderId="45" xfId="0" applyFont="1" applyFill="1" applyBorder="1" applyAlignment="1">
      <alignment horizontal="center" vertical="center"/>
    </xf>
    <xf numFmtId="0" fontId="12" fillId="5" borderId="52" xfId="0" applyFont="1" applyFill="1" applyBorder="1" applyAlignment="1">
      <alignment horizontal="center" vertical="center"/>
    </xf>
    <xf numFmtId="0" fontId="12" fillId="5" borderId="36" xfId="0" applyFont="1" applyFill="1" applyBorder="1" applyAlignment="1">
      <alignment horizontal="center" vertical="center"/>
    </xf>
    <xf numFmtId="0" fontId="6" fillId="2" borderId="40" xfId="0" applyFont="1" applyFill="1" applyBorder="1" applyAlignment="1" applyProtection="1">
      <alignment horizontal="left"/>
      <protection locked="0"/>
    </xf>
    <xf numFmtId="0" fontId="6" fillId="2" borderId="33" xfId="0" applyFont="1" applyFill="1" applyBorder="1" applyAlignment="1" applyProtection="1">
      <alignment horizontal="left"/>
      <protection locked="0"/>
    </xf>
    <xf numFmtId="0" fontId="31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2" xr:uid="{D1F8B83D-37F4-4385-ACBD-44FF817CBA5D}"/>
    <cellStyle name="Normal 3" xfId="5" xr:uid="{95DB6E79-4403-40BE-A65A-E4ACCB4088D8}"/>
    <cellStyle name="Normal 4" xfId="6" xr:uid="{2C084750-8895-466A-865A-8DB33F6CA474}"/>
    <cellStyle name="Normal_ASCOLB" xfId="3" xr:uid="{38D8E382-7DE1-4C5D-89E0-D79C2F7449AA}"/>
    <cellStyle name="Normal_Liner design 100SH ST 500RM R+WL UCR" xfId="4" xr:uid="{33D39A6E-F356-4F60-A17C-0432DFE4EEEC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48528802320763"/>
          <c:y val="2.5821596244131457E-2"/>
          <c:w val="0.80113133226767708"/>
          <c:h val="0.8575782780673542"/>
        </c:manualLayout>
      </c:layout>
      <c:scatterChart>
        <c:scatterStyle val="smoothMarker"/>
        <c:varyColors val="0"/>
        <c:ser>
          <c:idx val="0"/>
          <c:order val="0"/>
          <c:tx>
            <c:v>Plain Concrete</c:v>
          </c:tx>
          <c:spPr>
            <a:ln w="12700">
              <a:solidFill>
                <a:srgbClr val="3366FF"/>
              </a:solidFill>
              <a:prstDash val="lgDashDot"/>
            </a:ln>
          </c:spPr>
          <c:marker>
            <c:symbol val="none"/>
          </c:marker>
          <c:xVal>
            <c:numRef>
              <c:f>BM!$Z$28:$Z$50</c:f>
              <c:numCache>
                <c:formatCode>0_)</c:formatCode>
                <c:ptCount val="23"/>
                <c:pt idx="0">
                  <c:v>0</c:v>
                </c:pt>
                <c:pt idx="1">
                  <c:v>0.19597202624999999</c:v>
                </c:pt>
                <c:pt idx="2">
                  <c:v>3.7758104999999995</c:v>
                </c:pt>
                <c:pt idx="3">
                  <c:v>7.2492420000000006</c:v>
                </c:pt>
                <c:pt idx="4">
                  <c:v>10.420294500000001</c:v>
                </c:pt>
                <c:pt idx="5">
                  <c:v>13.288967999999999</c:v>
                </c:pt>
                <c:pt idx="6">
                  <c:v>15.8552625</c:v>
                </c:pt>
                <c:pt idx="7">
                  <c:v>18.119177999999998</c:v>
                </c:pt>
                <c:pt idx="8">
                  <c:v>20.080714499999999</c:v>
                </c:pt>
                <c:pt idx="9">
                  <c:v>21.739871999999995</c:v>
                </c:pt>
                <c:pt idx="10">
                  <c:v>23.096650500000006</c:v>
                </c:pt>
                <c:pt idx="11">
                  <c:v>24.151050000000001</c:v>
                </c:pt>
                <c:pt idx="12">
                  <c:v>24.903070499999998</c:v>
                </c:pt>
                <c:pt idx="13">
                  <c:v>25.352712</c:v>
                </c:pt>
                <c:pt idx="14">
                  <c:v>25.499974499999997</c:v>
                </c:pt>
                <c:pt idx="15">
                  <c:v>25.344857999999999</c:v>
                </c:pt>
                <c:pt idx="16">
                  <c:v>24.887362499999998</c:v>
                </c:pt>
                <c:pt idx="17">
                  <c:v>24.127488</c:v>
                </c:pt>
                <c:pt idx="18">
                  <c:v>23.065234500000006</c:v>
                </c:pt>
                <c:pt idx="19">
                  <c:v>21.700602000000007</c:v>
                </c:pt>
                <c:pt idx="20">
                  <c:v>20.033590499999992</c:v>
                </c:pt>
                <c:pt idx="21">
                  <c:v>18.0642</c:v>
                </c:pt>
                <c:pt idx="22">
                  <c:v>0</c:v>
                </c:pt>
              </c:numCache>
            </c:numRef>
          </c:xVal>
          <c:yVal>
            <c:numRef>
              <c:f>BM!$AA$28:$AA$50</c:f>
              <c:numCache>
                <c:formatCode>0_)</c:formatCode>
                <c:ptCount val="23"/>
                <c:pt idx="0">
                  <c:v>0</c:v>
                </c:pt>
                <c:pt idx="1">
                  <c:v>3.9269999999999996</c:v>
                </c:pt>
                <c:pt idx="2">
                  <c:v>78.540000000000006</c:v>
                </c:pt>
                <c:pt idx="3">
                  <c:v>157.08000000000001</c:v>
                </c:pt>
                <c:pt idx="4">
                  <c:v>235.61999999999998</c:v>
                </c:pt>
                <c:pt idx="5">
                  <c:v>314.16000000000003</c:v>
                </c:pt>
                <c:pt idx="6">
                  <c:v>392.7</c:v>
                </c:pt>
                <c:pt idx="7">
                  <c:v>471.23999999999995</c:v>
                </c:pt>
                <c:pt idx="8">
                  <c:v>549.78</c:v>
                </c:pt>
                <c:pt idx="9">
                  <c:v>628.32000000000005</c:v>
                </c:pt>
                <c:pt idx="10">
                  <c:v>706.86</c:v>
                </c:pt>
                <c:pt idx="11">
                  <c:v>785.4</c:v>
                </c:pt>
                <c:pt idx="12">
                  <c:v>863.94000000000017</c:v>
                </c:pt>
                <c:pt idx="13">
                  <c:v>942.4799999999999</c:v>
                </c:pt>
                <c:pt idx="14">
                  <c:v>1021.02</c:v>
                </c:pt>
                <c:pt idx="15">
                  <c:v>1099.56</c:v>
                </c:pt>
                <c:pt idx="16">
                  <c:v>1178.0999999999999</c:v>
                </c:pt>
                <c:pt idx="17">
                  <c:v>1256.6400000000001</c:v>
                </c:pt>
                <c:pt idx="18">
                  <c:v>1335.18</c:v>
                </c:pt>
                <c:pt idx="19">
                  <c:v>1413.72</c:v>
                </c:pt>
                <c:pt idx="20">
                  <c:v>1492.26</c:v>
                </c:pt>
                <c:pt idx="21">
                  <c:v>1570.8</c:v>
                </c:pt>
                <c:pt idx="22">
                  <c:v>2040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0BC-9702-8C9CDBF689D4}"/>
            </c:ext>
          </c:extLst>
        </c:ser>
        <c:ser>
          <c:idx val="4"/>
          <c:order val="1"/>
          <c:tx>
            <c:v>Min. Eccentricity</c:v>
          </c:tx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BM!$AB$10:$AB$12</c:f>
              <c:numCache>
                <c:formatCode>General</c:formatCode>
                <c:ptCount val="3"/>
                <c:pt idx="0">
                  <c:v>0</c:v>
                </c:pt>
                <c:pt idx="1">
                  <c:v>9.0275862068965509</c:v>
                </c:pt>
                <c:pt idx="2">
                  <c:v>0</c:v>
                </c:pt>
              </c:numCache>
            </c:numRef>
          </c:xVal>
          <c:yVal>
            <c:numRef>
              <c:f>BM!$AC$10:$AC$12</c:f>
              <c:numCache>
                <c:formatCode>General</c:formatCode>
                <c:ptCount val="3"/>
                <c:pt idx="0">
                  <c:v>0</c:v>
                </c:pt>
                <c:pt idx="1">
                  <c:v>1805.5172413793102</c:v>
                </c:pt>
                <c:pt idx="2">
                  <c:v>1805.5172413793102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6-43EF-9F2B-397A7CDB9705}"/>
            </c:ext>
          </c:extLst>
        </c:ser>
        <c:ser>
          <c:idx val="3"/>
          <c:order val="2"/>
          <c:tx>
            <c:v>Envelope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BM!$AC$27:$AC$51</c:f>
              <c:numCache>
                <c:formatCode>0_)</c:formatCode>
                <c:ptCount val="25"/>
                <c:pt idx="0">
                  <c:v>0</c:v>
                </c:pt>
                <c:pt idx="1">
                  <c:v>0.70346249999999977</c:v>
                </c:pt>
                <c:pt idx="2">
                  <c:v>0.90185273062499982</c:v>
                </c:pt>
                <c:pt idx="3">
                  <c:v>4.5212309999999993</c:v>
                </c:pt>
                <c:pt idx="4">
                  <c:v>8.0231339999999989</c:v>
                </c:pt>
                <c:pt idx="5">
                  <c:v>11.209171499999998</c:v>
                </c:pt>
                <c:pt idx="6">
                  <c:v>14.079343499999998</c:v>
                </c:pt>
                <c:pt idx="7">
                  <c:v>16.633650000000003</c:v>
                </c:pt>
                <c:pt idx="8">
                  <c:v>18.872090999999998</c:v>
                </c:pt>
                <c:pt idx="9">
                  <c:v>20.794666500000002</c:v>
                </c:pt>
                <c:pt idx="10">
                  <c:v>22.401376499999994</c:v>
                </c:pt>
                <c:pt idx="11">
                  <c:v>23.692221000000007</c:v>
                </c:pt>
                <c:pt idx="12">
                  <c:v>24.667200000000001</c:v>
                </c:pt>
                <c:pt idx="13">
                  <c:v>25.326313499999998</c:v>
                </c:pt>
                <c:pt idx="14">
                  <c:v>25.669561499999997</c:v>
                </c:pt>
                <c:pt idx="15">
                  <c:v>25.696943999999998</c:v>
                </c:pt>
                <c:pt idx="16">
                  <c:v>25.408460999999999</c:v>
                </c:pt>
                <c:pt idx="17">
                  <c:v>24.804112499999999</c:v>
                </c:pt>
                <c:pt idx="18">
                  <c:v>23.883898499999997</c:v>
                </c:pt>
                <c:pt idx="19">
                  <c:v>22.647818999999998</c:v>
                </c:pt>
                <c:pt idx="20">
                  <c:v>21.095874000000016</c:v>
                </c:pt>
                <c:pt idx="21">
                  <c:v>19.228063499999994</c:v>
                </c:pt>
                <c:pt idx="22">
                  <c:v>17.044387499999999</c:v>
                </c:pt>
                <c:pt idx="23" formatCode="General">
                  <c:v>9.0275862068965509</c:v>
                </c:pt>
                <c:pt idx="24" formatCode="General">
                  <c:v>0</c:v>
                </c:pt>
              </c:numCache>
            </c:numRef>
          </c:xVal>
          <c:yVal>
            <c:numRef>
              <c:f>BM!$AD$27:$AD$51</c:f>
              <c:numCache>
                <c:formatCode>0_)</c:formatCode>
                <c:ptCount val="25"/>
                <c:pt idx="0">
                  <c:v>-33.299999999999997</c:v>
                </c:pt>
                <c:pt idx="1">
                  <c:v>-43.289999999999992</c:v>
                </c:pt>
                <c:pt idx="2">
                  <c:v>-39.213149999999999</c:v>
                </c:pt>
                <c:pt idx="3">
                  <c:v>38.247000000000007</c:v>
                </c:pt>
                <c:pt idx="4">
                  <c:v>119.78400000000001</c:v>
                </c:pt>
                <c:pt idx="5">
                  <c:v>201.32099999999997</c:v>
                </c:pt>
                <c:pt idx="6">
                  <c:v>282.858</c:v>
                </c:pt>
                <c:pt idx="7">
                  <c:v>364.39500000000004</c:v>
                </c:pt>
                <c:pt idx="8">
                  <c:v>445.93200000000002</c:v>
                </c:pt>
                <c:pt idx="9">
                  <c:v>527.46900000000005</c:v>
                </c:pt>
                <c:pt idx="10">
                  <c:v>609.00599999999997</c:v>
                </c:pt>
                <c:pt idx="11">
                  <c:v>690.54300000000012</c:v>
                </c:pt>
                <c:pt idx="12">
                  <c:v>772.07999999999993</c:v>
                </c:pt>
                <c:pt idx="13">
                  <c:v>853.61700000000019</c:v>
                </c:pt>
                <c:pt idx="14">
                  <c:v>935.15399999999988</c:v>
                </c:pt>
                <c:pt idx="15">
                  <c:v>1016.691</c:v>
                </c:pt>
                <c:pt idx="16">
                  <c:v>1098.2280000000001</c:v>
                </c:pt>
                <c:pt idx="17">
                  <c:v>1179.7650000000001</c:v>
                </c:pt>
                <c:pt idx="18">
                  <c:v>1261.3019999999999</c:v>
                </c:pt>
                <c:pt idx="19">
                  <c:v>1342.8389999999999</c:v>
                </c:pt>
                <c:pt idx="20">
                  <c:v>1424.3760000000002</c:v>
                </c:pt>
                <c:pt idx="21">
                  <c:v>1505.913</c:v>
                </c:pt>
                <c:pt idx="22">
                  <c:v>1587.45</c:v>
                </c:pt>
                <c:pt idx="23" formatCode="General">
                  <c:v>1805.5172413793102</c:v>
                </c:pt>
                <c:pt idx="24" formatCode="General">
                  <c:v>1805.5172413793102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D-40BC-9702-8C9CDBF689D4}"/>
            </c:ext>
          </c:extLst>
        </c:ser>
        <c:ser>
          <c:idx val="1"/>
          <c:order val="3"/>
          <c:tx>
            <c:strRef>
              <c:f>'Results (ULS)'!$Q$2</c:f>
              <c:strCache>
                <c:ptCount val="1"/>
                <c:pt idx="0">
                  <c:v>ST3-Crown-Final</c:v>
                </c:pt>
              </c:strCache>
            </c:strRef>
          </c:tx>
          <c:spPr>
            <a:ln>
              <a:noFill/>
            </a:ln>
          </c:spPr>
          <c:xVal>
            <c:numRef>
              <c:f>'Results (ULS)'!$AA$4:$AA$66</c:f>
              <c:numCache>
                <c:formatCode>General</c:formatCode>
                <c:ptCount val="63"/>
                <c:pt idx="0">
                  <c:v>13.658925</c:v>
                </c:pt>
                <c:pt idx="1">
                  <c:v>3.1640250000000001</c:v>
                </c:pt>
                <c:pt idx="2">
                  <c:v>8.9849250000000005</c:v>
                </c:pt>
                <c:pt idx="3">
                  <c:v>3.9143999999999997</c:v>
                </c:pt>
                <c:pt idx="4">
                  <c:v>17.108249999999998</c:v>
                </c:pt>
                <c:pt idx="5">
                  <c:v>2.4313349999999998</c:v>
                </c:pt>
                <c:pt idx="6">
                  <c:v>3.5902500000000002</c:v>
                </c:pt>
                <c:pt idx="7">
                  <c:v>4.7679000000000009</c:v>
                </c:pt>
                <c:pt idx="8">
                  <c:v>4.7723250000000004</c:v>
                </c:pt>
                <c:pt idx="9">
                  <c:v>4.7723250000000004</c:v>
                </c:pt>
                <c:pt idx="10">
                  <c:v>4.8279749999999995</c:v>
                </c:pt>
                <c:pt idx="11">
                  <c:v>0.87380250000000004</c:v>
                </c:pt>
                <c:pt idx="12">
                  <c:v>2.7197249999999995</c:v>
                </c:pt>
                <c:pt idx="13">
                  <c:v>3.86625</c:v>
                </c:pt>
                <c:pt idx="14">
                  <c:v>2.5023749999999998</c:v>
                </c:pt>
                <c:pt idx="15">
                  <c:v>3.1936500000000003</c:v>
                </c:pt>
                <c:pt idx="16">
                  <c:v>9.872399999999999</c:v>
                </c:pt>
                <c:pt idx="17">
                  <c:v>6.5750999999999999</c:v>
                </c:pt>
                <c:pt idx="18">
                  <c:v>5.4333</c:v>
                </c:pt>
                <c:pt idx="19">
                  <c:v>2.1078000000000001</c:v>
                </c:pt>
                <c:pt idx="20">
                  <c:v>1.5483</c:v>
                </c:pt>
                <c:pt idx="21">
                  <c:v>1.3434299999999999</c:v>
                </c:pt>
                <c:pt idx="22">
                  <c:v>7.74465</c:v>
                </c:pt>
                <c:pt idx="23">
                  <c:v>1.257765</c:v>
                </c:pt>
                <c:pt idx="24">
                  <c:v>1.1725575000000001</c:v>
                </c:pt>
                <c:pt idx="25">
                  <c:v>1.54095</c:v>
                </c:pt>
                <c:pt idx="26">
                  <c:v>10.793474999999999</c:v>
                </c:pt>
                <c:pt idx="27">
                  <c:v>4.2654750000000003</c:v>
                </c:pt>
                <c:pt idx="28">
                  <c:v>12.3363</c:v>
                </c:pt>
                <c:pt idx="29">
                  <c:v>7.3198500000000006</c:v>
                </c:pt>
                <c:pt idx="30">
                  <c:v>10.1274</c:v>
                </c:pt>
                <c:pt idx="31">
                  <c:v>10.28655</c:v>
                </c:pt>
                <c:pt idx="32">
                  <c:v>6.2900250000000009</c:v>
                </c:pt>
                <c:pt idx="33">
                  <c:v>1.4597850000000001</c:v>
                </c:pt>
                <c:pt idx="34">
                  <c:v>14.170875000000001</c:v>
                </c:pt>
                <c:pt idx="35">
                  <c:v>15.125999999999999</c:v>
                </c:pt>
                <c:pt idx="36">
                  <c:v>2.038125</c:v>
                </c:pt>
                <c:pt idx="37">
                  <c:v>9.2622</c:v>
                </c:pt>
                <c:pt idx="38">
                  <c:v>2.9403750000000004</c:v>
                </c:pt>
                <c:pt idx="39">
                  <c:v>2.0084999999999997</c:v>
                </c:pt>
                <c:pt idx="40">
                  <c:v>9.0937500000000011E-3</c:v>
                </c:pt>
                <c:pt idx="41">
                  <c:v>2.0150250000000001</c:v>
                </c:pt>
                <c:pt idx="42">
                  <c:v>0.81507750000000001</c:v>
                </c:pt>
                <c:pt idx="43">
                  <c:v>0.40623749999999997</c:v>
                </c:pt>
                <c:pt idx="44">
                  <c:v>2.7636750000000001</c:v>
                </c:pt>
                <c:pt idx="45">
                  <c:v>9.8685750000000003E-2</c:v>
                </c:pt>
                <c:pt idx="46">
                  <c:v>0.46297499999999997</c:v>
                </c:pt>
                <c:pt idx="47">
                  <c:v>15.192449999999999</c:v>
                </c:pt>
                <c:pt idx="48">
                  <c:v>3.6023250000000004</c:v>
                </c:pt>
                <c:pt idx="49">
                  <c:v>1.2486375000000001</c:v>
                </c:pt>
                <c:pt idx="50">
                  <c:v>0.4306875</c:v>
                </c:pt>
                <c:pt idx="51">
                  <c:v>0.5707875</c:v>
                </c:pt>
                <c:pt idx="52">
                  <c:v>11.261849999999999</c:v>
                </c:pt>
                <c:pt idx="53">
                  <c:v>11.652825</c:v>
                </c:pt>
                <c:pt idx="54">
                  <c:v>1.12584</c:v>
                </c:pt>
                <c:pt idx="55">
                  <c:v>5.1598500000000005</c:v>
                </c:pt>
                <c:pt idx="56">
                  <c:v>3.1714500000000001</c:v>
                </c:pt>
                <c:pt idx="57">
                  <c:v>3.1937249999999997</c:v>
                </c:pt>
                <c:pt idx="58">
                  <c:v>1.9172324999999999</c:v>
                </c:pt>
                <c:pt idx="59">
                  <c:v>3.3623250000000002</c:v>
                </c:pt>
                <c:pt idx="60">
                  <c:v>1.1276625</c:v>
                </c:pt>
                <c:pt idx="61">
                  <c:v>1.8087750000000002</c:v>
                </c:pt>
                <c:pt idx="62">
                  <c:v>0.65127000000000002</c:v>
                </c:pt>
              </c:numCache>
            </c:numRef>
          </c:xVal>
          <c:yVal>
            <c:numRef>
              <c:f>'Results (ULS)'!$AB$4:$AB$66</c:f>
              <c:numCache>
                <c:formatCode>General</c:formatCode>
                <c:ptCount val="63"/>
                <c:pt idx="0">
                  <c:v>857.13000000000011</c:v>
                </c:pt>
                <c:pt idx="1">
                  <c:v>446.79</c:v>
                </c:pt>
                <c:pt idx="2">
                  <c:v>943.05000000000007</c:v>
                </c:pt>
                <c:pt idx="3">
                  <c:v>523.21500000000003</c:v>
                </c:pt>
                <c:pt idx="4">
                  <c:v>984.49499999999989</c:v>
                </c:pt>
                <c:pt idx="5">
                  <c:v>615.54</c:v>
                </c:pt>
                <c:pt idx="6">
                  <c:v>1047.0749999999998</c:v>
                </c:pt>
                <c:pt idx="7">
                  <c:v>1142.43</c:v>
                </c:pt>
                <c:pt idx="8">
                  <c:v>1142.43</c:v>
                </c:pt>
                <c:pt idx="9">
                  <c:v>1199.1300000000001</c:v>
                </c:pt>
                <c:pt idx="10">
                  <c:v>682.92000000000007</c:v>
                </c:pt>
                <c:pt idx="11">
                  <c:v>1211.6999999999998</c:v>
                </c:pt>
                <c:pt idx="12">
                  <c:v>871.08</c:v>
                </c:pt>
                <c:pt idx="13">
                  <c:v>1264.83</c:v>
                </c:pt>
                <c:pt idx="14">
                  <c:v>1303.53</c:v>
                </c:pt>
                <c:pt idx="15">
                  <c:v>942.13499999999999</c:v>
                </c:pt>
                <c:pt idx="16">
                  <c:v>1353.48</c:v>
                </c:pt>
                <c:pt idx="17">
                  <c:v>1412.16</c:v>
                </c:pt>
                <c:pt idx="18">
                  <c:v>1423.35</c:v>
                </c:pt>
                <c:pt idx="19">
                  <c:v>1454.4749999999999</c:v>
                </c:pt>
                <c:pt idx="20">
                  <c:v>1454.5050000000001</c:v>
                </c:pt>
                <c:pt idx="21">
                  <c:v>1454.5050000000001</c:v>
                </c:pt>
                <c:pt idx="22">
                  <c:v>975</c:v>
                </c:pt>
                <c:pt idx="23">
                  <c:v>1454.4749999999999</c:v>
                </c:pt>
                <c:pt idx="24">
                  <c:v>1455.27</c:v>
                </c:pt>
                <c:pt idx="25">
                  <c:v>1454.1299999999999</c:v>
                </c:pt>
                <c:pt idx="26">
                  <c:v>1005.2249999999999</c:v>
                </c:pt>
                <c:pt idx="27">
                  <c:v>1453.6499999999999</c:v>
                </c:pt>
                <c:pt idx="28">
                  <c:v>1009.8000000000001</c:v>
                </c:pt>
                <c:pt idx="29">
                  <c:v>1453.1850000000002</c:v>
                </c:pt>
                <c:pt idx="30">
                  <c:v>1042.68</c:v>
                </c:pt>
                <c:pt idx="31">
                  <c:v>1453.3050000000001</c:v>
                </c:pt>
                <c:pt idx="32">
                  <c:v>1085.895</c:v>
                </c:pt>
                <c:pt idx="33">
                  <c:v>1127.7450000000001</c:v>
                </c:pt>
                <c:pt idx="34">
                  <c:v>1153.56</c:v>
                </c:pt>
                <c:pt idx="35">
                  <c:v>1149.93</c:v>
                </c:pt>
                <c:pt idx="36">
                  <c:v>1468.095</c:v>
                </c:pt>
                <c:pt idx="37">
                  <c:v>1149.3000000000002</c:v>
                </c:pt>
                <c:pt idx="38">
                  <c:v>1148.6849999999999</c:v>
                </c:pt>
                <c:pt idx="39">
                  <c:v>1529.85</c:v>
                </c:pt>
                <c:pt idx="40">
                  <c:v>1144.3050000000001</c:v>
                </c:pt>
                <c:pt idx="41">
                  <c:v>1559.6999999999998</c:v>
                </c:pt>
                <c:pt idx="42">
                  <c:v>1143.345</c:v>
                </c:pt>
                <c:pt idx="43">
                  <c:v>1573.7999999999997</c:v>
                </c:pt>
                <c:pt idx="44">
                  <c:v>1154.52</c:v>
                </c:pt>
                <c:pt idx="45">
                  <c:v>1179.3600000000001</c:v>
                </c:pt>
                <c:pt idx="46">
                  <c:v>1188.9749999999999</c:v>
                </c:pt>
                <c:pt idx="47">
                  <c:v>1606.0500000000002</c:v>
                </c:pt>
                <c:pt idx="48">
                  <c:v>1605.4499999999998</c:v>
                </c:pt>
                <c:pt idx="49">
                  <c:v>1604.1</c:v>
                </c:pt>
                <c:pt idx="50">
                  <c:v>1181.0999999999999</c:v>
                </c:pt>
                <c:pt idx="51">
                  <c:v>1577.7000000000003</c:v>
                </c:pt>
                <c:pt idx="52">
                  <c:v>1570.1999999999998</c:v>
                </c:pt>
                <c:pt idx="53">
                  <c:v>1548</c:v>
                </c:pt>
                <c:pt idx="54">
                  <c:v>1186.845</c:v>
                </c:pt>
                <c:pt idx="55">
                  <c:v>1539.1499999999999</c:v>
                </c:pt>
                <c:pt idx="56">
                  <c:v>1231.845</c:v>
                </c:pt>
                <c:pt idx="57">
                  <c:v>1492.41</c:v>
                </c:pt>
                <c:pt idx="58">
                  <c:v>1303.53</c:v>
                </c:pt>
                <c:pt idx="59">
                  <c:v>1393.5</c:v>
                </c:pt>
                <c:pt idx="60">
                  <c:v>1342.2149999999999</c:v>
                </c:pt>
                <c:pt idx="61">
                  <c:v>1357.3799999999999</c:v>
                </c:pt>
                <c:pt idx="62">
                  <c:v>1368.7350000000001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DD-40BC-9702-8C9CDBF689D4}"/>
            </c:ext>
          </c:extLst>
        </c:ser>
        <c:ser>
          <c:idx val="2"/>
          <c:order val="4"/>
          <c:tx>
            <c:strRef>
              <c:f>'Results (ULS)'!$AD$2</c:f>
              <c:strCache>
                <c:ptCount val="1"/>
                <c:pt idx="0">
                  <c:v>ST3-Crown-Construction Loading</c:v>
                </c:pt>
              </c:strCache>
            </c:strRef>
          </c:tx>
          <c:spPr>
            <a:ln>
              <a:noFill/>
            </a:ln>
          </c:spPr>
          <c:xVal>
            <c:numRef>
              <c:f>'Results (ULS)'!$AN$4:$AN$71</c:f>
              <c:numCache>
                <c:formatCode>General</c:formatCode>
                <c:ptCount val="68"/>
                <c:pt idx="0">
                  <c:v>6.1082249999999991</c:v>
                </c:pt>
                <c:pt idx="1">
                  <c:v>5.92605</c:v>
                </c:pt>
                <c:pt idx="2">
                  <c:v>3.6433499999999999</c:v>
                </c:pt>
                <c:pt idx="3">
                  <c:v>4.5809999999999995</c:v>
                </c:pt>
                <c:pt idx="4">
                  <c:v>1.8950250000000004</c:v>
                </c:pt>
                <c:pt idx="5">
                  <c:v>14.1297</c:v>
                </c:pt>
                <c:pt idx="6">
                  <c:v>3.7986749999999998</c:v>
                </c:pt>
                <c:pt idx="7">
                  <c:v>9.327375</c:v>
                </c:pt>
                <c:pt idx="8">
                  <c:v>4.1940749999999998</c:v>
                </c:pt>
                <c:pt idx="9">
                  <c:v>17.483249999999998</c:v>
                </c:pt>
                <c:pt idx="10">
                  <c:v>2.4324974999999998</c:v>
                </c:pt>
                <c:pt idx="11">
                  <c:v>3.3739500000000007</c:v>
                </c:pt>
                <c:pt idx="12">
                  <c:v>4.6040999999999999</c:v>
                </c:pt>
                <c:pt idx="13">
                  <c:v>5.6233500000000003</c:v>
                </c:pt>
                <c:pt idx="14">
                  <c:v>5.6233500000000003</c:v>
                </c:pt>
                <c:pt idx="15">
                  <c:v>4.9191000000000003</c:v>
                </c:pt>
                <c:pt idx="16">
                  <c:v>5.7577500000000004E-2</c:v>
                </c:pt>
                <c:pt idx="17">
                  <c:v>2.9255999999999998</c:v>
                </c:pt>
                <c:pt idx="18">
                  <c:v>3.2324175000000004</c:v>
                </c:pt>
                <c:pt idx="19">
                  <c:v>2.8630200000000001</c:v>
                </c:pt>
                <c:pt idx="20">
                  <c:v>3.2432249999999998</c:v>
                </c:pt>
                <c:pt idx="21">
                  <c:v>10.0725</c:v>
                </c:pt>
                <c:pt idx="22">
                  <c:v>6.0663</c:v>
                </c:pt>
                <c:pt idx="23">
                  <c:v>5.1739499999999996</c:v>
                </c:pt>
                <c:pt idx="24">
                  <c:v>1.7829524999999999</c:v>
                </c:pt>
                <c:pt idx="25">
                  <c:v>1.1752050000000001</c:v>
                </c:pt>
                <c:pt idx="26">
                  <c:v>0.96007500000000001</c:v>
                </c:pt>
                <c:pt idx="27">
                  <c:v>7.8488999999999995</c:v>
                </c:pt>
                <c:pt idx="28">
                  <c:v>0.87013499999999999</c:v>
                </c:pt>
                <c:pt idx="29">
                  <c:v>0.7806225</c:v>
                </c:pt>
                <c:pt idx="30">
                  <c:v>1.9941</c:v>
                </c:pt>
                <c:pt idx="31">
                  <c:v>10.860074999999998</c:v>
                </c:pt>
                <c:pt idx="32">
                  <c:v>4.7797499999999999</c:v>
                </c:pt>
                <c:pt idx="33">
                  <c:v>12.318149999999999</c:v>
                </c:pt>
                <c:pt idx="34">
                  <c:v>7.9023000000000003</c:v>
                </c:pt>
                <c:pt idx="35">
                  <c:v>9.8660250000000005</c:v>
                </c:pt>
                <c:pt idx="36">
                  <c:v>10.857150000000001</c:v>
                </c:pt>
                <c:pt idx="37">
                  <c:v>5.879624999999999</c:v>
                </c:pt>
                <c:pt idx="38">
                  <c:v>2.103135</c:v>
                </c:pt>
                <c:pt idx="39">
                  <c:v>15.122325</c:v>
                </c:pt>
                <c:pt idx="40">
                  <c:v>16.048500000000001</c:v>
                </c:pt>
                <c:pt idx="41">
                  <c:v>1.1861249999999999</c:v>
                </c:pt>
                <c:pt idx="42">
                  <c:v>9.2905499999999996</c:v>
                </c:pt>
                <c:pt idx="43">
                  <c:v>2.0114325000000002</c:v>
                </c:pt>
                <c:pt idx="44">
                  <c:v>1.8565499999999999</c:v>
                </c:pt>
                <c:pt idx="45">
                  <c:v>0.10937775</c:v>
                </c:pt>
                <c:pt idx="46">
                  <c:v>1.9770750000000001</c:v>
                </c:pt>
                <c:pt idx="47">
                  <c:v>0.82509750000000004</c:v>
                </c:pt>
                <c:pt idx="48">
                  <c:v>0.67172999999999994</c:v>
                </c:pt>
                <c:pt idx="49">
                  <c:v>3.2651249999999994</c:v>
                </c:pt>
                <c:pt idx="50">
                  <c:v>0.27628049999999998</c:v>
                </c:pt>
                <c:pt idx="51">
                  <c:v>0.37984050000000003</c:v>
                </c:pt>
                <c:pt idx="52">
                  <c:v>15.072675</c:v>
                </c:pt>
                <c:pt idx="53">
                  <c:v>3.6376499999999998</c:v>
                </c:pt>
                <c:pt idx="54">
                  <c:v>1.3009425000000001</c:v>
                </c:pt>
                <c:pt idx="55">
                  <c:v>0.1471065</c:v>
                </c:pt>
                <c:pt idx="56">
                  <c:v>0.50061749999999994</c:v>
                </c:pt>
                <c:pt idx="57">
                  <c:v>11.172975000000001</c:v>
                </c:pt>
                <c:pt idx="58">
                  <c:v>11.8428</c:v>
                </c:pt>
                <c:pt idx="59">
                  <c:v>1.1979975</c:v>
                </c:pt>
                <c:pt idx="60">
                  <c:v>5.4151500000000006</c:v>
                </c:pt>
                <c:pt idx="61">
                  <c:v>3.0320999999999998</c:v>
                </c:pt>
                <c:pt idx="62">
                  <c:v>2.934075</c:v>
                </c:pt>
                <c:pt idx="63">
                  <c:v>2.1808575000000001</c:v>
                </c:pt>
                <c:pt idx="64">
                  <c:v>3.2120250000000001</c:v>
                </c:pt>
                <c:pt idx="65">
                  <c:v>1.3923375</c:v>
                </c:pt>
                <c:pt idx="66">
                  <c:v>1.6415625</c:v>
                </c:pt>
                <c:pt idx="67">
                  <c:v>0.77231699999999992</c:v>
                </c:pt>
              </c:numCache>
            </c:numRef>
          </c:xVal>
          <c:yVal>
            <c:numRef>
              <c:f>'Results (ULS)'!$AO$4:$AO$71</c:f>
              <c:numCache>
                <c:formatCode>General</c:formatCode>
                <c:ptCount val="68"/>
                <c:pt idx="0">
                  <c:v>647.19000000000005</c:v>
                </c:pt>
                <c:pt idx="1">
                  <c:v>414.39</c:v>
                </c:pt>
                <c:pt idx="2">
                  <c:v>447.96000000000004</c:v>
                </c:pt>
                <c:pt idx="3">
                  <c:v>685.18499999999995</c:v>
                </c:pt>
                <c:pt idx="4">
                  <c:v>468.94499999999999</c:v>
                </c:pt>
                <c:pt idx="5">
                  <c:v>960.58500000000004</c:v>
                </c:pt>
                <c:pt idx="6">
                  <c:v>540.72</c:v>
                </c:pt>
                <c:pt idx="7">
                  <c:v>1056</c:v>
                </c:pt>
                <c:pt idx="8">
                  <c:v>621.76499999999999</c:v>
                </c:pt>
                <c:pt idx="9">
                  <c:v>1105.5600000000002</c:v>
                </c:pt>
                <c:pt idx="10">
                  <c:v>721.995</c:v>
                </c:pt>
                <c:pt idx="11">
                  <c:v>1175.7450000000001</c:v>
                </c:pt>
                <c:pt idx="12">
                  <c:v>1277.1299999999999</c:v>
                </c:pt>
                <c:pt idx="13">
                  <c:v>1277.1299999999999</c:v>
                </c:pt>
                <c:pt idx="14">
                  <c:v>1337.7750000000001</c:v>
                </c:pt>
                <c:pt idx="15">
                  <c:v>787.84500000000003</c:v>
                </c:pt>
                <c:pt idx="16">
                  <c:v>1348.9650000000001</c:v>
                </c:pt>
                <c:pt idx="17">
                  <c:v>974.5200000000001</c:v>
                </c:pt>
                <c:pt idx="18">
                  <c:v>1401.8100000000002</c:v>
                </c:pt>
                <c:pt idx="19">
                  <c:v>1436.625</c:v>
                </c:pt>
                <c:pt idx="20">
                  <c:v>1041.9000000000001</c:v>
                </c:pt>
                <c:pt idx="21">
                  <c:v>1482.0150000000001</c:v>
                </c:pt>
                <c:pt idx="22">
                  <c:v>1539.3000000000002</c:v>
                </c:pt>
                <c:pt idx="23">
                  <c:v>1550.25</c:v>
                </c:pt>
                <c:pt idx="24">
                  <c:v>1580.7000000000003</c:v>
                </c:pt>
                <c:pt idx="25">
                  <c:v>1580.7000000000003</c:v>
                </c:pt>
                <c:pt idx="26">
                  <c:v>1580.7000000000003</c:v>
                </c:pt>
                <c:pt idx="27">
                  <c:v>1075.125</c:v>
                </c:pt>
                <c:pt idx="28">
                  <c:v>1580.7000000000003</c:v>
                </c:pt>
                <c:pt idx="29">
                  <c:v>1581.4499999999998</c:v>
                </c:pt>
                <c:pt idx="30">
                  <c:v>1580.1</c:v>
                </c:pt>
                <c:pt idx="31">
                  <c:v>1109.6100000000001</c:v>
                </c:pt>
                <c:pt idx="32">
                  <c:v>1579.5</c:v>
                </c:pt>
                <c:pt idx="33">
                  <c:v>1115.1299999999999</c:v>
                </c:pt>
                <c:pt idx="34">
                  <c:v>1578.8999999999999</c:v>
                </c:pt>
                <c:pt idx="35">
                  <c:v>1149.42</c:v>
                </c:pt>
                <c:pt idx="36">
                  <c:v>1577.8500000000001</c:v>
                </c:pt>
                <c:pt idx="37">
                  <c:v>1193.895</c:v>
                </c:pt>
                <c:pt idx="38">
                  <c:v>1236.6599999999999</c:v>
                </c:pt>
                <c:pt idx="39">
                  <c:v>1262.73</c:v>
                </c:pt>
                <c:pt idx="40">
                  <c:v>1259.0099999999998</c:v>
                </c:pt>
                <c:pt idx="41">
                  <c:v>1558.35</c:v>
                </c:pt>
                <c:pt idx="42">
                  <c:v>1258.23</c:v>
                </c:pt>
                <c:pt idx="43">
                  <c:v>1257.4950000000001</c:v>
                </c:pt>
                <c:pt idx="44">
                  <c:v>1585.5</c:v>
                </c:pt>
                <c:pt idx="45">
                  <c:v>1236.165</c:v>
                </c:pt>
                <c:pt idx="46">
                  <c:v>1604.5500000000002</c:v>
                </c:pt>
                <c:pt idx="47">
                  <c:v>1208.3100000000002</c:v>
                </c:pt>
                <c:pt idx="48">
                  <c:v>1597.35</c:v>
                </c:pt>
                <c:pt idx="49">
                  <c:v>1198.9499999999998</c:v>
                </c:pt>
                <c:pt idx="50">
                  <c:v>1208.1300000000001</c:v>
                </c:pt>
                <c:pt idx="51">
                  <c:v>1207.9349999999999</c:v>
                </c:pt>
                <c:pt idx="52">
                  <c:v>1607.25</c:v>
                </c:pt>
                <c:pt idx="53">
                  <c:v>1606.5</c:v>
                </c:pt>
                <c:pt idx="54">
                  <c:v>1605</c:v>
                </c:pt>
                <c:pt idx="55">
                  <c:v>1190.865</c:v>
                </c:pt>
                <c:pt idx="56">
                  <c:v>1575</c:v>
                </c:pt>
                <c:pt idx="57">
                  <c:v>1563.75</c:v>
                </c:pt>
                <c:pt idx="58">
                  <c:v>1538.8500000000001</c:v>
                </c:pt>
                <c:pt idx="59">
                  <c:v>1184.31</c:v>
                </c:pt>
                <c:pt idx="60">
                  <c:v>1528.4999999999998</c:v>
                </c:pt>
                <c:pt idx="61">
                  <c:v>1220.6100000000001</c:v>
                </c:pt>
                <c:pt idx="62">
                  <c:v>1476.7049999999999</c:v>
                </c:pt>
                <c:pt idx="63">
                  <c:v>1283.835</c:v>
                </c:pt>
                <c:pt idx="64">
                  <c:v>1372.1849999999999</c:v>
                </c:pt>
                <c:pt idx="65">
                  <c:v>1317.66</c:v>
                </c:pt>
                <c:pt idx="66">
                  <c:v>1332.3000000000002</c:v>
                </c:pt>
                <c:pt idx="67">
                  <c:v>1344.93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E-4275-9AD6-D0A719071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33792"/>
        <c:axId val="262035712"/>
      </c:scatterChart>
      <c:valAx>
        <c:axId val="262033792"/>
        <c:scaling>
          <c:orientation val="minMax"/>
          <c:max val="3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6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 b="1"/>
                  <a:t>Bending</a:t>
                </a:r>
                <a:r>
                  <a:rPr lang="en-AU" sz="1200" b="1" baseline="0"/>
                  <a:t> Moment, ɸM</a:t>
                </a:r>
                <a:r>
                  <a:rPr lang="en-AU" sz="1200" b="1" baseline="-25000"/>
                  <a:t>u</a:t>
                </a:r>
                <a:r>
                  <a:rPr lang="en-AU" sz="1200" b="1" baseline="0"/>
                  <a:t> (kNm/m) </a:t>
                </a:r>
                <a:endParaRPr lang="en-AU" sz="1200" b="1"/>
              </a:p>
            </c:rich>
          </c:tx>
          <c:layout>
            <c:manualLayout>
              <c:xMode val="edge"/>
              <c:yMode val="edge"/>
              <c:x val="0.35255280487647717"/>
              <c:y val="0.9239812773403324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035712"/>
        <c:crosses val="autoZero"/>
        <c:crossBetween val="midCat"/>
      </c:valAx>
      <c:valAx>
        <c:axId val="2620357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6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 b="1"/>
                  <a:t>Axial Force, ɸN</a:t>
                </a:r>
                <a:r>
                  <a:rPr lang="en-AU" sz="1200" b="1" baseline="-25000"/>
                  <a:t>u </a:t>
                </a:r>
                <a:r>
                  <a:rPr lang="en-AU" sz="1200" b="1"/>
                  <a:t>(kN/m)</a:t>
                </a:r>
              </a:p>
            </c:rich>
          </c:tx>
          <c:layout>
            <c:manualLayout>
              <c:xMode val="edge"/>
              <c:yMode val="edge"/>
              <c:x val="1.3071123883655295E-2"/>
              <c:y val="0.324371653543307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033792"/>
        <c:crosses val="autoZero"/>
        <c:crossBetween val="midCat"/>
      </c:valAx>
      <c:spPr>
        <a:noFill/>
        <a:ln w="3175">
          <a:solidFill>
            <a:schemeClr val="bg1">
              <a:lumMod val="65000"/>
            </a:scheme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340334018867593"/>
          <c:y val="4.1463324663818087E-2"/>
          <c:w val="0.46921099886251838"/>
          <c:h val="0.1895914260717410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48528802320763"/>
          <c:y val="2.5821596244131457E-2"/>
          <c:w val="0.80113133226767708"/>
          <c:h val="0.8575782780673542"/>
        </c:manualLayout>
      </c:layout>
      <c:scatterChart>
        <c:scatterStyle val="smoothMarker"/>
        <c:varyColors val="0"/>
        <c:ser>
          <c:idx val="3"/>
          <c:order val="0"/>
          <c:tx>
            <c:v>Plain Concrete/SFRC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SF!$Q$9:$Q$32</c:f>
              <c:numCache>
                <c:formatCode>0.00</c:formatCode>
                <c:ptCount val="24"/>
                <c:pt idx="1">
                  <c:v>96.209903369994123</c:v>
                </c:pt>
                <c:pt idx="2">
                  <c:v>116.20990336999412</c:v>
                </c:pt>
                <c:pt idx="3">
                  <c:v>136.20990336999409</c:v>
                </c:pt>
                <c:pt idx="4">
                  <c:v>156.20990336999409</c:v>
                </c:pt>
                <c:pt idx="5">
                  <c:v>176.20990336999409</c:v>
                </c:pt>
                <c:pt idx="6">
                  <c:v>176.20990336999409</c:v>
                </c:pt>
                <c:pt idx="7">
                  <c:v>176.20990336999409</c:v>
                </c:pt>
                <c:pt idx="8">
                  <c:v>176.20990336999409</c:v>
                </c:pt>
                <c:pt idx="9">
                  <c:v>176.20990336999409</c:v>
                </c:pt>
                <c:pt idx="10">
                  <c:v>176.20990336999409</c:v>
                </c:pt>
                <c:pt idx="11">
                  <c:v>176.20990336999409</c:v>
                </c:pt>
                <c:pt idx="12">
                  <c:v>176.20990336999409</c:v>
                </c:pt>
                <c:pt idx="13">
                  <c:v>176.20990336999409</c:v>
                </c:pt>
                <c:pt idx="14">
                  <c:v>176.20990336999409</c:v>
                </c:pt>
                <c:pt idx="15">
                  <c:v>176.20990336999409</c:v>
                </c:pt>
                <c:pt idx="16">
                  <c:v>176.20990336999409</c:v>
                </c:pt>
                <c:pt idx="17">
                  <c:v>176.20990336999409</c:v>
                </c:pt>
                <c:pt idx="18">
                  <c:v>176.20990336999409</c:v>
                </c:pt>
                <c:pt idx="19">
                  <c:v>176.20990336999409</c:v>
                </c:pt>
                <c:pt idx="20">
                  <c:v>176.20990336999409</c:v>
                </c:pt>
                <c:pt idx="21">
                  <c:v>176.20990336999409</c:v>
                </c:pt>
                <c:pt idx="22">
                  <c:v>176.20990336999409</c:v>
                </c:pt>
                <c:pt idx="23">
                  <c:v>0</c:v>
                </c:pt>
              </c:numCache>
            </c:numRef>
          </c:xVal>
          <c:yVal>
            <c:numRef>
              <c:f>SF!$O$9:$O$32</c:f>
              <c:numCache>
                <c:formatCode>General</c:formatCode>
                <c:ptCount val="24"/>
                <c:pt idx="1">
                  <c:v>0</c:v>
                </c:pt>
                <c:pt idx="2">
                  <c:v>133.33333333333334</c:v>
                </c:pt>
                <c:pt idx="3">
                  <c:v>266.66666666666669</c:v>
                </c:pt>
                <c:pt idx="4">
                  <c:v>400</c:v>
                </c:pt>
                <c:pt idx="5">
                  <c:v>533.33333333333337</c:v>
                </c:pt>
                <c:pt idx="6">
                  <c:v>666.66666666666663</c:v>
                </c:pt>
                <c:pt idx="7">
                  <c:v>800</c:v>
                </c:pt>
                <c:pt idx="8">
                  <c:v>933.33333333333337</c:v>
                </c:pt>
                <c:pt idx="9">
                  <c:v>1066.6666666666667</c:v>
                </c:pt>
                <c:pt idx="10">
                  <c:v>1200</c:v>
                </c:pt>
                <c:pt idx="11">
                  <c:v>1333.3333333333333</c:v>
                </c:pt>
                <c:pt idx="12">
                  <c:v>1466.666666666667</c:v>
                </c:pt>
                <c:pt idx="13">
                  <c:v>1600</c:v>
                </c:pt>
                <c:pt idx="14">
                  <c:v>1733.3333333333333</c:v>
                </c:pt>
                <c:pt idx="15">
                  <c:v>1866.6666666666667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3-49DD-8C10-CBD54DC477FD}"/>
            </c:ext>
          </c:extLst>
        </c:ser>
        <c:ser>
          <c:idx val="1"/>
          <c:order val="1"/>
          <c:tx>
            <c:strRef>
              <c:f>'Results (ULS)'!$B$1:$G$1</c:f>
              <c:strCache>
                <c:ptCount val="1"/>
                <c:pt idx="0">
                  <c:v>LC1</c:v>
                </c:pt>
              </c:strCache>
            </c:strRef>
          </c:tx>
          <c:spPr>
            <a:ln>
              <a:noFill/>
            </a:ln>
          </c:spPr>
          <c:xVal>
            <c:numRef>
              <c:f>'Results (ULS)'!$E$4:$E$51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'Results (ULS)'!$G$4:$G$51</c:f>
              <c:numCache>
                <c:formatCode>General</c:formatCode>
                <c:ptCount val="48"/>
                <c:pt idx="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3-49DD-8C10-CBD54DC477FD}"/>
            </c:ext>
          </c:extLst>
        </c:ser>
        <c:ser>
          <c:idx val="2"/>
          <c:order val="2"/>
          <c:tx>
            <c:strRef>
              <c:f>'Results (ULS)'!$H$1:$M$1</c:f>
              <c:strCache>
                <c:ptCount val="1"/>
                <c:pt idx="0">
                  <c:v>LC2</c:v>
                </c:pt>
              </c:strCache>
            </c:strRef>
          </c:tx>
          <c:spPr>
            <a:ln>
              <a:noFill/>
            </a:ln>
          </c:spPr>
          <c:xVal>
            <c:numRef>
              <c:f>'Results (ULS)'!$L$4:$L$51</c:f>
              <c:numCache>
                <c:formatCode>General</c:formatCode>
                <c:ptCount val="48"/>
                <c:pt idx="0">
                  <c:v>0</c:v>
                </c:pt>
              </c:numCache>
            </c:numRef>
          </c:xVal>
          <c:yVal>
            <c:numRef>
              <c:f>'Results (ULS)'!$M$4:$M$51</c:f>
              <c:numCache>
                <c:formatCode>General</c:formatCode>
                <c:ptCount val="48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93-49DD-8C10-CBD54DC47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33792"/>
        <c:axId val="262035712"/>
      </c:scatterChart>
      <c:valAx>
        <c:axId val="2620337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1"/>
                  <a:t>Shear Force</a:t>
                </a:r>
                <a:r>
                  <a:rPr lang="en-AU" sz="1000" b="1" baseline="0"/>
                  <a:t>, ɸV</a:t>
                </a:r>
                <a:r>
                  <a:rPr lang="en-AU" sz="1000" b="1" baseline="-25000"/>
                  <a:t>u</a:t>
                </a:r>
                <a:r>
                  <a:rPr lang="en-AU" sz="1000" b="1" baseline="0"/>
                  <a:t> (kN/m) </a:t>
                </a:r>
                <a:endParaRPr lang="en-AU" sz="10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035712"/>
        <c:crosses val="autoZero"/>
        <c:crossBetween val="midCat"/>
      </c:valAx>
      <c:valAx>
        <c:axId val="2620357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1"/>
                  <a:t>Axial Force, ɸN</a:t>
                </a:r>
                <a:r>
                  <a:rPr lang="en-AU" sz="1000" b="1" baseline="-25000"/>
                  <a:t>u </a:t>
                </a:r>
                <a:r>
                  <a:rPr lang="en-AU" sz="1000" b="1"/>
                  <a:t>(kN/m)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03379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444306137936689"/>
          <c:y val="3.7051379005585264E-2"/>
          <c:w val="0.45158435929885177"/>
          <c:h val="0.11613192280007766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hart" Target="../charts/chart2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23</xdr:row>
      <xdr:rowOff>28576</xdr:rowOff>
    </xdr:from>
    <xdr:to>
      <xdr:col>9</xdr:col>
      <xdr:colOff>400050</xdr:colOff>
      <xdr:row>53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</xdr:row>
      <xdr:rowOff>47625</xdr:rowOff>
    </xdr:from>
    <xdr:to>
      <xdr:col>20</xdr:col>
      <xdr:colOff>0</xdr:colOff>
      <xdr:row>14</xdr:row>
      <xdr:rowOff>19050</xdr:rowOff>
    </xdr:to>
    <xdr:grpSp>
      <xdr:nvGrpSpPr>
        <xdr:cNvPr id="3" name="Group 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10399059" y="619125"/>
          <a:ext cx="1815353" cy="2100543"/>
          <a:chOff x="411" y="1067"/>
          <a:chExt cx="226" cy="168"/>
        </a:xfrm>
      </xdr:grpSpPr>
      <xdr:grpSp>
        <xdr:nvGrpSpPr>
          <xdr:cNvPr id="4" name="Group 10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>
            <a:grpSpLocks/>
          </xdr:cNvGrpSpPr>
        </xdr:nvGrpSpPr>
        <xdr:grpSpPr bwMode="auto">
          <a:xfrm>
            <a:off x="411" y="1067"/>
            <a:ext cx="226" cy="168"/>
            <a:chOff x="390" y="1067"/>
            <a:chExt cx="226" cy="168"/>
          </a:xfrm>
        </xdr:grpSpPr>
        <xdr:sp macro="" textlink="">
          <xdr:nvSpPr>
            <xdr:cNvPr id="6" name="Line 11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4" y="1160"/>
              <a:ext cx="192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lgDash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" name="Line 12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08" y="1093"/>
              <a:ext cx="0" cy="13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" name="Rectangle 13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8" y="1093"/>
              <a:ext cx="38" cy="55"/>
            </a:xfrm>
            <a:prstGeom prst="rect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" name="Line 1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03" y="1092"/>
              <a:ext cx="0" cy="14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 type="triangle" w="sm" len="med"/>
              <a:tailEnd type="triangle" w="sm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" name="Line 15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90" y="1234"/>
              <a:ext cx="49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" name="Line 16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90" y="1092"/>
              <a:ext cx="4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" name="Text Box 17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04" y="1149"/>
              <a:ext cx="10" cy="20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d</a:t>
              </a:r>
            </a:p>
          </xdr:txBody>
        </xdr:sp>
        <xdr:sp macro="" textlink="">
          <xdr:nvSpPr>
            <xdr:cNvPr id="13" name="Line 18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61" y="1092"/>
              <a:ext cx="0" cy="5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 type="triangle" w="sm" len="med"/>
              <a:tailEnd type="triangle" w="sm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" name="Line 19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51" y="1146"/>
              <a:ext cx="21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20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51" y="1092"/>
              <a:ext cx="21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" name="Text Box 21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71" y="1113"/>
              <a:ext cx="27" cy="19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strike="noStrike">
                  <a:solidFill>
                    <a:srgbClr val="000000"/>
                  </a:solidFill>
                  <a:latin typeface="Symbol"/>
                </a:rPr>
                <a:t>g</a:t>
              </a: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k</a:t>
              </a:r>
              <a:r>
                <a:rPr lang="en-US" sz="1000" b="0" i="0" strike="noStrike" baseline="-25000">
                  <a:solidFill>
                    <a:srgbClr val="000000"/>
                  </a:solidFill>
                  <a:latin typeface="MS Sans Serif"/>
                </a:rPr>
                <a:t>u</a:t>
              </a: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d</a:t>
              </a:r>
            </a:p>
          </xdr:txBody>
        </xdr:sp>
        <xdr:sp macro="" textlink="">
          <xdr:nvSpPr>
            <xdr:cNvPr id="17" name="Line 22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30" y="1093"/>
              <a:ext cx="0" cy="6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 type="triangle" w="sm" len="med"/>
              <a:tailEnd type="triangle" w="sm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" name="Text Box 23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35" y="1113"/>
              <a:ext cx="29" cy="19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k</a:t>
              </a:r>
              <a:r>
                <a:rPr lang="en-US" sz="1000" b="0" i="0" strike="noStrike" baseline="-25000">
                  <a:solidFill>
                    <a:srgbClr val="000000"/>
                  </a:solidFill>
                  <a:latin typeface="MS Sans Serif"/>
                </a:rPr>
                <a:t>u</a:t>
              </a: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d</a:t>
              </a:r>
            </a:p>
          </xdr:txBody>
        </xdr:sp>
        <xdr:sp macro="" textlink="">
          <xdr:nvSpPr>
            <xdr:cNvPr id="19" name="Oval 2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4" y="1089"/>
              <a:ext cx="8" cy="8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" name="Text Box 25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98" y="1067"/>
              <a:ext cx="21" cy="20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M</a:t>
              </a:r>
              <a:r>
                <a:rPr lang="en-US" sz="1000" b="0" i="0" strike="noStrike" baseline="-25000">
                  <a:solidFill>
                    <a:srgbClr val="000000"/>
                  </a:solidFill>
                  <a:latin typeface="MS Sans Serif"/>
                </a:rPr>
                <a:t>u</a:t>
              </a:r>
            </a:p>
          </xdr:txBody>
        </xdr:sp>
        <xdr:sp macro="" textlink="">
          <xdr:nvSpPr>
            <xdr:cNvPr id="21" name="Line 26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2" y="1118"/>
              <a:ext cx="3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Text Box 27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59" y="1093"/>
              <a:ext cx="22" cy="20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F</a:t>
              </a:r>
              <a:r>
                <a:rPr lang="en-US" sz="1000" b="0" i="0" strike="noStrike" baseline="-25000">
                  <a:solidFill>
                    <a:srgbClr val="000000"/>
                  </a:solidFill>
                  <a:latin typeface="MS Sans Serif"/>
                </a:rPr>
                <a:t>cu</a:t>
              </a:r>
            </a:p>
          </xdr:txBody>
        </xdr:sp>
        <xdr:sp macro="" textlink="">
          <xdr:nvSpPr>
            <xdr:cNvPr id="23" name="Text Box 28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65" y="1161"/>
              <a:ext cx="22" cy="19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NA</a:t>
              </a:r>
            </a:p>
          </xdr:txBody>
        </xdr:sp>
      </xdr:grpSp>
      <xdr:sp macro="" textlink="">
        <xdr:nvSpPr>
          <xdr:cNvPr id="5" name="Line 29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529" y="1148"/>
            <a:ext cx="3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514350</xdr:colOff>
      <xdr:row>3</xdr:row>
      <xdr:rowOff>66675</xdr:rowOff>
    </xdr:from>
    <xdr:to>
      <xdr:col>15</xdr:col>
      <xdr:colOff>523875</xdr:colOff>
      <xdr:row>15</xdr:row>
      <xdr:rowOff>66675</xdr:rowOff>
    </xdr:to>
    <xdr:grpSp>
      <xdr:nvGrpSpPr>
        <xdr:cNvPr id="24" name="Group 30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>
          <a:grpSpLocks/>
        </xdr:cNvGrpSpPr>
      </xdr:nvGrpSpPr>
      <xdr:grpSpPr bwMode="auto">
        <a:xfrm>
          <a:off x="7887821" y="638175"/>
          <a:ext cx="1824878" cy="2330824"/>
          <a:chOff x="80" y="1069"/>
          <a:chExt cx="247" cy="188"/>
        </a:xfrm>
      </xdr:grpSpPr>
      <xdr:grpSp>
        <xdr:nvGrpSpPr>
          <xdr:cNvPr id="25" name="Group 31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81" y="1069"/>
            <a:ext cx="250" cy="169"/>
            <a:chOff x="80" y="1069"/>
            <a:chExt cx="226" cy="169"/>
          </a:xfrm>
        </xdr:grpSpPr>
        <xdr:sp macro="" textlink="">
          <xdr:nvSpPr>
            <xdr:cNvPr id="27" name="Text Box 32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52" y="1184"/>
              <a:ext cx="27" cy="21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F</a:t>
              </a:r>
              <a:r>
                <a:rPr lang="en-US" sz="1000" b="0" i="0" strike="noStrike" baseline="-25000">
                  <a:solidFill>
                    <a:srgbClr val="000000"/>
                  </a:solidFill>
                  <a:latin typeface="MS Sans Serif"/>
                </a:rPr>
                <a:t>ct</a:t>
              </a:r>
            </a:p>
          </xdr:txBody>
        </xdr:sp>
        <xdr:sp macro="" textlink="">
          <xdr:nvSpPr>
            <xdr:cNvPr id="28" name="Line 33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14" y="1162"/>
              <a:ext cx="192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lgDash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98" y="1095"/>
              <a:ext cx="0" cy="13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Rectangle 35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8" y="1095"/>
              <a:ext cx="38" cy="55"/>
            </a:xfrm>
            <a:prstGeom prst="rect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1" name="Rectangle 3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5" y="1181"/>
              <a:ext cx="13" cy="54"/>
            </a:xfrm>
            <a:prstGeom prst="rect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2" name="Line 37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93" y="1094"/>
              <a:ext cx="0" cy="14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 type="triangle" w="sm" len="med"/>
              <a:tailEnd type="triangle" w="sm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8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0" y="1236"/>
              <a:ext cx="49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" name="Line 39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0" y="1094"/>
              <a:ext cx="4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" name="Text Box 40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4" y="1151"/>
              <a:ext cx="13" cy="20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d</a:t>
              </a:r>
            </a:p>
          </xdr:txBody>
        </xdr:sp>
        <xdr:sp macro="" textlink="">
          <xdr:nvSpPr>
            <xdr:cNvPr id="36" name="Line 41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51" y="1094"/>
              <a:ext cx="0" cy="5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 type="triangle" w="sm" len="med"/>
              <a:tailEnd type="triangle" w="sm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" name="Line 42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41" y="1148"/>
              <a:ext cx="21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" name="Line 43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41" y="1094"/>
              <a:ext cx="21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" name="Text Box 44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61" y="1115"/>
              <a:ext cx="27" cy="20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strike="noStrike">
                  <a:solidFill>
                    <a:srgbClr val="000000"/>
                  </a:solidFill>
                  <a:latin typeface="Symbol"/>
                </a:rPr>
                <a:t>g</a:t>
              </a: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k</a:t>
              </a:r>
              <a:r>
                <a:rPr lang="en-US" sz="1000" b="0" i="0" strike="noStrike" baseline="-25000">
                  <a:solidFill>
                    <a:srgbClr val="000000"/>
                  </a:solidFill>
                  <a:latin typeface="MS Sans Serif"/>
                </a:rPr>
                <a:t>u</a:t>
              </a: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d</a:t>
              </a:r>
            </a:p>
          </xdr:txBody>
        </xdr:sp>
        <xdr:sp macro="" textlink="">
          <xdr:nvSpPr>
            <xdr:cNvPr id="40" name="Line 45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16" y="1182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" name="Line 46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4" y="1183"/>
              <a:ext cx="0" cy="5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 type="triangle" w="sm" len="med"/>
              <a:tailEnd type="triangle" w="sm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" name="Text Box 47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31" y="1203"/>
              <a:ext cx="71" cy="25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strike="noStrike">
                  <a:solidFill>
                    <a:srgbClr val="000000"/>
                  </a:solidFill>
                  <a:latin typeface="Symbol"/>
                  <a:cs typeface="+mn-cs"/>
                </a:rPr>
                <a:t>0.9</a:t>
              </a:r>
              <a:r>
                <a:rPr lang="en-US" sz="10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(d-</a:t>
              </a: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k</a:t>
              </a:r>
              <a:r>
                <a:rPr lang="en-US" sz="1000" b="0" i="0" strike="noStrike" baseline="-25000">
                  <a:solidFill>
                    <a:srgbClr val="000000"/>
                  </a:solidFill>
                  <a:latin typeface="MS Sans Serif"/>
                </a:rPr>
                <a:t>u</a:t>
              </a: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d)</a:t>
              </a:r>
            </a:p>
          </xdr:txBody>
        </xdr:sp>
        <xdr:sp macro="" textlink="">
          <xdr:nvSpPr>
            <xdr:cNvPr id="43" name="Line 48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0" y="1095"/>
              <a:ext cx="0" cy="6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 type="triangle" w="sm" len="med"/>
              <a:tailEnd type="triangle" w="sm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" name="Text Box 49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4" y="1115"/>
              <a:ext cx="27" cy="20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k</a:t>
              </a:r>
              <a:r>
                <a:rPr lang="en-US" sz="1000" b="0" i="0" strike="noStrike" baseline="-25000">
                  <a:solidFill>
                    <a:srgbClr val="000000"/>
                  </a:solidFill>
                  <a:latin typeface="MS Sans Serif"/>
                </a:rPr>
                <a:t>u</a:t>
              </a: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d</a:t>
              </a:r>
            </a:p>
          </xdr:txBody>
        </xdr:sp>
        <xdr:sp macro="" textlink="">
          <xdr:nvSpPr>
            <xdr:cNvPr id="45" name="Oval 50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4" y="1091"/>
              <a:ext cx="8" cy="8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6" name="Text Box 51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8" y="1069"/>
              <a:ext cx="24" cy="20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M</a:t>
              </a:r>
              <a:r>
                <a:rPr lang="en-US" sz="1000" b="0" i="0" strike="noStrike" baseline="-25000">
                  <a:solidFill>
                    <a:srgbClr val="000000"/>
                  </a:solidFill>
                  <a:latin typeface="MS Sans Serif"/>
                </a:rPr>
                <a:t>u</a:t>
              </a:r>
            </a:p>
          </xdr:txBody>
        </xdr:sp>
        <xdr:sp macro="" textlink="">
          <xdr:nvSpPr>
            <xdr:cNvPr id="47" name="Text Box 52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35" y="1163"/>
              <a:ext cx="30" cy="19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NA</a:t>
              </a:r>
            </a:p>
          </xdr:txBody>
        </xdr:sp>
        <xdr:sp macro="" textlink="">
          <xdr:nvSpPr>
            <xdr:cNvPr id="48" name="Line 53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46" y="1211"/>
              <a:ext cx="41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" name="Line 54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32" y="1120"/>
              <a:ext cx="3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" name="Text Box 55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49" y="1095"/>
              <a:ext cx="30" cy="20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strike="noStrike">
                  <a:solidFill>
                    <a:srgbClr val="000000"/>
                  </a:solidFill>
                  <a:latin typeface="MS Sans Serif"/>
                </a:rPr>
                <a:t>F</a:t>
              </a:r>
              <a:r>
                <a:rPr lang="en-US" sz="1000" b="0" i="0" strike="noStrike" baseline="-25000">
                  <a:solidFill>
                    <a:srgbClr val="000000"/>
                  </a:solidFill>
                  <a:latin typeface="MS Sans Serif"/>
                </a:rPr>
                <a:t>cu</a:t>
              </a:r>
            </a:p>
          </xdr:txBody>
        </xdr:sp>
        <xdr:sp macro="" textlink="">
          <xdr:nvSpPr>
            <xdr:cNvPr id="51" name="Line 56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10" y="1237"/>
              <a:ext cx="27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" name="Text Box 57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7" y="1235"/>
            <a:ext cx="36" cy="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MS Sans Serif"/>
              </a:rPr>
              <a:t>f</a:t>
            </a:r>
            <a:r>
              <a:rPr lang="en-US" sz="1000" b="0" i="0" strike="noStrike" baseline="-25000">
                <a:solidFill>
                  <a:srgbClr val="000000"/>
                </a:solidFill>
                <a:latin typeface="MS Sans Serif"/>
              </a:rPr>
              <a:t>e</a:t>
            </a:r>
          </a:p>
        </xdr:txBody>
      </xdr:sp>
    </xdr:grpSp>
    <xdr:clientData/>
  </xdr:twoCellAnchor>
  <xdr:twoCellAnchor editAs="oneCell">
    <xdr:from>
      <xdr:col>11</xdr:col>
      <xdr:colOff>457200</xdr:colOff>
      <xdr:row>14</xdr:row>
      <xdr:rowOff>123826</xdr:rowOff>
    </xdr:from>
    <xdr:to>
      <xdr:col>20</xdr:col>
      <xdr:colOff>0</xdr:colOff>
      <xdr:row>21</xdr:row>
      <xdr:rowOff>18857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95A61CB8-B191-4929-AF9F-8947E8165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25553" y="2723591"/>
          <a:ext cx="4988859" cy="1315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23</xdr:row>
      <xdr:rowOff>1</xdr:rowOff>
    </xdr:from>
    <xdr:to>
      <xdr:col>9</xdr:col>
      <xdr:colOff>419100</xdr:colOff>
      <xdr:row>52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03CA2-DB43-477A-AC17-6C7948399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142875</xdr:colOff>
      <xdr:row>108</xdr:row>
      <xdr:rowOff>66675</xdr:rowOff>
    </xdr:from>
    <xdr:to>
      <xdr:col>10</xdr:col>
      <xdr:colOff>342100</xdr:colOff>
      <xdr:row>114</xdr:row>
      <xdr:rowOff>156055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15F03A-D05C-4826-94D0-3C1741545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21002625"/>
          <a:ext cx="6400000" cy="1238095"/>
        </a:xfrm>
        <a:prstGeom prst="rect">
          <a:avLst/>
        </a:prstGeom>
      </xdr:spPr>
    </xdr:pic>
    <xdr:clientData/>
  </xdr:twoCellAnchor>
  <xdr:twoCellAnchor editAs="oneCell">
    <xdr:from>
      <xdr:col>19</xdr:col>
      <xdr:colOff>53439</xdr:colOff>
      <xdr:row>22</xdr:row>
      <xdr:rowOff>147394</xdr:rowOff>
    </xdr:from>
    <xdr:to>
      <xdr:col>27</xdr:col>
      <xdr:colOff>223084</xdr:colOff>
      <xdr:row>30</xdr:row>
      <xdr:rowOff>87086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9BE7FA-5EC0-45F3-9EAC-8DE4158C4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08130" y="4359176"/>
          <a:ext cx="5046445" cy="1394419"/>
        </a:xfrm>
        <a:prstGeom prst="rect">
          <a:avLst/>
        </a:prstGeom>
      </xdr:spPr>
    </xdr:pic>
    <xdr:clientData/>
  </xdr:twoCellAnchor>
  <xdr:twoCellAnchor editAs="oneCell">
    <xdr:from>
      <xdr:col>19</xdr:col>
      <xdr:colOff>53439</xdr:colOff>
      <xdr:row>9</xdr:row>
      <xdr:rowOff>100938</xdr:rowOff>
    </xdr:from>
    <xdr:to>
      <xdr:col>27</xdr:col>
      <xdr:colOff>196604</xdr:colOff>
      <xdr:row>22</xdr:row>
      <xdr:rowOff>133010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768B53-8AB9-40E5-903A-D737E6F91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08130" y="1832756"/>
          <a:ext cx="5019965" cy="2512036"/>
        </a:xfrm>
        <a:prstGeom prst="rect">
          <a:avLst/>
        </a:prstGeom>
      </xdr:spPr>
    </xdr:pic>
    <xdr:clientData/>
  </xdr:twoCellAnchor>
  <xdr:twoCellAnchor editAs="oneCell">
    <xdr:from>
      <xdr:col>27</xdr:col>
      <xdr:colOff>468872</xdr:colOff>
      <xdr:row>19</xdr:row>
      <xdr:rowOff>106065</xdr:rowOff>
    </xdr:from>
    <xdr:to>
      <xdr:col>35</xdr:col>
      <xdr:colOff>104520</xdr:colOff>
      <xdr:row>30</xdr:row>
      <xdr:rowOff>183925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1FC544E-8FE6-4408-A0A4-0AFBA4B7D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33725" y="3804006"/>
          <a:ext cx="4476589" cy="2206978"/>
        </a:xfrm>
        <a:prstGeom prst="rect">
          <a:avLst/>
        </a:prstGeom>
      </xdr:spPr>
    </xdr:pic>
    <xdr:clientData/>
  </xdr:twoCellAnchor>
  <xdr:twoCellAnchor editAs="oneCell">
    <xdr:from>
      <xdr:col>27</xdr:col>
      <xdr:colOff>246529</xdr:colOff>
      <xdr:row>3</xdr:row>
      <xdr:rowOff>103414</xdr:rowOff>
    </xdr:from>
    <xdr:to>
      <xdr:col>34</xdr:col>
      <xdr:colOff>442137</xdr:colOff>
      <xdr:row>19</xdr:row>
      <xdr:rowOff>43145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FB2F5E-878F-407E-B287-75AAECC07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11382" y="674914"/>
          <a:ext cx="4431431" cy="3066172"/>
        </a:xfrm>
        <a:prstGeom prst="rect">
          <a:avLst/>
        </a:prstGeom>
      </xdr:spPr>
    </xdr:pic>
    <xdr:clientData/>
  </xdr:twoCellAnchor>
  <xdr:twoCellAnchor editAs="oneCell">
    <xdr:from>
      <xdr:col>25</xdr:col>
      <xdr:colOff>504263</xdr:colOff>
      <xdr:row>31</xdr:row>
      <xdr:rowOff>44824</xdr:rowOff>
    </xdr:from>
    <xdr:to>
      <xdr:col>35</xdr:col>
      <xdr:colOff>102200</xdr:colOff>
      <xdr:row>40</xdr:row>
      <xdr:rowOff>111748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DB663A-5388-F54F-9604-D461770EC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158881" y="6062383"/>
          <a:ext cx="5649113" cy="178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78"/>
  <sheetViews>
    <sheetView tabSelected="1" topLeftCell="A4" zoomScale="85" zoomScaleNormal="85" workbookViewId="0">
      <selection activeCell="H15" sqref="H15"/>
    </sheetView>
  </sheetViews>
  <sheetFormatPr defaultRowHeight="15"/>
  <cols>
    <col min="10" max="10" width="10.7109375" customWidth="1"/>
  </cols>
  <sheetData>
    <row r="1" spans="1:31" ht="15.6" customHeight="1">
      <c r="A1" s="130"/>
      <c r="B1" s="131"/>
      <c r="C1" s="131"/>
      <c r="D1" s="214" t="s">
        <v>66</v>
      </c>
      <c r="E1" s="215"/>
      <c r="F1" s="215"/>
      <c r="G1" s="215"/>
      <c r="H1" s="216"/>
      <c r="I1" s="132" t="s">
        <v>67</v>
      </c>
      <c r="J1" s="133"/>
      <c r="K1" s="7"/>
      <c r="L1" s="3"/>
      <c r="M1" s="8" t="s">
        <v>3</v>
      </c>
      <c r="N1" s="6"/>
      <c r="O1" s="6"/>
      <c r="P1" s="6"/>
      <c r="Q1" s="6"/>
      <c r="R1" s="6"/>
      <c r="S1" s="6"/>
      <c r="T1" s="6"/>
      <c r="U1" s="6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.6" customHeight="1">
      <c r="A2" s="14"/>
      <c r="B2" s="16"/>
      <c r="C2" s="16"/>
      <c r="D2" s="202"/>
      <c r="E2" s="203"/>
      <c r="F2" s="203"/>
      <c r="G2" s="203"/>
      <c r="H2" s="217"/>
      <c r="I2" s="128" t="s">
        <v>2</v>
      </c>
      <c r="J2" s="134">
        <f ca="1">TODAY()</f>
        <v>45454</v>
      </c>
      <c r="K2" s="9"/>
      <c r="L2" s="9"/>
      <c r="M2" s="6"/>
      <c r="N2" s="6"/>
      <c r="O2" s="6"/>
      <c r="P2" s="6"/>
      <c r="Q2" s="6"/>
      <c r="R2" s="6"/>
      <c r="S2" s="6"/>
      <c r="T2" s="6"/>
      <c r="U2" s="6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5.6" customHeight="1">
      <c r="A3" s="14"/>
      <c r="B3" s="16"/>
      <c r="C3" s="16"/>
      <c r="D3" s="202"/>
      <c r="E3" s="203"/>
      <c r="F3" s="203"/>
      <c r="G3" s="203"/>
      <c r="H3" s="217"/>
      <c r="I3" s="129" t="s">
        <v>69</v>
      </c>
      <c r="J3" s="135"/>
      <c r="K3" s="9"/>
      <c r="L3" s="9"/>
      <c r="M3" s="10" t="s">
        <v>4</v>
      </c>
      <c r="N3" s="6"/>
      <c r="O3" s="6"/>
      <c r="P3" s="6"/>
      <c r="Q3" s="10" t="s">
        <v>5</v>
      </c>
      <c r="R3" s="6"/>
      <c r="S3" s="6"/>
      <c r="T3" s="6"/>
      <c r="U3" s="6"/>
      <c r="V3" s="5"/>
      <c r="W3" s="6"/>
      <c r="X3" s="6"/>
      <c r="Y3" s="6"/>
      <c r="Z3" s="6"/>
      <c r="AA3" s="6"/>
      <c r="AB3" s="6"/>
      <c r="AC3" s="6"/>
      <c r="AD3" s="5"/>
      <c r="AE3" s="5"/>
    </row>
    <row r="4" spans="1:31" ht="15.75" customHeight="1">
      <c r="A4" s="14"/>
      <c r="B4" s="16"/>
      <c r="C4" s="16"/>
      <c r="D4" s="218"/>
      <c r="E4" s="219"/>
      <c r="F4" s="219"/>
      <c r="G4" s="219"/>
      <c r="H4" s="220"/>
      <c r="I4" s="128" t="s">
        <v>2</v>
      </c>
      <c r="J4" s="134">
        <f ca="1">TODAY()</f>
        <v>45454</v>
      </c>
      <c r="K4" s="9"/>
      <c r="L4" s="9"/>
      <c r="M4" s="6"/>
      <c r="N4" s="6"/>
      <c r="O4" s="6"/>
      <c r="P4" s="6"/>
      <c r="Q4" s="6"/>
      <c r="R4" s="6"/>
      <c r="S4" s="6"/>
      <c r="T4" s="6"/>
      <c r="U4" s="6"/>
      <c r="V4" s="5"/>
      <c r="W4" s="11"/>
      <c r="X4" s="12"/>
      <c r="Y4" s="13"/>
      <c r="Z4" s="6"/>
      <c r="AA4" s="6"/>
      <c r="AB4" s="6"/>
      <c r="AC4" s="6"/>
      <c r="AD4" s="5"/>
      <c r="AE4" s="5"/>
    </row>
    <row r="5" spans="1:31" ht="15.75">
      <c r="A5" s="136" t="s">
        <v>0</v>
      </c>
      <c r="B5" s="222"/>
      <c r="C5" s="222"/>
      <c r="D5" s="222"/>
      <c r="E5" s="222"/>
      <c r="F5" s="222"/>
      <c r="G5" s="222"/>
      <c r="H5" s="222"/>
      <c r="I5" s="128" t="s">
        <v>68</v>
      </c>
      <c r="J5" s="144"/>
      <c r="K5" s="9"/>
      <c r="L5" s="9"/>
      <c r="M5" s="6"/>
      <c r="N5" s="6"/>
      <c r="O5" s="6"/>
      <c r="P5" s="6"/>
      <c r="Q5" s="6"/>
      <c r="R5" s="6"/>
      <c r="S5" s="6"/>
      <c r="T5" s="6"/>
      <c r="U5" s="6"/>
      <c r="V5" s="5"/>
      <c r="W5" s="11"/>
      <c r="X5" s="12"/>
      <c r="Y5" s="13"/>
      <c r="Z5" s="6"/>
      <c r="AA5" s="6"/>
      <c r="AB5" s="6"/>
      <c r="AC5" s="6"/>
      <c r="AD5" s="5"/>
      <c r="AE5" s="5"/>
    </row>
    <row r="6" spans="1:31" ht="15.6" customHeight="1" thickBot="1">
      <c r="A6" s="137" t="s">
        <v>1</v>
      </c>
      <c r="B6" s="221"/>
      <c r="C6" s="221"/>
      <c r="D6" s="221"/>
      <c r="E6" s="221"/>
      <c r="F6" s="221"/>
      <c r="G6" s="221"/>
      <c r="H6" s="221"/>
      <c r="I6" s="138" t="s">
        <v>2</v>
      </c>
      <c r="J6" s="139">
        <f ca="1">TODAY()</f>
        <v>45454</v>
      </c>
      <c r="K6" s="3"/>
      <c r="L6" s="3"/>
      <c r="M6" s="6"/>
      <c r="N6" s="6"/>
      <c r="O6" s="6"/>
      <c r="P6" s="6"/>
      <c r="Q6" s="6"/>
      <c r="R6" s="6"/>
      <c r="S6" s="6"/>
      <c r="T6" s="6"/>
      <c r="U6" s="6"/>
      <c r="V6" s="5"/>
      <c r="W6" s="11"/>
      <c r="X6" s="12"/>
      <c r="Y6" s="13"/>
      <c r="Z6" s="6"/>
      <c r="AA6" s="6"/>
      <c r="AB6" s="6"/>
      <c r="AC6" s="6"/>
      <c r="AD6" s="5"/>
      <c r="AE6" s="5"/>
    </row>
    <row r="7" spans="1:31" ht="16.149999999999999" customHeight="1" thickBot="1">
      <c r="A7" s="202" t="s">
        <v>49</v>
      </c>
      <c r="B7" s="203"/>
      <c r="C7" s="203"/>
      <c r="D7" s="203"/>
      <c r="E7" s="203"/>
      <c r="F7" s="203"/>
      <c r="G7" s="203"/>
      <c r="H7" s="203"/>
      <c r="I7" s="203"/>
      <c r="J7" s="204"/>
      <c r="K7" s="3"/>
      <c r="L7" s="3"/>
      <c r="M7" s="18"/>
      <c r="N7" s="18"/>
      <c r="O7" s="19"/>
      <c r="P7" s="6"/>
      <c r="Q7" s="6"/>
      <c r="R7" s="6"/>
      <c r="S7" s="6"/>
      <c r="T7" s="19"/>
      <c r="U7" s="18"/>
      <c r="V7" s="5"/>
      <c r="W7" s="166" t="s">
        <v>99</v>
      </c>
      <c r="X7" s="167"/>
      <c r="Y7" s="167"/>
      <c r="Z7" s="167"/>
      <c r="AA7" s="6"/>
      <c r="AB7" s="6"/>
      <c r="AC7" s="6"/>
      <c r="AD7" s="5"/>
      <c r="AE7" s="5"/>
    </row>
    <row r="8" spans="1:31" ht="15.6" customHeight="1">
      <c r="A8" s="202"/>
      <c r="B8" s="203"/>
      <c r="C8" s="203"/>
      <c r="D8" s="203"/>
      <c r="E8" s="203"/>
      <c r="F8" s="203"/>
      <c r="G8" s="203"/>
      <c r="H8" s="203"/>
      <c r="I8" s="203"/>
      <c r="J8" s="204"/>
      <c r="K8" s="3"/>
      <c r="L8" s="3"/>
      <c r="M8" s="18"/>
      <c r="N8" s="18"/>
      <c r="O8" s="19"/>
      <c r="P8" s="6"/>
      <c r="Q8" s="6"/>
      <c r="R8" s="6"/>
      <c r="S8" s="6"/>
      <c r="T8" s="19"/>
      <c r="U8" s="18"/>
      <c r="V8" s="5"/>
      <c r="W8" s="168"/>
      <c r="X8" s="169" t="s">
        <v>100</v>
      </c>
      <c r="Y8" s="170">
        <f>0.05*H12</f>
        <v>5</v>
      </c>
      <c r="Z8" s="171" t="s">
        <v>7</v>
      </c>
      <c r="AA8" s="6"/>
      <c r="AB8" s="6"/>
      <c r="AC8" s="6"/>
      <c r="AD8" s="5"/>
      <c r="AE8" s="5"/>
    </row>
    <row r="9" spans="1:31" ht="15.6" customHeight="1" thickBot="1">
      <c r="A9" s="205"/>
      <c r="B9" s="206"/>
      <c r="C9" s="206"/>
      <c r="D9" s="206"/>
      <c r="E9" s="206"/>
      <c r="F9" s="206"/>
      <c r="G9" s="206"/>
      <c r="H9" s="206"/>
      <c r="I9" s="206"/>
      <c r="J9" s="207"/>
      <c r="K9" s="3"/>
      <c r="L9" s="3"/>
      <c r="M9" s="18"/>
      <c r="N9" s="18"/>
      <c r="O9" s="19"/>
      <c r="P9" s="6"/>
      <c r="Q9" s="23"/>
      <c r="R9" s="23"/>
      <c r="S9" s="23"/>
      <c r="T9" s="23"/>
      <c r="U9" s="18"/>
      <c r="V9" s="5"/>
      <c r="W9" s="172"/>
      <c r="X9" s="1"/>
      <c r="Y9" s="173" t="s">
        <v>101</v>
      </c>
      <c r="Z9" s="174" t="s">
        <v>102</v>
      </c>
      <c r="AA9" s="5"/>
      <c r="AB9" s="5"/>
      <c r="AC9" s="5"/>
      <c r="AD9" s="5"/>
      <c r="AE9" s="5"/>
    </row>
    <row r="10" spans="1:31" ht="15.6" customHeight="1">
      <c r="A10" s="14"/>
      <c r="B10" s="15" t="s">
        <v>6</v>
      </c>
      <c r="C10" s="16"/>
      <c r="D10" s="16"/>
      <c r="E10" s="16"/>
      <c r="F10" s="16"/>
      <c r="G10" s="16"/>
      <c r="H10" s="16"/>
      <c r="I10" s="16"/>
      <c r="J10" s="17"/>
      <c r="K10" s="3"/>
      <c r="L10" s="3"/>
      <c r="M10" s="18"/>
      <c r="N10" s="18"/>
      <c r="O10" s="19"/>
      <c r="P10" s="6"/>
      <c r="Q10" s="23"/>
      <c r="R10" s="23"/>
      <c r="S10" s="23"/>
      <c r="T10" s="23"/>
      <c r="U10" s="18"/>
      <c r="V10" s="5"/>
      <c r="W10" s="172"/>
      <c r="X10" s="175" t="s">
        <v>103</v>
      </c>
      <c r="Y10" s="176">
        <f>Y50*0.95</f>
        <v>1938</v>
      </c>
      <c r="Z10" s="177">
        <f>-Y10*Y8/1000</f>
        <v>-9.69</v>
      </c>
      <c r="AA10" s="5"/>
      <c r="AB10" s="183">
        <v>0</v>
      </c>
      <c r="AC10" s="183">
        <v>0</v>
      </c>
      <c r="AD10" s="5"/>
      <c r="AE10" s="5"/>
    </row>
    <row r="11" spans="1:31" ht="15.6" customHeight="1">
      <c r="A11" s="14"/>
      <c r="C11" s="16"/>
      <c r="D11" s="16"/>
      <c r="E11" s="16"/>
      <c r="F11" s="16"/>
      <c r="G11" s="16"/>
      <c r="H11" s="16"/>
      <c r="I11" s="16"/>
      <c r="J11" s="17"/>
      <c r="K11" s="3"/>
      <c r="L11" s="3"/>
      <c r="M11" s="18"/>
      <c r="N11" s="18"/>
      <c r="O11" s="19"/>
      <c r="P11" s="6"/>
      <c r="Q11" s="23"/>
      <c r="R11" s="23"/>
      <c r="S11" s="23"/>
      <c r="T11" s="23"/>
      <c r="U11" s="18"/>
      <c r="V11" s="5"/>
      <c r="W11" s="172"/>
      <c r="X11" s="1"/>
      <c r="Y11" s="173">
        <v>0</v>
      </c>
      <c r="Z11" s="174">
        <v>0</v>
      </c>
      <c r="AA11" s="5"/>
      <c r="AB11" s="183">
        <f>(Y15-Y14)/(Z14-Z15)</f>
        <v>9.0275862068965509</v>
      </c>
      <c r="AC11" s="183">
        <f>Z14*AB11</f>
        <v>1805.5172413793102</v>
      </c>
      <c r="AD11" s="5"/>
      <c r="AE11" s="5"/>
    </row>
    <row r="12" spans="1:31" ht="15.6" customHeight="1" thickBot="1">
      <c r="A12" s="14"/>
      <c r="B12" s="20" t="s">
        <v>40</v>
      </c>
      <c r="C12" s="20"/>
      <c r="D12" s="20"/>
      <c r="E12" s="21"/>
      <c r="F12" s="20"/>
      <c r="G12" s="20"/>
      <c r="H12" s="125">
        <v>100</v>
      </c>
      <c r="I12" s="22" t="s">
        <v>7</v>
      </c>
      <c r="J12" s="17"/>
      <c r="K12" s="19" t="s">
        <v>70</v>
      </c>
      <c r="L12" s="3"/>
      <c r="M12" s="18"/>
      <c r="N12" s="18"/>
      <c r="O12" s="19"/>
      <c r="P12" s="6"/>
      <c r="Q12" s="23"/>
      <c r="R12" s="18"/>
      <c r="S12" s="18"/>
      <c r="T12" s="23"/>
      <c r="U12" s="18"/>
      <c r="V12" s="5"/>
      <c r="W12" s="178"/>
      <c r="X12" s="179"/>
      <c r="Y12" s="180">
        <f>Y10</f>
        <v>1938</v>
      </c>
      <c r="Z12" s="181">
        <f>-Z10</f>
        <v>9.69</v>
      </c>
      <c r="AA12" s="5"/>
      <c r="AB12" s="183">
        <v>0</v>
      </c>
      <c r="AC12" s="183">
        <f>AC11</f>
        <v>1805.5172413793102</v>
      </c>
      <c r="AD12" s="5"/>
      <c r="AE12" s="5"/>
    </row>
    <row r="13" spans="1:31" ht="15.6" customHeight="1">
      <c r="A13" s="14"/>
      <c r="B13" s="20" t="s">
        <v>61</v>
      </c>
      <c r="C13" s="20"/>
      <c r="D13" s="20"/>
      <c r="E13" s="21"/>
      <c r="F13" s="20"/>
      <c r="G13" s="20"/>
      <c r="H13" s="125">
        <v>1000</v>
      </c>
      <c r="I13" s="90" t="s">
        <v>7</v>
      </c>
      <c r="J13" s="17"/>
      <c r="K13" s="19" t="s">
        <v>70</v>
      </c>
      <c r="L13" s="3"/>
      <c r="M13" s="18"/>
      <c r="N13" s="18"/>
      <c r="O13" s="19"/>
      <c r="P13" s="6"/>
      <c r="Q13" s="23"/>
      <c r="R13" s="18"/>
      <c r="S13" s="18"/>
      <c r="T13" s="23"/>
      <c r="U13" s="18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6" customHeight="1">
      <c r="A14" s="14"/>
      <c r="B14" s="20" t="s">
        <v>8</v>
      </c>
      <c r="C14" s="20"/>
      <c r="D14" s="20"/>
      <c r="E14" s="21"/>
      <c r="F14" s="20"/>
      <c r="G14" s="20"/>
      <c r="H14" s="126">
        <v>40</v>
      </c>
      <c r="I14" s="22" t="s">
        <v>9</v>
      </c>
      <c r="J14" s="17"/>
      <c r="K14" s="19" t="s">
        <v>70</v>
      </c>
      <c r="L14" s="3"/>
      <c r="M14" s="18"/>
      <c r="N14" s="18"/>
      <c r="O14" s="19"/>
      <c r="P14" s="6"/>
      <c r="Q14" s="23"/>
      <c r="R14" s="23"/>
      <c r="S14" s="23"/>
      <c r="T14" s="23"/>
      <c r="U14" s="18"/>
      <c r="V14" s="5"/>
      <c r="W14" s="5"/>
      <c r="X14" s="5"/>
      <c r="Y14" s="1">
        <f>INTERCEPT(Y11:Y12,Z11:Z12)</f>
        <v>0</v>
      </c>
      <c r="Z14" s="1">
        <f>SLOPE(Y11:Y12,Z11:Z12)</f>
        <v>200</v>
      </c>
      <c r="AA14" s="5"/>
      <c r="AB14" s="5"/>
      <c r="AC14" s="5"/>
      <c r="AD14" s="5"/>
      <c r="AE14" s="5"/>
    </row>
    <row r="15" spans="1:31" ht="15.75">
      <c r="A15" s="14"/>
      <c r="B15" s="20" t="s">
        <v>63</v>
      </c>
      <c r="C15" s="20"/>
      <c r="D15" s="20"/>
      <c r="E15" s="100"/>
      <c r="F15" s="20"/>
      <c r="G15" s="20"/>
      <c r="H15" s="126">
        <v>25</v>
      </c>
      <c r="I15" s="101" t="s">
        <v>7</v>
      </c>
      <c r="J15" s="17"/>
      <c r="K15" s="19" t="s">
        <v>70</v>
      </c>
      <c r="L15" s="3"/>
      <c r="M15" s="18"/>
      <c r="N15" s="18"/>
      <c r="O15" s="19"/>
      <c r="P15" s="6"/>
      <c r="Q15" s="23"/>
      <c r="R15" s="23"/>
      <c r="S15" s="23"/>
      <c r="T15" s="23"/>
      <c r="U15" s="18"/>
      <c r="V15" s="5"/>
      <c r="W15" s="5"/>
      <c r="X15" s="5"/>
      <c r="Y15" s="182">
        <f>INTERCEPT(AA49:AA50,Z49:Z50)</f>
        <v>2040</v>
      </c>
      <c r="Z15" s="1">
        <f>SLOPE(AA49:AA50,Z49:Z50)</f>
        <v>-25.974025974025974</v>
      </c>
      <c r="AA15" s="5"/>
      <c r="AB15" s="5"/>
      <c r="AC15" s="5"/>
      <c r="AD15" s="5"/>
      <c r="AE15" s="5"/>
    </row>
    <row r="16" spans="1:31" ht="15.6" customHeight="1">
      <c r="A16" s="14"/>
      <c r="B16" s="24" t="s">
        <v>51</v>
      </c>
      <c r="C16" s="20"/>
      <c r="D16" s="20"/>
      <c r="E16" s="71"/>
      <c r="F16" s="71"/>
      <c r="G16" s="71"/>
      <c r="H16" s="26">
        <f>H20*H14</f>
        <v>34</v>
      </c>
      <c r="I16" s="22" t="s">
        <v>9</v>
      </c>
      <c r="J16" s="17"/>
      <c r="K16" s="3"/>
      <c r="L16" s="3"/>
      <c r="M16" s="29"/>
      <c r="N16" s="18"/>
      <c r="O16" s="19"/>
      <c r="P16" s="18"/>
      <c r="Q16" s="23"/>
      <c r="R16" s="23"/>
      <c r="S16" s="23"/>
      <c r="T16" s="23"/>
      <c r="U16" s="18"/>
      <c r="V16" s="5"/>
      <c r="W16" s="5"/>
      <c r="X16" s="5"/>
      <c r="Y16" s="74"/>
      <c r="Z16" s="75"/>
      <c r="AA16" s="5"/>
      <c r="AB16" s="5"/>
      <c r="AC16" s="5"/>
      <c r="AD16" s="5"/>
      <c r="AE16" s="5"/>
    </row>
    <row r="17" spans="1:31" ht="15.75">
      <c r="A17" s="14"/>
      <c r="B17" s="24" t="s">
        <v>10</v>
      </c>
      <c r="C17" s="20"/>
      <c r="D17" s="20"/>
      <c r="E17" s="71"/>
      <c r="F17" s="71"/>
      <c r="G17" s="71"/>
      <c r="H17" s="27">
        <f>0.6*H14^0.5</f>
        <v>3.7947331922020551</v>
      </c>
      <c r="I17" s="22" t="s">
        <v>9</v>
      </c>
      <c r="J17" s="17"/>
      <c r="K17" s="3"/>
      <c r="L17" s="3"/>
      <c r="M17" s="30"/>
      <c r="N17" s="30"/>
      <c r="O17" s="30"/>
      <c r="P17" s="4"/>
      <c r="Q17" s="4"/>
      <c r="R17" s="5"/>
      <c r="S17" s="4"/>
      <c r="T17" s="4"/>
      <c r="U17" s="5"/>
      <c r="V17" s="5"/>
      <c r="W17" s="5"/>
      <c r="X17" s="5"/>
      <c r="Y17" s="74"/>
      <c r="Z17" s="75"/>
      <c r="AA17" s="31"/>
      <c r="AB17" s="13"/>
      <c r="AC17" s="5"/>
      <c r="AD17" s="5"/>
      <c r="AE17" s="5"/>
    </row>
    <row r="18" spans="1:31" ht="15.75">
      <c r="A18" s="14"/>
      <c r="B18" s="24" t="s">
        <v>47</v>
      </c>
      <c r="C18" s="20"/>
      <c r="D18" s="20"/>
      <c r="E18" s="71"/>
      <c r="F18" s="71"/>
      <c r="G18" s="71"/>
      <c r="H18" s="127">
        <v>3</v>
      </c>
      <c r="I18" s="22" t="s">
        <v>9</v>
      </c>
      <c r="J18" s="17"/>
      <c r="K18" s="19" t="s">
        <v>70</v>
      </c>
      <c r="L18" s="1"/>
      <c r="M18" s="30"/>
      <c r="N18" s="30"/>
      <c r="O18" s="30"/>
      <c r="P18" s="4"/>
      <c r="Q18" s="4"/>
      <c r="R18" s="5"/>
      <c r="S18" s="5"/>
      <c r="T18" s="5"/>
      <c r="U18" s="5"/>
      <c r="V18" s="5"/>
      <c r="W18" s="5"/>
      <c r="X18" s="5"/>
      <c r="Y18" s="76"/>
      <c r="Z18" s="75"/>
      <c r="AA18" s="5"/>
      <c r="AB18" s="5"/>
      <c r="AC18" s="5"/>
      <c r="AD18" s="5"/>
      <c r="AE18" s="5"/>
    </row>
    <row r="19" spans="1:31" ht="15.75">
      <c r="A19" s="28"/>
      <c r="B19" s="24" t="s">
        <v>11</v>
      </c>
      <c r="C19" s="72"/>
      <c r="D19" s="72"/>
      <c r="E19" s="72"/>
      <c r="F19" s="85"/>
      <c r="G19" s="85"/>
      <c r="H19" s="27">
        <f>0.37*H18</f>
        <v>1.1099999999999999</v>
      </c>
      <c r="I19" s="71" t="s">
        <v>9</v>
      </c>
      <c r="J19" s="17"/>
      <c r="K19" s="33"/>
      <c r="L19" s="30"/>
      <c r="M19" s="30"/>
      <c r="N19" s="4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>
      <c r="A20" s="28"/>
      <c r="B20" s="24" t="s">
        <v>64</v>
      </c>
      <c r="C20" s="85"/>
      <c r="D20" s="85"/>
      <c r="E20" s="85"/>
      <c r="F20" s="85"/>
      <c r="G20" s="85"/>
      <c r="H20" s="26">
        <f>IF((1-0.003*H14)&gt;0.85,0.85,IF((1-0.003*H14)&lt;0.67,0.67,(1-0.003*H14)))</f>
        <v>0.85</v>
      </c>
      <c r="I20" s="71"/>
      <c r="J20" s="17"/>
      <c r="K20" s="33"/>
      <c r="L20" s="30"/>
      <c r="M20" s="30"/>
      <c r="N20" s="4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1"/>
    </row>
    <row r="21" spans="1:31" ht="15.6" customHeight="1">
      <c r="A21" s="28"/>
      <c r="B21" s="24" t="s">
        <v>65</v>
      </c>
      <c r="C21" s="85"/>
      <c r="D21" s="85"/>
      <c r="E21" s="85"/>
      <c r="F21" s="70"/>
      <c r="G21" s="71"/>
      <c r="H21" s="26">
        <f>IF((1.05-0.007*H14)&gt;0.85,0.85,IF((1.05-0.007*H14)&lt;0.67,0.67,(1.05-0.007*H14)))</f>
        <v>0.77</v>
      </c>
      <c r="I21" s="71"/>
      <c r="J21" s="32"/>
      <c r="K21" s="33"/>
      <c r="L21" s="30"/>
      <c r="M21" s="30"/>
      <c r="N21" s="4"/>
      <c r="O21" s="4"/>
      <c r="P21" s="5"/>
      <c r="Q21" s="5"/>
      <c r="R21" s="5"/>
      <c r="S21" s="5"/>
      <c r="T21" s="5"/>
      <c r="U21" s="5"/>
      <c r="V21" s="5"/>
      <c r="W21" s="5"/>
      <c r="X21" s="5" t="s">
        <v>95</v>
      </c>
      <c r="Y21" s="5"/>
      <c r="Z21" s="5">
        <v>1</v>
      </c>
      <c r="AA21" s="5"/>
      <c r="AB21" s="5"/>
      <c r="AC21" s="5"/>
      <c r="AD21" s="5"/>
      <c r="AE21" s="1"/>
    </row>
    <row r="22" spans="1:31" ht="15.6" customHeight="1">
      <c r="A22" s="14"/>
      <c r="B22" s="25" t="s">
        <v>74</v>
      </c>
      <c r="C22" s="25"/>
      <c r="D22" s="25"/>
      <c r="E22" s="25"/>
      <c r="F22" s="25"/>
      <c r="G22" s="25"/>
      <c r="H22" s="127">
        <v>0.6</v>
      </c>
      <c r="I22" s="25" t="s">
        <v>12</v>
      </c>
      <c r="J22" s="17"/>
      <c r="K22" s="33"/>
      <c r="L22" s="30"/>
      <c r="M22" s="91" t="s">
        <v>71</v>
      </c>
      <c r="N22" s="35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5"/>
      <c r="AD22" s="5"/>
      <c r="AE22" s="1"/>
    </row>
    <row r="23" spans="1:31" ht="15.6" customHeight="1" thickBot="1">
      <c r="A23" s="14"/>
      <c r="B23" s="25"/>
      <c r="C23" s="201" t="s">
        <v>48</v>
      </c>
      <c r="D23" s="201"/>
      <c r="E23" s="201"/>
      <c r="F23" s="201"/>
      <c r="G23" s="201"/>
      <c r="H23" s="201"/>
      <c r="I23" s="25"/>
      <c r="J23" s="17"/>
      <c r="K23" s="33"/>
      <c r="L23" s="30"/>
      <c r="M23" s="13"/>
      <c r="N23" s="36"/>
      <c r="O23" s="210" t="s">
        <v>13</v>
      </c>
      <c r="P23" s="211"/>
      <c r="Q23" s="212" t="s">
        <v>14</v>
      </c>
      <c r="R23" s="213"/>
      <c r="S23" s="13"/>
      <c r="T23" s="13"/>
      <c r="U23" s="13"/>
      <c r="V23" s="13"/>
      <c r="W23" s="13"/>
      <c r="X23" s="223" t="s">
        <v>15</v>
      </c>
      <c r="Y23" s="223"/>
      <c r="Z23" s="223" t="s">
        <v>16</v>
      </c>
      <c r="AA23" s="223"/>
      <c r="AB23" s="1"/>
      <c r="AC23" s="1"/>
      <c r="AD23" s="1"/>
      <c r="AE23" s="1"/>
    </row>
    <row r="24" spans="1:31">
      <c r="A24" s="14"/>
      <c r="B24" s="25"/>
      <c r="C24" s="25"/>
      <c r="D24" s="25"/>
      <c r="E24" s="25"/>
      <c r="F24" s="25"/>
      <c r="G24" s="25"/>
      <c r="H24" s="25"/>
      <c r="I24" s="25"/>
      <c r="J24" s="32"/>
      <c r="K24" s="33"/>
      <c r="L24" s="30"/>
      <c r="M24" s="208" t="s">
        <v>17</v>
      </c>
      <c r="N24" s="209"/>
      <c r="O24" s="102" t="s">
        <v>18</v>
      </c>
      <c r="P24" s="102" t="s">
        <v>19</v>
      </c>
      <c r="Q24" s="103" t="s">
        <v>20</v>
      </c>
      <c r="R24" s="104" t="s">
        <v>21</v>
      </c>
      <c r="S24" s="105" t="s">
        <v>22</v>
      </c>
      <c r="T24" s="106" t="s">
        <v>23</v>
      </c>
      <c r="U24" s="107"/>
      <c r="V24" s="196" t="s">
        <v>24</v>
      </c>
      <c r="W24" s="197"/>
      <c r="X24" s="108" t="s">
        <v>25</v>
      </c>
      <c r="Y24" s="106" t="s">
        <v>26</v>
      </c>
      <c r="Z24" s="108" t="s">
        <v>25</v>
      </c>
      <c r="AA24" s="106" t="s">
        <v>26</v>
      </c>
      <c r="AB24" s="1"/>
      <c r="AC24" s="1"/>
      <c r="AD24" s="1"/>
      <c r="AE24" s="1"/>
    </row>
    <row r="25" spans="1:31">
      <c r="A25" s="14"/>
      <c r="B25" s="25"/>
      <c r="C25" s="25"/>
      <c r="D25" s="25"/>
      <c r="E25" s="25"/>
      <c r="F25" s="25"/>
      <c r="G25" s="25"/>
      <c r="H25" s="25"/>
      <c r="I25" s="25"/>
      <c r="J25" s="32"/>
      <c r="K25" s="33"/>
      <c r="L25" s="30"/>
      <c r="M25" s="198" t="s">
        <v>27</v>
      </c>
      <c r="N25" s="109" t="s">
        <v>28</v>
      </c>
      <c r="O25" s="110" t="s">
        <v>52</v>
      </c>
      <c r="P25" s="110" t="s">
        <v>29</v>
      </c>
      <c r="Q25" s="110" t="s">
        <v>75</v>
      </c>
      <c r="R25" s="111" t="s">
        <v>30</v>
      </c>
      <c r="S25" s="112" t="s">
        <v>31</v>
      </c>
      <c r="T25" s="113"/>
      <c r="U25" s="114"/>
      <c r="V25" s="115"/>
      <c r="W25" s="116"/>
      <c r="X25" s="148" t="s">
        <v>73</v>
      </c>
      <c r="Y25" s="151">
        <f>H22</f>
        <v>0.6</v>
      </c>
      <c r="Z25" s="148" t="s">
        <v>73</v>
      </c>
      <c r="AA25" s="151">
        <f>H22</f>
        <v>0.6</v>
      </c>
      <c r="AB25" s="1"/>
      <c r="AC25" s="1"/>
      <c r="AD25" s="1"/>
      <c r="AE25" s="1"/>
    </row>
    <row r="26" spans="1:31" ht="15.75" thickBot="1">
      <c r="A26" s="14"/>
      <c r="B26" s="25"/>
      <c r="C26" s="25"/>
      <c r="D26" s="25"/>
      <c r="E26" s="25"/>
      <c r="F26" s="25"/>
      <c r="G26" s="25"/>
      <c r="H26" s="25"/>
      <c r="I26" s="25"/>
      <c r="J26" s="32"/>
      <c r="K26" s="33"/>
      <c r="L26" s="30"/>
      <c r="M26" s="199"/>
      <c r="N26" s="117" t="s">
        <v>32</v>
      </c>
      <c r="O26" s="118" t="s">
        <v>33</v>
      </c>
      <c r="P26" s="118" t="s">
        <v>32</v>
      </c>
      <c r="Q26" s="118" t="s">
        <v>33</v>
      </c>
      <c r="R26" s="119" t="s">
        <v>32</v>
      </c>
      <c r="S26" s="120" t="s">
        <v>33</v>
      </c>
      <c r="T26" s="121"/>
      <c r="U26" s="122"/>
      <c r="V26" s="123" t="s">
        <v>34</v>
      </c>
      <c r="W26" s="124" t="s">
        <v>35</v>
      </c>
      <c r="X26" s="149"/>
      <c r="Y26" s="150"/>
      <c r="Z26" s="149"/>
      <c r="AA26" s="150"/>
      <c r="AB26" s="1"/>
      <c r="AC26" s="1"/>
      <c r="AD26" s="1"/>
      <c r="AE26" s="1"/>
    </row>
    <row r="27" spans="1:31">
      <c r="A27" s="14"/>
      <c r="B27" s="25"/>
      <c r="C27" s="25"/>
      <c r="D27" s="25"/>
      <c r="E27" s="25"/>
      <c r="F27" s="25"/>
      <c r="G27" s="25"/>
      <c r="H27" s="25"/>
      <c r="I27" s="25"/>
      <c r="J27" s="32"/>
      <c r="K27" s="33"/>
      <c r="L27" s="30"/>
      <c r="M27" s="40" t="s">
        <v>36</v>
      </c>
      <c r="N27" s="38" t="s">
        <v>37</v>
      </c>
      <c r="O27" s="41">
        <v>0</v>
      </c>
      <c r="P27" s="42"/>
      <c r="Q27" s="42">
        <f>-(H12-2*$H$15)*H19</f>
        <v>-55.499999999999993</v>
      </c>
      <c r="R27" s="43"/>
      <c r="S27" s="40">
        <f>Q27+O27</f>
        <v>-55.499999999999993</v>
      </c>
      <c r="T27" s="44">
        <v>0</v>
      </c>
      <c r="U27" s="77">
        <f>S27</f>
        <v>-55.499999999999993</v>
      </c>
      <c r="V27" s="45">
        <f>O27</f>
        <v>0</v>
      </c>
      <c r="W27" s="78">
        <v>0</v>
      </c>
      <c r="X27" s="47">
        <f>$Y$25*T27</f>
        <v>0</v>
      </c>
      <c r="Y27" s="46">
        <f t="shared" ref="Y27:Y50" si="0">IF($Y$25*S27&lt;=$Y$25*$S$50*$Z$21, $Y$25*S27, $Y$25*$S$50*$Z$21)*D/1000</f>
        <v>-33.299999999999997</v>
      </c>
      <c r="Z27" s="47"/>
      <c r="AA27" s="46"/>
      <c r="AB27" s="1"/>
      <c r="AC27" s="184">
        <f>X27</f>
        <v>0</v>
      </c>
      <c r="AD27" s="184">
        <f>Y27</f>
        <v>-33.299999999999997</v>
      </c>
      <c r="AE27" s="1"/>
    </row>
    <row r="28" spans="1:31">
      <c r="A28" s="14"/>
      <c r="B28" s="25"/>
      <c r="C28" s="25"/>
      <c r="D28" s="25"/>
      <c r="E28" s="25"/>
      <c r="F28" s="25"/>
      <c r="G28" s="25"/>
      <c r="H28" s="25"/>
      <c r="I28" s="25"/>
      <c r="J28" s="32"/>
      <c r="K28" s="2"/>
      <c r="L28" s="4"/>
      <c r="M28" s="48">
        <v>0</v>
      </c>
      <c r="N28" s="49">
        <f t="shared" ref="N28:N49" si="1">M28*$H$12</f>
        <v>0</v>
      </c>
      <c r="O28" s="41">
        <f t="shared" ref="O28:O49" si="2">$H$20*$H$14*N28*$H$21</f>
        <v>0</v>
      </c>
      <c r="P28" s="50">
        <f t="shared" ref="P28:P49" si="3">0.5*$H$21*N28</f>
        <v>0</v>
      </c>
      <c r="Q28" s="50">
        <f>-(0.9*($H$12-N28)-$H$15)*$H$19</f>
        <v>-72.149999999999991</v>
      </c>
      <c r="R28" s="37">
        <f>$H$12-(0.5*0.9*($H$12-N28-$H$15))</f>
        <v>66.25</v>
      </c>
      <c r="S28" s="48">
        <f>Q28+O28</f>
        <v>-72.149999999999991</v>
      </c>
      <c r="T28" s="51">
        <f t="shared" ref="T28:T49" si="4">(S28*($H$12/2)-O28*P28-Q28*R28)/1000</f>
        <v>1.1724374999999996</v>
      </c>
      <c r="U28" s="79">
        <f t="shared" ref="U28:U50" si="5">S28</f>
        <v>-72.149999999999991</v>
      </c>
      <c r="V28" s="45">
        <f t="shared" ref="V28:V50" si="6">O28</f>
        <v>0</v>
      </c>
      <c r="W28" s="80">
        <f t="shared" ref="W28:W49" si="7">IF(0&lt;((V28*($H$12/2)-O28*P28)/1000),((V28*($H$12/2)-O28*P28)/1000),0)</f>
        <v>0</v>
      </c>
      <c r="X28" s="47">
        <f t="shared" ref="X28:X50" si="8">$Y$25*T28*D/1000</f>
        <v>0.70346249999999977</v>
      </c>
      <c r="Y28" s="46">
        <f t="shared" si="0"/>
        <v>-43.289999999999992</v>
      </c>
      <c r="Z28" s="53">
        <f t="shared" ref="Z28:Z50" si="9">$AA$25*W28*D/1000</f>
        <v>0</v>
      </c>
      <c r="AA28" s="52">
        <f t="shared" ref="AA28:AA50" si="10">IF($AA$25*V28&lt;=$AA$25*$S$50*$Z$21, $AA$25*V28,$AA$25*$S$50*$Z$21)*D/1000</f>
        <v>0</v>
      </c>
      <c r="AB28" s="1"/>
      <c r="AC28" s="184">
        <f t="shared" ref="AC28:AC49" si="11">X28</f>
        <v>0.70346249999999977</v>
      </c>
      <c r="AD28" s="184">
        <f t="shared" ref="AD28:AD49" si="12">Y28</f>
        <v>-43.289999999999992</v>
      </c>
      <c r="AE28" s="1"/>
    </row>
    <row r="29" spans="1:31">
      <c r="A29" s="14"/>
      <c r="B29" s="25"/>
      <c r="C29" s="25"/>
      <c r="D29" s="25"/>
      <c r="E29" s="25"/>
      <c r="F29" s="25"/>
      <c r="G29" s="25"/>
      <c r="H29" s="25"/>
      <c r="I29" s="25"/>
      <c r="J29" s="32"/>
      <c r="K29" s="2"/>
      <c r="L29" s="4"/>
      <c r="M29" s="48">
        <v>2.5000000000000001E-3</v>
      </c>
      <c r="N29" s="49">
        <f t="shared" si="1"/>
        <v>0.25</v>
      </c>
      <c r="O29" s="41">
        <f t="shared" si="2"/>
        <v>6.5449999999999999</v>
      </c>
      <c r="P29" s="50">
        <f t="shared" si="3"/>
        <v>9.6250000000000002E-2</v>
      </c>
      <c r="Q29" s="50">
        <f>-(0.9*($H$12-N29)-$H$15)*$H$19</f>
        <v>-71.90025</v>
      </c>
      <c r="R29" s="37">
        <f t="shared" ref="R29:R49" si="13">$H$12-(0.5*0.9*($H$12-N29-$H$15))</f>
        <v>66.362499999999997</v>
      </c>
      <c r="S29" s="48">
        <f>Q29+O29</f>
        <v>-65.355249999999998</v>
      </c>
      <c r="T29" s="51">
        <f t="shared" si="4"/>
        <v>1.5030878843749997</v>
      </c>
      <c r="U29" s="79">
        <f>S29</f>
        <v>-65.355249999999998</v>
      </c>
      <c r="V29" s="45">
        <f t="shared" si="6"/>
        <v>6.5449999999999999</v>
      </c>
      <c r="W29" s="80">
        <f t="shared" si="7"/>
        <v>0.32662004374999998</v>
      </c>
      <c r="X29" s="47">
        <f t="shared" si="8"/>
        <v>0.90185273062499982</v>
      </c>
      <c r="Y29" s="46">
        <f t="shared" si="0"/>
        <v>-39.213149999999999</v>
      </c>
      <c r="Z29" s="53">
        <f t="shared" si="9"/>
        <v>0.19597202624999999</v>
      </c>
      <c r="AA29" s="52">
        <f t="shared" si="10"/>
        <v>3.9269999999999996</v>
      </c>
      <c r="AB29" s="1"/>
      <c r="AC29" s="184">
        <f t="shared" si="11"/>
        <v>0.90185273062499982</v>
      </c>
      <c r="AD29" s="184">
        <f t="shared" si="12"/>
        <v>-39.213149999999999</v>
      </c>
      <c r="AE29" s="1"/>
    </row>
    <row r="30" spans="1:31">
      <c r="A30" s="14"/>
      <c r="B30" s="25"/>
      <c r="C30" s="25"/>
      <c r="D30" s="25"/>
      <c r="E30" s="25"/>
      <c r="F30" s="25"/>
      <c r="G30" s="25"/>
      <c r="H30" s="25"/>
      <c r="I30" s="25"/>
      <c r="J30" s="32"/>
      <c r="K30" s="2"/>
      <c r="L30" s="4"/>
      <c r="M30" s="48">
        <v>0.05</v>
      </c>
      <c r="N30" s="49">
        <f t="shared" si="1"/>
        <v>5</v>
      </c>
      <c r="O30" s="41">
        <f t="shared" si="2"/>
        <v>130.9</v>
      </c>
      <c r="P30" s="50">
        <f t="shared" si="3"/>
        <v>1.925</v>
      </c>
      <c r="Q30" s="50">
        <f t="shared" ref="Q30:Q49" si="14">-(0.9*($H$12-N30)-$H$15)*$H$19</f>
        <v>-67.154999999999987</v>
      </c>
      <c r="R30" s="37">
        <f t="shared" si="13"/>
        <v>68.5</v>
      </c>
      <c r="S30" s="48">
        <f t="shared" ref="S30:S50" si="15">Q30+O30</f>
        <v>63.745000000000019</v>
      </c>
      <c r="T30" s="51">
        <f t="shared" si="4"/>
        <v>7.5353849999999998</v>
      </c>
      <c r="U30" s="79">
        <f t="shared" si="5"/>
        <v>63.745000000000019</v>
      </c>
      <c r="V30" s="45">
        <f t="shared" si="6"/>
        <v>130.9</v>
      </c>
      <c r="W30" s="80">
        <f t="shared" si="7"/>
        <v>6.2930174999999995</v>
      </c>
      <c r="X30" s="47">
        <f t="shared" si="8"/>
        <v>4.5212309999999993</v>
      </c>
      <c r="Y30" s="46">
        <f t="shared" si="0"/>
        <v>38.247000000000007</v>
      </c>
      <c r="Z30" s="53">
        <f t="shared" si="9"/>
        <v>3.7758104999999995</v>
      </c>
      <c r="AA30" s="52">
        <f t="shared" si="10"/>
        <v>78.540000000000006</v>
      </c>
      <c r="AB30" s="1"/>
      <c r="AC30" s="184">
        <f t="shared" si="11"/>
        <v>4.5212309999999993</v>
      </c>
      <c r="AD30" s="184">
        <f t="shared" si="12"/>
        <v>38.247000000000007</v>
      </c>
      <c r="AE30" s="1"/>
    </row>
    <row r="31" spans="1:31">
      <c r="A31" s="14"/>
      <c r="B31" s="25"/>
      <c r="C31" s="25"/>
      <c r="D31" s="25"/>
      <c r="E31" s="25"/>
      <c r="F31" s="25"/>
      <c r="G31" s="25"/>
      <c r="H31" s="25"/>
      <c r="I31" s="25"/>
      <c r="J31" s="32"/>
      <c r="K31" s="2"/>
      <c r="L31" s="4"/>
      <c r="M31" s="48">
        <v>0.1</v>
      </c>
      <c r="N31" s="49">
        <f t="shared" si="1"/>
        <v>10</v>
      </c>
      <c r="O31" s="41">
        <f t="shared" si="2"/>
        <v>261.8</v>
      </c>
      <c r="P31" s="50">
        <f t="shared" si="3"/>
        <v>3.85</v>
      </c>
      <c r="Q31" s="50">
        <f t="shared" si="14"/>
        <v>-62.16</v>
      </c>
      <c r="R31" s="37">
        <f t="shared" si="13"/>
        <v>70.75</v>
      </c>
      <c r="S31" s="48">
        <f t="shared" si="15"/>
        <v>199.64000000000001</v>
      </c>
      <c r="T31" s="51">
        <f t="shared" si="4"/>
        <v>13.371889999999999</v>
      </c>
      <c r="U31" s="79">
        <f t="shared" si="5"/>
        <v>199.64000000000001</v>
      </c>
      <c r="V31" s="45">
        <f t="shared" si="6"/>
        <v>261.8</v>
      </c>
      <c r="W31" s="80">
        <f t="shared" si="7"/>
        <v>12.08207</v>
      </c>
      <c r="X31" s="47">
        <f t="shared" si="8"/>
        <v>8.0231339999999989</v>
      </c>
      <c r="Y31" s="46">
        <f t="shared" si="0"/>
        <v>119.78400000000001</v>
      </c>
      <c r="Z31" s="53">
        <f t="shared" si="9"/>
        <v>7.2492420000000006</v>
      </c>
      <c r="AA31" s="52">
        <f t="shared" si="10"/>
        <v>157.08000000000001</v>
      </c>
      <c r="AB31" s="1"/>
      <c r="AC31" s="184">
        <f t="shared" si="11"/>
        <v>8.0231339999999989</v>
      </c>
      <c r="AD31" s="184">
        <f t="shared" si="12"/>
        <v>119.78400000000001</v>
      </c>
      <c r="AE31" s="1"/>
    </row>
    <row r="32" spans="1:31">
      <c r="A32" s="14"/>
      <c r="B32" s="25"/>
      <c r="C32" s="25"/>
      <c r="D32" s="25"/>
      <c r="E32" s="25"/>
      <c r="F32" s="25"/>
      <c r="G32" s="25"/>
      <c r="H32" s="25"/>
      <c r="I32" s="25"/>
      <c r="J32" s="32"/>
      <c r="K32" s="2"/>
      <c r="L32" s="4"/>
      <c r="M32" s="48">
        <v>0.15</v>
      </c>
      <c r="N32" s="49">
        <f t="shared" si="1"/>
        <v>15</v>
      </c>
      <c r="O32" s="41">
        <f t="shared" si="2"/>
        <v>392.7</v>
      </c>
      <c r="P32" s="50">
        <f t="shared" si="3"/>
        <v>5.7750000000000004</v>
      </c>
      <c r="Q32" s="50">
        <f t="shared" si="14"/>
        <v>-57.164999999999992</v>
      </c>
      <c r="R32" s="37">
        <f t="shared" si="13"/>
        <v>73</v>
      </c>
      <c r="S32" s="48">
        <f t="shared" si="15"/>
        <v>335.53499999999997</v>
      </c>
      <c r="T32" s="51">
        <f t="shared" si="4"/>
        <v>18.681952499999998</v>
      </c>
      <c r="U32" s="79">
        <f t="shared" si="5"/>
        <v>335.53499999999997</v>
      </c>
      <c r="V32" s="45">
        <f t="shared" si="6"/>
        <v>392.7</v>
      </c>
      <c r="W32" s="80">
        <f t="shared" si="7"/>
        <v>17.367157500000001</v>
      </c>
      <c r="X32" s="47">
        <f t="shared" si="8"/>
        <v>11.209171499999998</v>
      </c>
      <c r="Y32" s="46">
        <f t="shared" si="0"/>
        <v>201.32099999999997</v>
      </c>
      <c r="Z32" s="53">
        <f t="shared" si="9"/>
        <v>10.420294500000001</v>
      </c>
      <c r="AA32" s="52">
        <f t="shared" si="10"/>
        <v>235.61999999999998</v>
      </c>
      <c r="AB32" s="1"/>
      <c r="AC32" s="184">
        <f t="shared" si="11"/>
        <v>11.209171499999998</v>
      </c>
      <c r="AD32" s="184">
        <f t="shared" si="12"/>
        <v>201.32099999999997</v>
      </c>
      <c r="AE32" s="1"/>
    </row>
    <row r="33" spans="1:31">
      <c r="A33" s="14"/>
      <c r="B33" s="25"/>
      <c r="C33" s="25"/>
      <c r="D33" s="25"/>
      <c r="E33" s="25"/>
      <c r="F33" s="25"/>
      <c r="G33" s="25"/>
      <c r="H33" s="25"/>
      <c r="I33" s="25"/>
      <c r="J33" s="32"/>
      <c r="K33" s="2"/>
      <c r="L33" s="4"/>
      <c r="M33" s="48">
        <v>0.2</v>
      </c>
      <c r="N33" s="49">
        <f t="shared" si="1"/>
        <v>20</v>
      </c>
      <c r="O33" s="41">
        <f t="shared" si="2"/>
        <v>523.6</v>
      </c>
      <c r="P33" s="50">
        <f t="shared" si="3"/>
        <v>7.7</v>
      </c>
      <c r="Q33" s="50">
        <f t="shared" si="14"/>
        <v>-52.169999999999995</v>
      </c>
      <c r="R33" s="37">
        <f t="shared" si="13"/>
        <v>75.25</v>
      </c>
      <c r="S33" s="48">
        <f t="shared" si="15"/>
        <v>471.43</v>
      </c>
      <c r="T33" s="51">
        <f t="shared" si="4"/>
        <v>23.465572499999997</v>
      </c>
      <c r="U33" s="79">
        <f t="shared" si="5"/>
        <v>471.43</v>
      </c>
      <c r="V33" s="45">
        <f t="shared" si="6"/>
        <v>523.6</v>
      </c>
      <c r="W33" s="80">
        <f t="shared" si="7"/>
        <v>22.14828</v>
      </c>
      <c r="X33" s="47">
        <f t="shared" si="8"/>
        <v>14.079343499999998</v>
      </c>
      <c r="Y33" s="46">
        <f t="shared" si="0"/>
        <v>282.858</v>
      </c>
      <c r="Z33" s="53">
        <f t="shared" si="9"/>
        <v>13.288967999999999</v>
      </c>
      <c r="AA33" s="52">
        <f t="shared" si="10"/>
        <v>314.16000000000003</v>
      </c>
      <c r="AB33" s="1"/>
      <c r="AC33" s="184">
        <f t="shared" si="11"/>
        <v>14.079343499999998</v>
      </c>
      <c r="AD33" s="184">
        <f t="shared" si="12"/>
        <v>282.858</v>
      </c>
      <c r="AE33" s="1"/>
    </row>
    <row r="34" spans="1:31">
      <c r="A34" s="14"/>
      <c r="B34" s="25"/>
      <c r="C34" s="25"/>
      <c r="D34" s="25"/>
      <c r="E34" s="25"/>
      <c r="F34" s="25"/>
      <c r="G34" s="25"/>
      <c r="H34" s="25"/>
      <c r="I34" s="25"/>
      <c r="J34" s="32"/>
      <c r="K34" s="2"/>
      <c r="L34" s="4"/>
      <c r="M34" s="48">
        <v>0.25</v>
      </c>
      <c r="N34" s="49">
        <f t="shared" si="1"/>
        <v>25</v>
      </c>
      <c r="O34" s="41">
        <f t="shared" si="2"/>
        <v>654.5</v>
      </c>
      <c r="P34" s="50">
        <f t="shared" si="3"/>
        <v>9.625</v>
      </c>
      <c r="Q34" s="50">
        <f t="shared" si="14"/>
        <v>-47.174999999999997</v>
      </c>
      <c r="R34" s="37">
        <f t="shared" si="13"/>
        <v>77.5</v>
      </c>
      <c r="S34" s="48">
        <f t="shared" si="15"/>
        <v>607.32500000000005</v>
      </c>
      <c r="T34" s="51">
        <f t="shared" si="4"/>
        <v>27.722750000000005</v>
      </c>
      <c r="U34" s="79">
        <f t="shared" si="5"/>
        <v>607.32500000000005</v>
      </c>
      <c r="V34" s="45">
        <f t="shared" si="6"/>
        <v>654.5</v>
      </c>
      <c r="W34" s="80">
        <f t="shared" si="7"/>
        <v>26.425437500000001</v>
      </c>
      <c r="X34" s="47">
        <f t="shared" si="8"/>
        <v>16.633650000000003</v>
      </c>
      <c r="Y34" s="46">
        <f t="shared" si="0"/>
        <v>364.39500000000004</v>
      </c>
      <c r="Z34" s="53">
        <f t="shared" si="9"/>
        <v>15.8552625</v>
      </c>
      <c r="AA34" s="52">
        <f t="shared" si="10"/>
        <v>392.7</v>
      </c>
      <c r="AB34" s="1"/>
      <c r="AC34" s="184">
        <f t="shared" si="11"/>
        <v>16.633650000000003</v>
      </c>
      <c r="AD34" s="184">
        <f t="shared" si="12"/>
        <v>364.39500000000004</v>
      </c>
      <c r="AE34" s="1"/>
    </row>
    <row r="35" spans="1:31">
      <c r="A35" s="28"/>
      <c r="B35" s="25"/>
      <c r="C35" s="25"/>
      <c r="D35" s="25"/>
      <c r="E35" s="25"/>
      <c r="F35" s="25"/>
      <c r="G35" s="25"/>
      <c r="H35" s="54"/>
      <c r="I35" s="25"/>
      <c r="J35" s="32"/>
      <c r="K35" s="2"/>
      <c r="L35" s="4"/>
      <c r="M35" s="48">
        <v>0.3</v>
      </c>
      <c r="N35" s="49">
        <f t="shared" si="1"/>
        <v>30</v>
      </c>
      <c r="O35" s="41">
        <f t="shared" si="2"/>
        <v>785.4</v>
      </c>
      <c r="P35" s="50">
        <f t="shared" si="3"/>
        <v>11.55</v>
      </c>
      <c r="Q35" s="50">
        <f t="shared" si="14"/>
        <v>-42.179999999999993</v>
      </c>
      <c r="R35" s="37">
        <f t="shared" si="13"/>
        <v>79.75</v>
      </c>
      <c r="S35" s="48">
        <f t="shared" si="15"/>
        <v>743.22</v>
      </c>
      <c r="T35" s="51">
        <f t="shared" si="4"/>
        <v>31.453484999999997</v>
      </c>
      <c r="U35" s="79">
        <f t="shared" si="5"/>
        <v>743.22</v>
      </c>
      <c r="V35" s="45">
        <f t="shared" si="6"/>
        <v>785.4</v>
      </c>
      <c r="W35" s="80">
        <f t="shared" si="7"/>
        <v>30.198629999999998</v>
      </c>
      <c r="X35" s="47">
        <f t="shared" si="8"/>
        <v>18.872090999999998</v>
      </c>
      <c r="Y35" s="46">
        <f t="shared" si="0"/>
        <v>445.93200000000002</v>
      </c>
      <c r="Z35" s="53">
        <f t="shared" si="9"/>
        <v>18.119177999999998</v>
      </c>
      <c r="AA35" s="52">
        <f t="shared" si="10"/>
        <v>471.23999999999995</v>
      </c>
      <c r="AB35" s="5"/>
      <c r="AC35" s="184">
        <f t="shared" si="11"/>
        <v>18.872090999999998</v>
      </c>
      <c r="AD35" s="184">
        <f t="shared" si="12"/>
        <v>445.93200000000002</v>
      </c>
      <c r="AE35" s="1"/>
    </row>
    <row r="36" spans="1:31">
      <c r="A36" s="28"/>
      <c r="B36" s="25"/>
      <c r="C36" s="25"/>
      <c r="D36" s="25"/>
      <c r="E36" s="25"/>
      <c r="F36" s="25"/>
      <c r="G36" s="25"/>
      <c r="H36" s="25"/>
      <c r="I36" s="25"/>
      <c r="J36" s="32"/>
      <c r="K36" s="2"/>
      <c r="L36" s="4"/>
      <c r="M36" s="48">
        <v>0.35</v>
      </c>
      <c r="N36" s="49">
        <f t="shared" si="1"/>
        <v>35</v>
      </c>
      <c r="O36" s="41">
        <f t="shared" si="2"/>
        <v>916.30000000000007</v>
      </c>
      <c r="P36" s="50">
        <f t="shared" si="3"/>
        <v>13.475</v>
      </c>
      <c r="Q36" s="50">
        <f t="shared" si="14"/>
        <v>-37.184999999999995</v>
      </c>
      <c r="R36" s="37">
        <f t="shared" si="13"/>
        <v>82</v>
      </c>
      <c r="S36" s="48">
        <f t="shared" si="15"/>
        <v>879.11500000000012</v>
      </c>
      <c r="T36" s="51">
        <f t="shared" si="4"/>
        <v>34.657777500000002</v>
      </c>
      <c r="U36" s="79">
        <f t="shared" si="5"/>
        <v>879.11500000000012</v>
      </c>
      <c r="V36" s="45">
        <f t="shared" si="6"/>
        <v>916.30000000000007</v>
      </c>
      <c r="W36" s="80">
        <f t="shared" si="7"/>
        <v>33.467857500000001</v>
      </c>
      <c r="X36" s="47">
        <f t="shared" si="8"/>
        <v>20.794666500000002</v>
      </c>
      <c r="Y36" s="46">
        <f t="shared" si="0"/>
        <v>527.46900000000005</v>
      </c>
      <c r="Z36" s="53">
        <f t="shared" si="9"/>
        <v>20.080714499999999</v>
      </c>
      <c r="AA36" s="52">
        <f t="shared" si="10"/>
        <v>549.78</v>
      </c>
      <c r="AB36" s="5"/>
      <c r="AC36" s="184">
        <f t="shared" si="11"/>
        <v>20.794666500000002</v>
      </c>
      <c r="AD36" s="184">
        <f t="shared" si="12"/>
        <v>527.46900000000005</v>
      </c>
      <c r="AE36" s="1"/>
    </row>
    <row r="37" spans="1:31">
      <c r="A37" s="28"/>
      <c r="B37" s="25"/>
      <c r="C37" s="25"/>
      <c r="D37" s="25"/>
      <c r="E37" s="25"/>
      <c r="F37" s="25"/>
      <c r="G37" s="25"/>
      <c r="H37" s="25"/>
      <c r="I37" s="25"/>
      <c r="J37" s="55" t="s">
        <v>38</v>
      </c>
      <c r="K37" s="2"/>
      <c r="L37" s="4"/>
      <c r="M37" s="48">
        <v>0.4</v>
      </c>
      <c r="N37" s="49">
        <f t="shared" si="1"/>
        <v>40</v>
      </c>
      <c r="O37" s="41">
        <f t="shared" si="2"/>
        <v>1047.2</v>
      </c>
      <c r="P37" s="50">
        <f t="shared" si="3"/>
        <v>15.4</v>
      </c>
      <c r="Q37" s="50">
        <f t="shared" si="14"/>
        <v>-32.19</v>
      </c>
      <c r="R37" s="37">
        <f t="shared" si="13"/>
        <v>84.25</v>
      </c>
      <c r="S37" s="48">
        <f t="shared" si="15"/>
        <v>1015.01</v>
      </c>
      <c r="T37" s="51">
        <f t="shared" si="4"/>
        <v>37.335627499999994</v>
      </c>
      <c r="U37" s="79">
        <f t="shared" si="5"/>
        <v>1015.01</v>
      </c>
      <c r="V37" s="45">
        <f t="shared" si="6"/>
        <v>1047.2</v>
      </c>
      <c r="W37" s="80">
        <f t="shared" si="7"/>
        <v>36.233119999999992</v>
      </c>
      <c r="X37" s="47">
        <f t="shared" si="8"/>
        <v>22.401376499999994</v>
      </c>
      <c r="Y37" s="46">
        <f t="shared" si="0"/>
        <v>609.00599999999997</v>
      </c>
      <c r="Z37" s="53">
        <f t="shared" si="9"/>
        <v>21.739871999999995</v>
      </c>
      <c r="AA37" s="52">
        <f t="shared" si="10"/>
        <v>628.32000000000005</v>
      </c>
      <c r="AB37" s="5"/>
      <c r="AC37" s="184">
        <f t="shared" si="11"/>
        <v>22.401376499999994</v>
      </c>
      <c r="AD37" s="184">
        <f t="shared" si="12"/>
        <v>609.00599999999997</v>
      </c>
      <c r="AE37" s="1"/>
    </row>
    <row r="38" spans="1:31">
      <c r="A38" s="28"/>
      <c r="B38" s="25"/>
      <c r="C38" s="25"/>
      <c r="D38" s="25"/>
      <c r="E38" s="25"/>
      <c r="F38" s="25"/>
      <c r="G38" s="25"/>
      <c r="H38" s="25"/>
      <c r="I38" s="25"/>
      <c r="J38" s="55" t="s">
        <v>38</v>
      </c>
      <c r="K38" s="2"/>
      <c r="L38" s="4"/>
      <c r="M38" s="48">
        <v>0.45</v>
      </c>
      <c r="N38" s="49">
        <f t="shared" si="1"/>
        <v>45</v>
      </c>
      <c r="O38" s="41">
        <f t="shared" si="2"/>
        <v>1178.1000000000001</v>
      </c>
      <c r="P38" s="50">
        <f t="shared" si="3"/>
        <v>17.324999999999999</v>
      </c>
      <c r="Q38" s="50">
        <f t="shared" si="14"/>
        <v>-27.194999999999997</v>
      </c>
      <c r="R38" s="37">
        <f t="shared" si="13"/>
        <v>86.5</v>
      </c>
      <c r="S38" s="48">
        <f t="shared" si="15"/>
        <v>1150.9050000000002</v>
      </c>
      <c r="T38" s="51">
        <f t="shared" si="4"/>
        <v>39.487035000000013</v>
      </c>
      <c r="U38" s="79">
        <f t="shared" si="5"/>
        <v>1150.9050000000002</v>
      </c>
      <c r="V38" s="45">
        <f t="shared" si="6"/>
        <v>1178.1000000000001</v>
      </c>
      <c r="W38" s="80">
        <f t="shared" si="7"/>
        <v>38.494417500000012</v>
      </c>
      <c r="X38" s="47">
        <f t="shared" si="8"/>
        <v>23.692221000000007</v>
      </c>
      <c r="Y38" s="46">
        <f t="shared" si="0"/>
        <v>690.54300000000012</v>
      </c>
      <c r="Z38" s="53">
        <f t="shared" si="9"/>
        <v>23.096650500000006</v>
      </c>
      <c r="AA38" s="52">
        <f t="shared" si="10"/>
        <v>706.86</v>
      </c>
      <c r="AB38" s="5"/>
      <c r="AC38" s="184">
        <f t="shared" si="11"/>
        <v>23.692221000000007</v>
      </c>
      <c r="AD38" s="184">
        <f t="shared" si="12"/>
        <v>690.54300000000012</v>
      </c>
      <c r="AE38" s="1"/>
    </row>
    <row r="39" spans="1:31">
      <c r="A39" s="28"/>
      <c r="B39" s="25"/>
      <c r="C39" s="25"/>
      <c r="D39" s="25"/>
      <c r="E39" s="25"/>
      <c r="F39" s="25"/>
      <c r="G39" s="25"/>
      <c r="H39" s="25"/>
      <c r="I39" s="25"/>
      <c r="J39" s="55" t="s">
        <v>38</v>
      </c>
      <c r="K39" s="2"/>
      <c r="L39" s="4"/>
      <c r="M39" s="48">
        <v>0.5</v>
      </c>
      <c r="N39" s="49">
        <f t="shared" si="1"/>
        <v>50</v>
      </c>
      <c r="O39" s="41">
        <f t="shared" si="2"/>
        <v>1309</v>
      </c>
      <c r="P39" s="50">
        <f t="shared" si="3"/>
        <v>19.25</v>
      </c>
      <c r="Q39" s="50">
        <f t="shared" si="14"/>
        <v>-22.199999999999996</v>
      </c>
      <c r="R39" s="37">
        <f t="shared" si="13"/>
        <v>88.75</v>
      </c>
      <c r="S39" s="48">
        <f>Q39+O39</f>
        <v>1286.8</v>
      </c>
      <c r="T39" s="51">
        <f t="shared" si="4"/>
        <v>41.112000000000002</v>
      </c>
      <c r="U39" s="79">
        <f t="shared" si="5"/>
        <v>1286.8</v>
      </c>
      <c r="V39" s="45">
        <f t="shared" si="6"/>
        <v>1309</v>
      </c>
      <c r="W39" s="80">
        <f t="shared" si="7"/>
        <v>40.251750000000001</v>
      </c>
      <c r="X39" s="47">
        <f t="shared" si="8"/>
        <v>24.667200000000001</v>
      </c>
      <c r="Y39" s="46">
        <f t="shared" si="0"/>
        <v>772.07999999999993</v>
      </c>
      <c r="Z39" s="53">
        <f t="shared" si="9"/>
        <v>24.151050000000001</v>
      </c>
      <c r="AA39" s="52">
        <f t="shared" si="10"/>
        <v>785.4</v>
      </c>
      <c r="AB39" s="5"/>
      <c r="AC39" s="184">
        <f t="shared" si="11"/>
        <v>24.667200000000001</v>
      </c>
      <c r="AD39" s="184">
        <f t="shared" si="12"/>
        <v>772.07999999999993</v>
      </c>
      <c r="AE39" s="1"/>
    </row>
    <row r="40" spans="1:31">
      <c r="A40" s="28"/>
      <c r="B40" s="25"/>
      <c r="C40" s="25"/>
      <c r="D40" s="25"/>
      <c r="E40" s="25"/>
      <c r="F40" s="25"/>
      <c r="G40" s="25"/>
      <c r="H40" s="25"/>
      <c r="I40" s="25"/>
      <c r="J40" s="55" t="s">
        <v>38</v>
      </c>
      <c r="K40" s="2"/>
      <c r="L40" s="4"/>
      <c r="M40" s="48">
        <v>0.55000000000000004</v>
      </c>
      <c r="N40" s="49">
        <f t="shared" si="1"/>
        <v>55.000000000000007</v>
      </c>
      <c r="O40" s="41">
        <f t="shared" si="2"/>
        <v>1439.9000000000003</v>
      </c>
      <c r="P40" s="50">
        <f t="shared" si="3"/>
        <v>21.175000000000004</v>
      </c>
      <c r="Q40" s="50">
        <f t="shared" si="14"/>
        <v>-17.204999999999991</v>
      </c>
      <c r="R40" s="37">
        <f t="shared" si="13"/>
        <v>91</v>
      </c>
      <c r="S40" s="48">
        <f t="shared" si="15"/>
        <v>1422.6950000000004</v>
      </c>
      <c r="T40" s="51">
        <f t="shared" si="4"/>
        <v>42.210522499999996</v>
      </c>
      <c r="U40" s="79">
        <f t="shared" si="5"/>
        <v>1422.6950000000004</v>
      </c>
      <c r="V40" s="45">
        <f t="shared" si="6"/>
        <v>1439.9000000000003</v>
      </c>
      <c r="W40" s="80">
        <f t="shared" si="7"/>
        <v>41.505117499999997</v>
      </c>
      <c r="X40" s="47">
        <f t="shared" si="8"/>
        <v>25.326313499999998</v>
      </c>
      <c r="Y40" s="46">
        <f t="shared" si="0"/>
        <v>853.61700000000019</v>
      </c>
      <c r="Z40" s="53">
        <f t="shared" si="9"/>
        <v>24.903070499999998</v>
      </c>
      <c r="AA40" s="52">
        <f t="shared" si="10"/>
        <v>863.94000000000017</v>
      </c>
      <c r="AB40" s="5"/>
      <c r="AC40" s="184">
        <f t="shared" si="11"/>
        <v>25.326313499999998</v>
      </c>
      <c r="AD40" s="184">
        <f t="shared" si="12"/>
        <v>853.61700000000019</v>
      </c>
      <c r="AE40" s="1"/>
    </row>
    <row r="41" spans="1:31">
      <c r="A41" s="28"/>
      <c r="B41" s="25"/>
      <c r="C41" s="25"/>
      <c r="D41" s="25"/>
      <c r="E41" s="25"/>
      <c r="F41" s="25"/>
      <c r="G41" s="25"/>
      <c r="H41" s="25"/>
      <c r="I41" s="25"/>
      <c r="J41" s="55" t="s">
        <v>38</v>
      </c>
      <c r="K41" s="2"/>
      <c r="L41" s="4"/>
      <c r="M41" s="48">
        <v>0.6</v>
      </c>
      <c r="N41" s="49">
        <f t="shared" si="1"/>
        <v>60</v>
      </c>
      <c r="O41" s="41">
        <f t="shared" si="2"/>
        <v>1570.8</v>
      </c>
      <c r="P41" s="50">
        <f t="shared" si="3"/>
        <v>23.1</v>
      </c>
      <c r="Q41" s="50">
        <f t="shared" si="14"/>
        <v>-12.209999999999999</v>
      </c>
      <c r="R41" s="37">
        <f t="shared" si="13"/>
        <v>93.25</v>
      </c>
      <c r="S41" s="48">
        <f t="shared" si="15"/>
        <v>1558.59</v>
      </c>
      <c r="T41" s="51">
        <f t="shared" si="4"/>
        <v>42.782602499999996</v>
      </c>
      <c r="U41" s="79">
        <f t="shared" si="5"/>
        <v>1558.59</v>
      </c>
      <c r="V41" s="45">
        <f t="shared" si="6"/>
        <v>1570.8</v>
      </c>
      <c r="W41" s="80">
        <f t="shared" si="7"/>
        <v>42.254519999999999</v>
      </c>
      <c r="X41" s="47">
        <f t="shared" si="8"/>
        <v>25.669561499999997</v>
      </c>
      <c r="Y41" s="46">
        <f t="shared" si="0"/>
        <v>935.15399999999988</v>
      </c>
      <c r="Z41" s="53">
        <f t="shared" si="9"/>
        <v>25.352712</v>
      </c>
      <c r="AA41" s="52">
        <f t="shared" si="10"/>
        <v>942.4799999999999</v>
      </c>
      <c r="AB41" s="5"/>
      <c r="AC41" s="184">
        <f t="shared" si="11"/>
        <v>25.669561499999997</v>
      </c>
      <c r="AD41" s="184">
        <f t="shared" si="12"/>
        <v>935.15399999999988</v>
      </c>
      <c r="AE41" s="1"/>
    </row>
    <row r="42" spans="1:31">
      <c r="A42" s="28"/>
      <c r="B42" s="25"/>
      <c r="C42" s="25"/>
      <c r="D42" s="25"/>
      <c r="E42" s="25"/>
      <c r="F42" s="25"/>
      <c r="G42" s="25"/>
      <c r="H42" s="25"/>
      <c r="I42" s="25"/>
      <c r="J42" s="32"/>
      <c r="K42" s="2"/>
      <c r="L42" s="4"/>
      <c r="M42" s="48">
        <v>0.65</v>
      </c>
      <c r="N42" s="49">
        <f t="shared" si="1"/>
        <v>65</v>
      </c>
      <c r="O42" s="41">
        <f t="shared" si="2"/>
        <v>1701.7</v>
      </c>
      <c r="P42" s="50">
        <f t="shared" si="3"/>
        <v>25.025000000000002</v>
      </c>
      <c r="Q42" s="50">
        <f t="shared" si="14"/>
        <v>-7.214999999999999</v>
      </c>
      <c r="R42" s="37">
        <f t="shared" si="13"/>
        <v>95.5</v>
      </c>
      <c r="S42" s="48">
        <f t="shared" si="15"/>
        <v>1694.4850000000001</v>
      </c>
      <c r="T42" s="51">
        <f t="shared" si="4"/>
        <v>42.828240000000001</v>
      </c>
      <c r="U42" s="79">
        <f t="shared" si="5"/>
        <v>1694.4850000000001</v>
      </c>
      <c r="V42" s="45">
        <f t="shared" si="6"/>
        <v>1701.7</v>
      </c>
      <c r="W42" s="80">
        <f t="shared" si="7"/>
        <v>42.499957499999994</v>
      </c>
      <c r="X42" s="47">
        <f t="shared" si="8"/>
        <v>25.696943999999998</v>
      </c>
      <c r="Y42" s="46">
        <f t="shared" si="0"/>
        <v>1016.691</v>
      </c>
      <c r="Z42" s="53">
        <f t="shared" si="9"/>
        <v>25.499974499999997</v>
      </c>
      <c r="AA42" s="52">
        <f t="shared" si="10"/>
        <v>1021.02</v>
      </c>
      <c r="AB42" s="5"/>
      <c r="AC42" s="184">
        <f t="shared" si="11"/>
        <v>25.696943999999998</v>
      </c>
      <c r="AD42" s="184">
        <f t="shared" si="12"/>
        <v>1016.691</v>
      </c>
      <c r="AE42" s="1"/>
    </row>
    <row r="43" spans="1:31">
      <c r="A43" s="28"/>
      <c r="B43" s="25"/>
      <c r="C43" s="25"/>
      <c r="D43" s="25"/>
      <c r="E43" s="25"/>
      <c r="F43" s="25"/>
      <c r="G43" s="25"/>
      <c r="H43" s="25"/>
      <c r="I43" s="25"/>
      <c r="J43" s="32"/>
      <c r="K43" s="2"/>
      <c r="L43" s="4"/>
      <c r="M43" s="48">
        <v>0.7</v>
      </c>
      <c r="N43" s="49">
        <f t="shared" si="1"/>
        <v>70</v>
      </c>
      <c r="O43" s="41">
        <f t="shared" si="2"/>
        <v>1832.6000000000001</v>
      </c>
      <c r="P43" s="50">
        <f t="shared" si="3"/>
        <v>26.95</v>
      </c>
      <c r="Q43" s="50">
        <f t="shared" si="14"/>
        <v>-2.2199999999999998</v>
      </c>
      <c r="R43" s="37">
        <f t="shared" si="13"/>
        <v>97.75</v>
      </c>
      <c r="S43" s="48">
        <f t="shared" si="15"/>
        <v>1830.38</v>
      </c>
      <c r="T43" s="51">
        <f t="shared" si="4"/>
        <v>42.347434999999997</v>
      </c>
      <c r="U43" s="79">
        <f t="shared" si="5"/>
        <v>1830.38</v>
      </c>
      <c r="V43" s="45">
        <f t="shared" si="6"/>
        <v>1832.6000000000001</v>
      </c>
      <c r="W43" s="80">
        <f t="shared" si="7"/>
        <v>42.241430000000001</v>
      </c>
      <c r="X43" s="47">
        <f t="shared" si="8"/>
        <v>25.408460999999999</v>
      </c>
      <c r="Y43" s="46">
        <f t="shared" si="0"/>
        <v>1098.2280000000001</v>
      </c>
      <c r="Z43" s="53">
        <f t="shared" si="9"/>
        <v>25.344857999999999</v>
      </c>
      <c r="AA43" s="52">
        <f t="shared" si="10"/>
        <v>1099.56</v>
      </c>
      <c r="AB43" s="5"/>
      <c r="AC43" s="184">
        <f t="shared" si="11"/>
        <v>25.408460999999999</v>
      </c>
      <c r="AD43" s="184">
        <f t="shared" si="12"/>
        <v>1098.2280000000001</v>
      </c>
      <c r="AE43" s="1"/>
    </row>
    <row r="44" spans="1:31">
      <c r="A44" s="28"/>
      <c r="B44" s="25"/>
      <c r="C44" s="25"/>
      <c r="D44" s="25"/>
      <c r="E44" s="25"/>
      <c r="F44" s="25"/>
      <c r="G44" s="25"/>
      <c r="H44" s="25"/>
      <c r="I44" s="25"/>
      <c r="J44" s="32"/>
      <c r="K44" s="2"/>
      <c r="L44" s="4"/>
      <c r="M44" s="48">
        <v>0.75</v>
      </c>
      <c r="N44" s="49">
        <f t="shared" si="1"/>
        <v>75</v>
      </c>
      <c r="O44" s="41">
        <f t="shared" si="2"/>
        <v>1963.5</v>
      </c>
      <c r="P44" s="50">
        <f t="shared" si="3"/>
        <v>28.875</v>
      </c>
      <c r="Q44" s="50">
        <f t="shared" si="14"/>
        <v>2.7749999999999995</v>
      </c>
      <c r="R44" s="37">
        <f t="shared" si="13"/>
        <v>100</v>
      </c>
      <c r="S44" s="48">
        <f t="shared" si="15"/>
        <v>1966.2750000000001</v>
      </c>
      <c r="T44" s="51">
        <f t="shared" si="4"/>
        <v>41.340187499999999</v>
      </c>
      <c r="U44" s="79">
        <f t="shared" si="5"/>
        <v>1966.2750000000001</v>
      </c>
      <c r="V44" s="45">
        <f t="shared" si="6"/>
        <v>1963.5</v>
      </c>
      <c r="W44" s="80">
        <f t="shared" si="7"/>
        <v>41.478937500000001</v>
      </c>
      <c r="X44" s="47">
        <f t="shared" si="8"/>
        <v>24.804112499999999</v>
      </c>
      <c r="Y44" s="46">
        <f t="shared" si="0"/>
        <v>1179.7650000000001</v>
      </c>
      <c r="Z44" s="53">
        <f t="shared" si="9"/>
        <v>24.887362499999998</v>
      </c>
      <c r="AA44" s="52">
        <f t="shared" si="10"/>
        <v>1178.0999999999999</v>
      </c>
      <c r="AB44" s="5"/>
      <c r="AC44" s="184">
        <f t="shared" si="11"/>
        <v>24.804112499999999</v>
      </c>
      <c r="AD44" s="184">
        <f t="shared" si="12"/>
        <v>1179.7650000000001</v>
      </c>
      <c r="AE44" s="1"/>
    </row>
    <row r="45" spans="1:31">
      <c r="A45" s="28"/>
      <c r="B45" s="25"/>
      <c r="C45" s="25"/>
      <c r="D45" s="25"/>
      <c r="E45" s="25"/>
      <c r="F45" s="25"/>
      <c r="G45" s="25"/>
      <c r="H45" s="25"/>
      <c r="I45" s="25"/>
      <c r="J45" s="32"/>
      <c r="K45" s="2"/>
      <c r="L45" s="4"/>
      <c r="M45" s="48">
        <v>0.8</v>
      </c>
      <c r="N45" s="49">
        <f t="shared" si="1"/>
        <v>80</v>
      </c>
      <c r="O45" s="41">
        <f t="shared" si="2"/>
        <v>2094.4</v>
      </c>
      <c r="P45" s="50">
        <f t="shared" si="3"/>
        <v>30.8</v>
      </c>
      <c r="Q45" s="50">
        <f t="shared" si="14"/>
        <v>7.77</v>
      </c>
      <c r="R45" s="37">
        <f t="shared" si="13"/>
        <v>102.25</v>
      </c>
      <c r="S45" s="48">
        <f t="shared" si="15"/>
        <v>2102.17</v>
      </c>
      <c r="T45" s="51">
        <f t="shared" si="4"/>
        <v>39.806497499999999</v>
      </c>
      <c r="U45" s="79">
        <f t="shared" si="5"/>
        <v>2102.17</v>
      </c>
      <c r="V45" s="45">
        <f t="shared" si="6"/>
        <v>2094.4</v>
      </c>
      <c r="W45" s="80">
        <f t="shared" si="7"/>
        <v>40.212479999999999</v>
      </c>
      <c r="X45" s="47">
        <f t="shared" si="8"/>
        <v>23.883898499999997</v>
      </c>
      <c r="Y45" s="46">
        <f t="shared" si="0"/>
        <v>1261.3019999999999</v>
      </c>
      <c r="Z45" s="53">
        <f t="shared" si="9"/>
        <v>24.127488</v>
      </c>
      <c r="AA45" s="52">
        <f t="shared" si="10"/>
        <v>1256.6400000000001</v>
      </c>
      <c r="AB45" s="5"/>
      <c r="AC45" s="184">
        <f t="shared" si="11"/>
        <v>23.883898499999997</v>
      </c>
      <c r="AD45" s="184">
        <f t="shared" si="12"/>
        <v>1261.3019999999999</v>
      </c>
      <c r="AE45" s="1"/>
    </row>
    <row r="46" spans="1:31">
      <c r="A46" s="28"/>
      <c r="B46" s="25"/>
      <c r="C46" s="25"/>
      <c r="D46" s="25"/>
      <c r="E46" s="25"/>
      <c r="F46" s="25"/>
      <c r="G46" s="25"/>
      <c r="H46" s="25"/>
      <c r="I46" s="25"/>
      <c r="J46" s="32"/>
      <c r="K46" s="2"/>
      <c r="L46" s="4"/>
      <c r="M46" s="48">
        <v>0.85</v>
      </c>
      <c r="N46" s="49">
        <f t="shared" si="1"/>
        <v>85</v>
      </c>
      <c r="O46" s="41">
        <f t="shared" si="2"/>
        <v>2225.3000000000002</v>
      </c>
      <c r="P46" s="50">
        <f t="shared" si="3"/>
        <v>32.725000000000001</v>
      </c>
      <c r="Q46" s="50">
        <f t="shared" si="14"/>
        <v>12.764999999999999</v>
      </c>
      <c r="R46" s="37">
        <f t="shared" si="13"/>
        <v>104.5</v>
      </c>
      <c r="S46" s="48">
        <f t="shared" si="15"/>
        <v>2238.0650000000001</v>
      </c>
      <c r="T46" s="51">
        <f t="shared" si="4"/>
        <v>37.746364999999997</v>
      </c>
      <c r="U46" s="79">
        <f t="shared" si="5"/>
        <v>2238.0650000000001</v>
      </c>
      <c r="V46" s="45">
        <f t="shared" si="6"/>
        <v>2225.3000000000002</v>
      </c>
      <c r="W46" s="80">
        <f t="shared" si="7"/>
        <v>38.442057500000011</v>
      </c>
      <c r="X46" s="47">
        <f t="shared" si="8"/>
        <v>22.647818999999998</v>
      </c>
      <c r="Y46" s="46">
        <f t="shared" si="0"/>
        <v>1342.8389999999999</v>
      </c>
      <c r="Z46" s="53">
        <f t="shared" si="9"/>
        <v>23.065234500000006</v>
      </c>
      <c r="AA46" s="52">
        <f t="shared" si="10"/>
        <v>1335.18</v>
      </c>
      <c r="AB46" s="5"/>
      <c r="AC46" s="184">
        <f t="shared" si="11"/>
        <v>22.647818999999998</v>
      </c>
      <c r="AD46" s="184">
        <f t="shared" si="12"/>
        <v>1342.8389999999999</v>
      </c>
      <c r="AE46" s="1"/>
    </row>
    <row r="47" spans="1:31">
      <c r="A47" s="28"/>
      <c r="B47" s="25"/>
      <c r="C47" s="25"/>
      <c r="D47" s="25"/>
      <c r="E47" s="25"/>
      <c r="F47" s="25"/>
      <c r="G47" s="25"/>
      <c r="H47" s="25"/>
      <c r="I47" s="25"/>
      <c r="J47" s="32"/>
      <c r="K47" s="2"/>
      <c r="L47" s="4"/>
      <c r="M47" s="48">
        <v>0.9</v>
      </c>
      <c r="N47" s="49">
        <f t="shared" si="1"/>
        <v>90</v>
      </c>
      <c r="O47" s="41">
        <f t="shared" si="2"/>
        <v>2356.2000000000003</v>
      </c>
      <c r="P47" s="50">
        <f t="shared" si="3"/>
        <v>34.65</v>
      </c>
      <c r="Q47" s="50">
        <f t="shared" si="14"/>
        <v>17.759999999999998</v>
      </c>
      <c r="R47" s="37">
        <f t="shared" si="13"/>
        <v>106.75</v>
      </c>
      <c r="S47" s="48">
        <f t="shared" si="15"/>
        <v>2373.9600000000005</v>
      </c>
      <c r="T47" s="51">
        <f t="shared" si="4"/>
        <v>35.159790000000029</v>
      </c>
      <c r="U47" s="79">
        <f t="shared" si="5"/>
        <v>2373.9600000000005</v>
      </c>
      <c r="V47" s="45">
        <f t="shared" si="6"/>
        <v>2356.2000000000003</v>
      </c>
      <c r="W47" s="80">
        <f t="shared" si="7"/>
        <v>36.167670000000015</v>
      </c>
      <c r="X47" s="47">
        <f t="shared" si="8"/>
        <v>21.095874000000016</v>
      </c>
      <c r="Y47" s="46">
        <f t="shared" si="0"/>
        <v>1424.3760000000002</v>
      </c>
      <c r="Z47" s="53">
        <f t="shared" si="9"/>
        <v>21.700602000000007</v>
      </c>
      <c r="AA47" s="52">
        <f t="shared" si="10"/>
        <v>1413.72</v>
      </c>
      <c r="AB47" s="5"/>
      <c r="AC47" s="184">
        <f t="shared" si="11"/>
        <v>21.095874000000016</v>
      </c>
      <c r="AD47" s="184">
        <f t="shared" si="12"/>
        <v>1424.3760000000002</v>
      </c>
      <c r="AE47" s="1"/>
    </row>
    <row r="48" spans="1:31">
      <c r="A48" s="28"/>
      <c r="B48" s="25"/>
      <c r="C48" s="25"/>
      <c r="D48" s="25"/>
      <c r="E48" s="25"/>
      <c r="F48" s="25"/>
      <c r="G48" s="25"/>
      <c r="H48" s="25"/>
      <c r="I48" s="25"/>
      <c r="J48" s="32"/>
      <c r="K48" s="2"/>
      <c r="L48" s="4"/>
      <c r="M48" s="48">
        <v>0.95</v>
      </c>
      <c r="N48" s="49">
        <f t="shared" si="1"/>
        <v>95</v>
      </c>
      <c r="O48" s="41">
        <f t="shared" si="2"/>
        <v>2487.1</v>
      </c>
      <c r="P48" s="50">
        <f t="shared" si="3"/>
        <v>36.575000000000003</v>
      </c>
      <c r="Q48" s="50">
        <f t="shared" si="14"/>
        <v>22.754999999999999</v>
      </c>
      <c r="R48" s="37">
        <f t="shared" si="13"/>
        <v>109</v>
      </c>
      <c r="S48" s="48">
        <f t="shared" si="15"/>
        <v>2509.855</v>
      </c>
      <c r="T48" s="51">
        <f t="shared" si="4"/>
        <v>32.046772499999989</v>
      </c>
      <c r="U48" s="79">
        <f t="shared" si="5"/>
        <v>2509.855</v>
      </c>
      <c r="V48" s="45">
        <f t="shared" si="6"/>
        <v>2487.1</v>
      </c>
      <c r="W48" s="80">
        <f t="shared" si="7"/>
        <v>33.38931749999999</v>
      </c>
      <c r="X48" s="47">
        <f t="shared" si="8"/>
        <v>19.228063499999994</v>
      </c>
      <c r="Y48" s="46">
        <f t="shared" si="0"/>
        <v>1505.913</v>
      </c>
      <c r="Z48" s="53">
        <f t="shared" si="9"/>
        <v>20.033590499999992</v>
      </c>
      <c r="AA48" s="52">
        <f t="shared" si="10"/>
        <v>1492.26</v>
      </c>
      <c r="AB48" s="5"/>
      <c r="AC48" s="184">
        <f t="shared" si="11"/>
        <v>19.228063499999994</v>
      </c>
      <c r="AD48" s="184">
        <f t="shared" si="12"/>
        <v>1505.913</v>
      </c>
      <c r="AE48" s="1"/>
    </row>
    <row r="49" spans="1:31">
      <c r="A49" s="28"/>
      <c r="B49" s="25"/>
      <c r="C49" s="25"/>
      <c r="D49" s="25"/>
      <c r="E49" s="25"/>
      <c r="F49" s="25"/>
      <c r="G49" s="25"/>
      <c r="H49" s="25"/>
      <c r="I49" s="25"/>
      <c r="J49" s="55" t="s">
        <v>38</v>
      </c>
      <c r="K49" s="2"/>
      <c r="L49" s="4"/>
      <c r="M49" s="48">
        <v>1</v>
      </c>
      <c r="N49" s="49">
        <f t="shared" si="1"/>
        <v>100</v>
      </c>
      <c r="O49" s="41">
        <f t="shared" si="2"/>
        <v>2618</v>
      </c>
      <c r="P49" s="50">
        <f t="shared" si="3"/>
        <v>38.5</v>
      </c>
      <c r="Q49" s="50">
        <f t="shared" si="14"/>
        <v>27.749999999999996</v>
      </c>
      <c r="R49" s="37">
        <f t="shared" si="13"/>
        <v>111.25</v>
      </c>
      <c r="S49" s="48">
        <f t="shared" si="15"/>
        <v>2645.75</v>
      </c>
      <c r="T49" s="51">
        <f t="shared" si="4"/>
        <v>28.4073125</v>
      </c>
      <c r="U49" s="79">
        <f t="shared" si="5"/>
        <v>2645.75</v>
      </c>
      <c r="V49" s="45">
        <f t="shared" si="6"/>
        <v>2618</v>
      </c>
      <c r="W49" s="80">
        <f t="shared" si="7"/>
        <v>30.106999999999999</v>
      </c>
      <c r="X49" s="47">
        <f t="shared" si="8"/>
        <v>17.044387499999999</v>
      </c>
      <c r="Y49" s="46">
        <f t="shared" si="0"/>
        <v>1587.45</v>
      </c>
      <c r="Z49" s="53">
        <f t="shared" si="9"/>
        <v>18.0642</v>
      </c>
      <c r="AA49" s="52">
        <f t="shared" si="10"/>
        <v>1570.8</v>
      </c>
      <c r="AB49" s="5"/>
      <c r="AC49" s="184">
        <f t="shared" si="11"/>
        <v>17.044387499999999</v>
      </c>
      <c r="AD49" s="184">
        <f t="shared" si="12"/>
        <v>1587.45</v>
      </c>
      <c r="AE49" s="1"/>
    </row>
    <row r="50" spans="1:31" ht="15.75" thickBot="1">
      <c r="A50" s="28"/>
      <c r="B50" s="25"/>
      <c r="C50" s="25"/>
      <c r="D50" s="25"/>
      <c r="E50" s="25"/>
      <c r="F50" s="25"/>
      <c r="G50" s="25"/>
      <c r="H50" s="25"/>
      <c r="I50" s="25"/>
      <c r="J50" s="32"/>
      <c r="K50" s="2"/>
      <c r="L50" s="4"/>
      <c r="M50" s="56"/>
      <c r="N50" s="86" t="s">
        <v>39</v>
      </c>
      <c r="O50" s="41">
        <f>H20*$H$14*H12</f>
        <v>3400</v>
      </c>
      <c r="P50" s="57" t="s">
        <v>36</v>
      </c>
      <c r="Q50" s="57"/>
      <c r="R50" s="58"/>
      <c r="S50" s="56">
        <f t="shared" si="15"/>
        <v>3400</v>
      </c>
      <c r="T50" s="59">
        <v>0</v>
      </c>
      <c r="U50" s="81">
        <f t="shared" si="5"/>
        <v>3400</v>
      </c>
      <c r="V50" s="39">
        <f t="shared" si="6"/>
        <v>3400</v>
      </c>
      <c r="W50" s="82">
        <v>0</v>
      </c>
      <c r="X50" s="47">
        <f t="shared" si="8"/>
        <v>0</v>
      </c>
      <c r="Y50" s="46">
        <f t="shared" si="0"/>
        <v>2040</v>
      </c>
      <c r="Z50" s="53">
        <f t="shared" si="9"/>
        <v>0</v>
      </c>
      <c r="AA50" s="52">
        <f t="shared" si="10"/>
        <v>2040</v>
      </c>
      <c r="AB50" s="5"/>
      <c r="AC50" s="1">
        <f>AB11</f>
        <v>9.0275862068965509</v>
      </c>
      <c r="AD50" s="1">
        <f>AC11</f>
        <v>1805.5172413793102</v>
      </c>
      <c r="AE50" s="1"/>
    </row>
    <row r="51" spans="1:31">
      <c r="A51" s="28"/>
      <c r="B51" s="25"/>
      <c r="C51" s="25"/>
      <c r="D51" s="25"/>
      <c r="E51" s="25"/>
      <c r="F51" s="25"/>
      <c r="G51" s="25"/>
      <c r="H51" s="25"/>
      <c r="I51" s="25"/>
      <c r="J51" s="32"/>
      <c r="K51" s="2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5"/>
      <c r="AC51" s="1">
        <f>AB12</f>
        <v>0</v>
      </c>
      <c r="AD51" s="1">
        <f>AC12</f>
        <v>1805.5172413793102</v>
      </c>
      <c r="AE51" s="1"/>
    </row>
    <row r="52" spans="1:31">
      <c r="A52" s="28"/>
      <c r="B52" s="25"/>
      <c r="C52" s="25"/>
      <c r="D52" s="25"/>
      <c r="E52" s="25"/>
      <c r="F52" s="25"/>
      <c r="G52" s="25"/>
      <c r="H52" s="25"/>
      <c r="I52" s="25"/>
      <c r="J52" s="32"/>
      <c r="K52" s="2"/>
      <c r="L52" s="4"/>
      <c r="M52" s="18"/>
      <c r="N52" s="60"/>
      <c r="O52" s="200"/>
      <c r="P52" s="200"/>
      <c r="Q52" s="200"/>
      <c r="R52" s="18"/>
      <c r="S52" s="61"/>
      <c r="T52" s="62"/>
      <c r="U52" s="18"/>
      <c r="V52" s="18"/>
      <c r="W52" s="18"/>
      <c r="X52" s="18"/>
      <c r="Y52" s="18"/>
      <c r="Z52" s="18"/>
      <c r="AA52" s="18"/>
      <c r="AB52" s="18"/>
      <c r="AC52" s="18"/>
      <c r="AD52" s="5"/>
      <c r="AE52" s="5"/>
    </row>
    <row r="53" spans="1:31" ht="15.75" thickBot="1">
      <c r="A53" s="64"/>
      <c r="B53" s="65"/>
      <c r="C53" s="65"/>
      <c r="D53" s="65"/>
      <c r="E53" s="65"/>
      <c r="F53" s="68"/>
      <c r="G53" s="68"/>
      <c r="H53" s="68"/>
      <c r="I53" s="65"/>
      <c r="J53" s="69"/>
      <c r="K53" s="2"/>
      <c r="L53" s="4"/>
      <c r="M53" s="18"/>
      <c r="N53" s="60"/>
      <c r="O53" s="63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5"/>
      <c r="AE53" s="5"/>
    </row>
    <row r="54" spans="1:31">
      <c r="A54" s="66"/>
      <c r="B54" s="67"/>
      <c r="C54" s="67"/>
      <c r="D54" s="67"/>
      <c r="E54" s="66"/>
      <c r="F54" s="66"/>
      <c r="G54" s="66"/>
      <c r="H54" s="66"/>
      <c r="I54" s="66"/>
      <c r="J54" s="66"/>
      <c r="K54" s="2"/>
      <c r="L54" s="4"/>
      <c r="M54" s="18"/>
      <c r="N54" s="60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5"/>
      <c r="AE54" s="5"/>
    </row>
    <row r="55" spans="1:31">
      <c r="A55" s="66"/>
      <c r="B55" s="67"/>
      <c r="C55" s="67"/>
      <c r="D55" s="67"/>
      <c r="E55" s="66"/>
      <c r="F55" s="66"/>
      <c r="G55" s="66"/>
      <c r="H55" s="66"/>
      <c r="I55" s="66"/>
      <c r="J55" s="66"/>
      <c r="K55" s="2"/>
      <c r="L55" s="4"/>
      <c r="M55" s="18"/>
      <c r="N55" s="60"/>
      <c r="O55" s="63"/>
      <c r="P55" s="18"/>
      <c r="Q55" s="2"/>
      <c r="R55" s="4"/>
      <c r="S55" s="18"/>
      <c r="T55" s="60"/>
      <c r="U55" s="63"/>
      <c r="V55" s="18"/>
      <c r="W55" s="2"/>
      <c r="X55" s="4"/>
      <c r="Y55" s="18"/>
      <c r="Z55" s="60"/>
      <c r="AA55" s="63"/>
      <c r="AB55" s="18"/>
      <c r="AC55" s="2"/>
      <c r="AD55" s="4"/>
      <c r="AE55" s="18"/>
    </row>
    <row r="56" spans="1:31">
      <c r="A56" s="66"/>
      <c r="B56" s="67"/>
      <c r="C56" s="67"/>
      <c r="D56" s="67"/>
      <c r="E56" s="66"/>
      <c r="F56" s="66"/>
      <c r="G56" s="66"/>
      <c r="H56" s="66"/>
      <c r="I56" s="66"/>
      <c r="J56" s="66"/>
      <c r="K56" s="2"/>
      <c r="L56" s="4"/>
      <c r="M56" s="18"/>
      <c r="N56" s="60"/>
      <c r="O56" s="18"/>
      <c r="P56" s="18"/>
      <c r="Q56" s="2"/>
      <c r="R56" s="4"/>
      <c r="S56" s="18"/>
      <c r="T56" s="60"/>
      <c r="U56" s="18"/>
      <c r="V56" s="18"/>
      <c r="W56" s="2"/>
      <c r="X56" s="4"/>
      <c r="Y56" s="18"/>
      <c r="Z56" s="60"/>
      <c r="AA56" s="18"/>
      <c r="AB56" s="18"/>
      <c r="AC56" s="2"/>
      <c r="AD56" s="4"/>
      <c r="AE56" s="18"/>
    </row>
    <row r="57" spans="1:31"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4"/>
      <c r="AC57" s="84"/>
      <c r="AD57" s="84"/>
      <c r="AE57" s="84"/>
    </row>
    <row r="58" spans="1:31"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4"/>
      <c r="AC58" s="84"/>
      <c r="AD58" s="84"/>
      <c r="AE58" s="84"/>
    </row>
    <row r="59" spans="1:31"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4"/>
      <c r="AC59" s="84"/>
      <c r="AD59" s="84"/>
      <c r="AE59" s="84"/>
    </row>
    <row r="60" spans="1:31"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4"/>
      <c r="AC60" s="84"/>
      <c r="AD60" s="84"/>
      <c r="AE60" s="84"/>
    </row>
    <row r="79" spans="10:10">
      <c r="J79" s="89"/>
    </row>
    <row r="242" spans="10:10">
      <c r="J242" s="89"/>
    </row>
    <row r="243" spans="10:10">
      <c r="J243" s="89"/>
    </row>
    <row r="244" spans="10:10">
      <c r="J244" s="89"/>
    </row>
    <row r="245" spans="10:10">
      <c r="J245" s="89"/>
    </row>
    <row r="246" spans="10:10">
      <c r="J246" s="89"/>
    </row>
    <row r="247" spans="10:10">
      <c r="J247" s="89"/>
    </row>
    <row r="248" spans="10:10">
      <c r="J248" s="89"/>
    </row>
    <row r="249" spans="10:10">
      <c r="J249" s="89"/>
    </row>
    <row r="250" spans="10:10">
      <c r="J250" s="89"/>
    </row>
    <row r="251" spans="10:10">
      <c r="J251" s="89"/>
    </row>
    <row r="252" spans="10:10">
      <c r="J252" s="89"/>
    </row>
    <row r="253" spans="10:10">
      <c r="J253" s="89"/>
    </row>
    <row r="254" spans="10:10">
      <c r="J254" s="89"/>
    </row>
    <row r="255" spans="10:10">
      <c r="J255" s="89"/>
    </row>
    <row r="256" spans="10:10">
      <c r="J256" s="89"/>
    </row>
    <row r="257" spans="10:10">
      <c r="J257" s="89"/>
    </row>
    <row r="258" spans="10:10">
      <c r="J258" s="89"/>
    </row>
    <row r="259" spans="10:10">
      <c r="J259" s="89"/>
    </row>
    <row r="260" spans="10:10">
      <c r="J260" s="89"/>
    </row>
    <row r="261" spans="10:10">
      <c r="J261" s="89"/>
    </row>
    <row r="262" spans="10:10">
      <c r="J262" s="89"/>
    </row>
    <row r="263" spans="10:10">
      <c r="J263" s="89"/>
    </row>
    <row r="264" spans="10:10">
      <c r="J264" s="89"/>
    </row>
    <row r="265" spans="10:10">
      <c r="J265" s="89"/>
    </row>
    <row r="266" spans="10:10">
      <c r="J266" s="89"/>
    </row>
    <row r="267" spans="10:10">
      <c r="J267" s="89"/>
    </row>
    <row r="268" spans="10:10">
      <c r="J268" s="89"/>
    </row>
    <row r="269" spans="10:10">
      <c r="J269" s="89"/>
    </row>
    <row r="270" spans="10:10">
      <c r="J270" s="89"/>
    </row>
    <row r="271" spans="10:10">
      <c r="J271" s="89"/>
    </row>
    <row r="272" spans="10:10">
      <c r="J272" s="89"/>
    </row>
    <row r="273" spans="10:10">
      <c r="J273" s="89"/>
    </row>
    <row r="274" spans="10:10">
      <c r="J274" s="89"/>
    </row>
    <row r="275" spans="10:10">
      <c r="J275" s="89"/>
    </row>
    <row r="276" spans="10:10">
      <c r="J276" s="89"/>
    </row>
    <row r="277" spans="10:10">
      <c r="J277" s="89"/>
    </row>
    <row r="278" spans="10:10">
      <c r="J278" s="89"/>
    </row>
  </sheetData>
  <mergeCells count="13">
    <mergeCell ref="D1:H4"/>
    <mergeCell ref="B6:H6"/>
    <mergeCell ref="B5:H5"/>
    <mergeCell ref="X23:Y23"/>
    <mergeCell ref="Z23:AA23"/>
    <mergeCell ref="V24:W24"/>
    <mergeCell ref="M25:M26"/>
    <mergeCell ref="O52:Q52"/>
    <mergeCell ref="C23:H23"/>
    <mergeCell ref="A7:J9"/>
    <mergeCell ref="M24:N24"/>
    <mergeCell ref="O23:P23"/>
    <mergeCell ref="Q23:R23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37D7-876C-494D-8563-35099341398E}">
  <dimension ref="A1:AN278"/>
  <sheetViews>
    <sheetView zoomScaleNormal="100" workbookViewId="0">
      <selection activeCell="K4" sqref="K4"/>
    </sheetView>
  </sheetViews>
  <sheetFormatPr defaultRowHeight="15"/>
  <cols>
    <col min="10" max="12" width="10.7109375" customWidth="1"/>
    <col min="17" max="17" width="12" bestFit="1" customWidth="1"/>
  </cols>
  <sheetData>
    <row r="1" spans="1:40" ht="15.6" customHeight="1">
      <c r="A1" s="130"/>
      <c r="B1" s="131"/>
      <c r="C1" s="131"/>
      <c r="D1" s="214" t="s">
        <v>66</v>
      </c>
      <c r="E1" s="215"/>
      <c r="F1" s="215"/>
      <c r="G1" s="215"/>
      <c r="H1" s="216"/>
      <c r="I1" s="132" t="s">
        <v>67</v>
      </c>
      <c r="J1" s="133"/>
      <c r="K1" s="6"/>
      <c r="L1" s="6"/>
      <c r="M1" s="91" t="s">
        <v>60</v>
      </c>
      <c r="N1" s="6"/>
      <c r="O1" s="6"/>
      <c r="P1" s="6"/>
      <c r="Q1" s="6"/>
      <c r="R1" s="6"/>
      <c r="S1" s="6"/>
      <c r="T1" s="164" t="s">
        <v>62</v>
      </c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4"/>
      <c r="AK1" s="6"/>
      <c r="AL1" s="6"/>
      <c r="AM1" s="6"/>
      <c r="AN1" s="6"/>
    </row>
    <row r="2" spans="1:40" ht="15.6" customHeight="1">
      <c r="A2" s="14"/>
      <c r="B2" s="16"/>
      <c r="C2" s="16"/>
      <c r="D2" s="202"/>
      <c r="E2" s="203"/>
      <c r="F2" s="203"/>
      <c r="G2" s="203"/>
      <c r="H2" s="217"/>
      <c r="I2" s="128" t="s">
        <v>2</v>
      </c>
      <c r="J2" s="134">
        <f ca="1">TODAY()</f>
        <v>45454</v>
      </c>
      <c r="K2" s="6"/>
      <c r="L2" s="6"/>
      <c r="M2" s="91" t="s">
        <v>92</v>
      </c>
      <c r="N2" s="6"/>
      <c r="O2" s="6"/>
      <c r="P2" s="6"/>
      <c r="Q2" s="6"/>
      <c r="R2" s="6"/>
      <c r="S2" s="6"/>
      <c r="T2" s="95" t="s">
        <v>78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96"/>
      <c r="AK2" s="6"/>
      <c r="AL2" s="6"/>
      <c r="AM2" s="6"/>
      <c r="AN2" s="6"/>
    </row>
    <row r="3" spans="1:40" ht="15.6" customHeight="1">
      <c r="A3" s="14"/>
      <c r="B3" s="16"/>
      <c r="C3" s="16"/>
      <c r="D3" s="202"/>
      <c r="E3" s="203"/>
      <c r="F3" s="203"/>
      <c r="G3" s="203"/>
      <c r="H3" s="217"/>
      <c r="I3" s="129" t="s">
        <v>69</v>
      </c>
      <c r="J3" s="135"/>
      <c r="K3" s="6"/>
      <c r="L3" s="6"/>
      <c r="M3" s="91" t="s">
        <v>94</v>
      </c>
      <c r="N3" s="6"/>
      <c r="O3" s="6"/>
      <c r="P3" s="6"/>
      <c r="Q3" s="6"/>
      <c r="R3" s="6"/>
      <c r="S3" s="6"/>
      <c r="T3" s="95" t="s">
        <v>79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96"/>
      <c r="AK3" s="6"/>
      <c r="AL3" s="6"/>
      <c r="AM3" s="6"/>
      <c r="AN3" s="6"/>
    </row>
    <row r="4" spans="1:40" ht="15.75" customHeight="1">
      <c r="A4" s="14"/>
      <c r="B4" s="16"/>
      <c r="C4" s="16"/>
      <c r="D4" s="218"/>
      <c r="E4" s="219"/>
      <c r="F4" s="219"/>
      <c r="G4" s="219"/>
      <c r="H4" s="220"/>
      <c r="I4" s="128" t="s">
        <v>2</v>
      </c>
      <c r="J4" s="134">
        <f ca="1">TODAY()</f>
        <v>45454</v>
      </c>
      <c r="K4" s="6"/>
      <c r="L4" s="6"/>
      <c r="M4" s="92"/>
      <c r="N4" s="92" t="s">
        <v>53</v>
      </c>
      <c r="O4" s="92" t="s">
        <v>54</v>
      </c>
      <c r="P4" s="155" t="s">
        <v>82</v>
      </c>
      <c r="Q4" s="155" t="s">
        <v>85</v>
      </c>
      <c r="R4" s="6"/>
      <c r="S4" s="6"/>
      <c r="T4" s="18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96"/>
      <c r="AK4" s="6"/>
      <c r="AL4" s="6"/>
      <c r="AM4" s="6"/>
      <c r="AN4" s="6"/>
    </row>
    <row r="5" spans="1:40" ht="15.6" customHeight="1">
      <c r="A5" s="136" t="s">
        <v>0</v>
      </c>
      <c r="B5" s="222"/>
      <c r="C5" s="222"/>
      <c r="D5" s="222"/>
      <c r="E5" s="222"/>
      <c r="F5" s="222"/>
      <c r="G5" s="222"/>
      <c r="H5" s="222"/>
      <c r="I5" s="128" t="s">
        <v>68</v>
      </c>
      <c r="J5" s="145"/>
      <c r="K5" s="6"/>
      <c r="L5" s="6"/>
      <c r="M5" s="92"/>
      <c r="N5" s="92"/>
      <c r="O5" s="92"/>
      <c r="P5" s="92"/>
      <c r="Q5" s="92"/>
      <c r="R5" s="6"/>
      <c r="S5" s="6"/>
      <c r="T5" s="95" t="s">
        <v>76</v>
      </c>
      <c r="U5" s="6">
        <f>IF((1+(200/H12)^0.5)&gt;2, 2, (1 + (200/H12)^0.5))</f>
        <v>2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96"/>
      <c r="AK5" s="6"/>
      <c r="AL5" s="6"/>
      <c r="AM5" s="6"/>
      <c r="AN5" s="6"/>
    </row>
    <row r="6" spans="1:40" ht="15.6" customHeight="1" thickBot="1">
      <c r="A6" s="137" t="s">
        <v>1</v>
      </c>
      <c r="B6" s="221"/>
      <c r="C6" s="221"/>
      <c r="D6" s="221"/>
      <c r="E6" s="221"/>
      <c r="F6" s="221"/>
      <c r="G6" s="221"/>
      <c r="H6" s="221"/>
      <c r="I6" s="138" t="s">
        <v>2</v>
      </c>
      <c r="J6" s="139">
        <f ca="1">TODAY()</f>
        <v>45454</v>
      </c>
      <c r="K6" s="6"/>
      <c r="L6" s="6"/>
      <c r="M6" s="92" t="s">
        <v>55</v>
      </c>
      <c r="N6" s="92" t="s">
        <v>56</v>
      </c>
      <c r="O6" s="157" t="s">
        <v>86</v>
      </c>
      <c r="P6" s="155" t="s">
        <v>83</v>
      </c>
      <c r="Q6" s="157" t="s">
        <v>84</v>
      </c>
      <c r="R6" s="6"/>
      <c r="S6" s="6"/>
      <c r="T6" s="95" t="s">
        <v>80</v>
      </c>
      <c r="U6" s="6">
        <f>H14</f>
        <v>40</v>
      </c>
      <c r="V6" s="6" t="s">
        <v>9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96"/>
      <c r="AK6" s="6"/>
      <c r="AL6" s="6"/>
      <c r="AM6" s="6"/>
      <c r="AN6" s="6"/>
    </row>
    <row r="7" spans="1:40" ht="15.6" customHeight="1">
      <c r="A7" s="202" t="s">
        <v>49</v>
      </c>
      <c r="B7" s="203"/>
      <c r="C7" s="203"/>
      <c r="D7" s="203"/>
      <c r="E7" s="203"/>
      <c r="F7" s="203"/>
      <c r="G7" s="203"/>
      <c r="H7" s="203"/>
      <c r="I7" s="203"/>
      <c r="J7" s="204"/>
      <c r="K7" s="6"/>
      <c r="L7" s="6"/>
      <c r="M7" s="92"/>
      <c r="N7" s="92"/>
      <c r="O7" s="92"/>
      <c r="P7" s="92"/>
      <c r="Q7" s="92"/>
      <c r="R7" s="6"/>
      <c r="S7" s="6"/>
      <c r="T7" s="95" t="s">
        <v>81</v>
      </c>
      <c r="U7" s="6">
        <f>0.035*U5^(3/2)*H14^0.5*1000</f>
        <v>626.09903369994117</v>
      </c>
      <c r="V7" s="6" t="s">
        <v>87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96"/>
      <c r="AK7" s="6"/>
      <c r="AL7" s="6"/>
      <c r="AM7" s="6"/>
      <c r="AN7" s="6"/>
    </row>
    <row r="8" spans="1:40">
      <c r="A8" s="202"/>
      <c r="B8" s="203"/>
      <c r="C8" s="203"/>
      <c r="D8" s="203"/>
      <c r="E8" s="203"/>
      <c r="F8" s="203"/>
      <c r="G8" s="203"/>
      <c r="H8" s="203"/>
      <c r="I8" s="203"/>
      <c r="J8" s="204"/>
      <c r="K8" s="6"/>
      <c r="L8" s="6"/>
      <c r="M8" s="92"/>
      <c r="N8" s="92" t="s">
        <v>57</v>
      </c>
      <c r="O8" s="92" t="s">
        <v>58</v>
      </c>
      <c r="P8" s="155" t="s">
        <v>59</v>
      </c>
      <c r="Q8" s="92" t="s">
        <v>58</v>
      </c>
      <c r="R8" s="6"/>
      <c r="S8" s="6"/>
      <c r="T8" s="95" t="s">
        <v>104</v>
      </c>
      <c r="U8" s="6">
        <f>0.7*U5*(0.12*BM!H18)/H18</f>
        <v>0.33600000000000002</v>
      </c>
      <c r="V8" s="4" t="s">
        <v>9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96"/>
      <c r="AK8" s="6"/>
      <c r="AL8" s="6"/>
      <c r="AM8" s="6"/>
      <c r="AN8" s="6"/>
    </row>
    <row r="9" spans="1:40" ht="15.6" customHeight="1" thickBot="1">
      <c r="A9" s="205"/>
      <c r="B9" s="206"/>
      <c r="C9" s="206"/>
      <c r="D9" s="206"/>
      <c r="E9" s="206"/>
      <c r="F9" s="206"/>
      <c r="G9" s="206"/>
      <c r="H9" s="206"/>
      <c r="I9" s="206"/>
      <c r="J9" s="207"/>
      <c r="K9" s="6"/>
      <c r="L9" s="6"/>
      <c r="M9" s="92" t="s">
        <v>37</v>
      </c>
      <c r="N9" s="92"/>
      <c r="O9" s="92"/>
      <c r="P9" s="92"/>
      <c r="Q9" s="92"/>
      <c r="R9" s="6"/>
      <c r="S9" s="6"/>
      <c r="T9" s="95" t="s">
        <v>77</v>
      </c>
      <c r="U9" s="6">
        <v>0.15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96"/>
      <c r="AK9" s="6"/>
      <c r="AL9" s="6"/>
      <c r="AM9" s="6"/>
      <c r="AN9" s="6"/>
    </row>
    <row r="10" spans="1:40" ht="15.6" customHeight="1">
      <c r="A10" s="14"/>
      <c r="B10" s="15" t="s">
        <v>93</v>
      </c>
      <c r="C10" s="16"/>
      <c r="D10" s="16"/>
      <c r="E10" s="16"/>
      <c r="F10" s="16"/>
      <c r="G10" s="16"/>
      <c r="H10" s="16"/>
      <c r="I10" s="16"/>
      <c r="J10" s="17"/>
      <c r="K10" s="6"/>
      <c r="L10" s="6"/>
      <c r="M10" s="92">
        <v>0</v>
      </c>
      <c r="N10" s="92">
        <f>M10*$H$12</f>
        <v>0</v>
      </c>
      <c r="O10" s="92">
        <f>$H$14*N10*$H$13/1000/$H$18</f>
        <v>0</v>
      </c>
      <c r="P10" s="156">
        <f>IF((O10/$H$12/$H$13*1000)&lt;0.2*$H$19, (O10/$H$12/$H$13*1000), 0.2*$H$19)</f>
        <v>0</v>
      </c>
      <c r="Q10" s="156">
        <f>($U$7+$U$9*P10*1000+$U$8*1000)*$H$12*$H$13/10^6</f>
        <v>96.209903369994123</v>
      </c>
      <c r="R10" s="6"/>
      <c r="S10" s="6"/>
      <c r="T10" s="95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96"/>
      <c r="AK10" s="6"/>
      <c r="AL10" s="6"/>
      <c r="AM10" s="6"/>
      <c r="AN10" s="6"/>
    </row>
    <row r="11" spans="1:40" ht="15.6" customHeight="1">
      <c r="A11" s="14"/>
      <c r="C11" s="16"/>
      <c r="D11" s="16"/>
      <c r="E11" s="16"/>
      <c r="F11" s="16"/>
      <c r="G11" s="16"/>
      <c r="H11" s="16"/>
      <c r="I11" s="16"/>
      <c r="J11" s="17"/>
      <c r="K11" s="6"/>
      <c r="L11" s="6"/>
      <c r="M11" s="92">
        <v>0.05</v>
      </c>
      <c r="N11" s="92">
        <f t="shared" ref="N11:N30" si="0">M11*$H$12</f>
        <v>5</v>
      </c>
      <c r="O11" s="92">
        <f t="shared" ref="O11:O25" si="1">$H$14*N11*$H$13/1000/$H$18</f>
        <v>133.33333333333334</v>
      </c>
      <c r="P11" s="156">
        <f>IF((O11/$H$12/$H$13*1000)&lt;0.2*$H$19, (O11/$H$12/$H$13*1000), 0.2*$H$19)</f>
        <v>1.3333333333333335</v>
      </c>
      <c r="Q11" s="156">
        <f t="shared" ref="Q11:Q31" si="2">($U$7+$U$9*P11*1000+$U$8*1000)*$H$12*$H$13/10^6</f>
        <v>116.20990336999412</v>
      </c>
      <c r="R11" s="6"/>
      <c r="S11" s="6"/>
      <c r="T11" s="95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96"/>
      <c r="AK11" s="6"/>
      <c r="AL11" s="6"/>
      <c r="AM11" s="6"/>
      <c r="AN11" s="6"/>
    </row>
    <row r="12" spans="1:40" ht="15.6" customHeight="1">
      <c r="A12" s="14"/>
      <c r="B12" s="20" t="s">
        <v>40</v>
      </c>
      <c r="C12" s="20"/>
      <c r="D12" s="20"/>
      <c r="E12" s="21"/>
      <c r="F12" s="20"/>
      <c r="G12" s="20"/>
      <c r="H12" s="141">
        <f>BM!H12</f>
        <v>100</v>
      </c>
      <c r="I12" s="22" t="s">
        <v>7</v>
      </c>
      <c r="J12" s="17"/>
      <c r="K12" s="6"/>
      <c r="L12" s="6"/>
      <c r="M12" s="92">
        <v>0.1</v>
      </c>
      <c r="N12" s="92">
        <f t="shared" si="0"/>
        <v>10</v>
      </c>
      <c r="O12" s="92">
        <f t="shared" si="1"/>
        <v>266.66666666666669</v>
      </c>
      <c r="P12" s="156">
        <f t="shared" ref="P12:P32" si="3">IF((O12/$H$12/$H$13*1000)&lt;0.2*$H$19, (O12/$H$12/$H$13*1000), 0.2*$H$19)</f>
        <v>2.666666666666667</v>
      </c>
      <c r="Q12" s="156">
        <f t="shared" si="2"/>
        <v>136.20990336999409</v>
      </c>
      <c r="R12" s="6"/>
      <c r="S12" s="6"/>
      <c r="T12" s="95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96"/>
      <c r="AK12" s="6"/>
      <c r="AL12" s="6"/>
      <c r="AM12" s="6"/>
      <c r="AN12" s="6"/>
    </row>
    <row r="13" spans="1:40" ht="15.6" customHeight="1">
      <c r="A13" s="14"/>
      <c r="B13" s="20" t="s">
        <v>61</v>
      </c>
      <c r="C13" s="20"/>
      <c r="D13" s="20"/>
      <c r="E13" s="21"/>
      <c r="F13" s="20"/>
      <c r="G13" s="20"/>
      <c r="H13" s="141">
        <f>D</f>
        <v>1000</v>
      </c>
      <c r="I13" s="90" t="s">
        <v>7</v>
      </c>
      <c r="J13" s="17"/>
      <c r="K13" s="6"/>
      <c r="L13" s="6"/>
      <c r="M13" s="92">
        <v>0.15</v>
      </c>
      <c r="N13" s="92">
        <f t="shared" si="0"/>
        <v>15</v>
      </c>
      <c r="O13" s="92">
        <f t="shared" si="1"/>
        <v>400</v>
      </c>
      <c r="P13" s="156">
        <f t="shared" si="3"/>
        <v>4</v>
      </c>
      <c r="Q13" s="156">
        <f t="shared" si="2"/>
        <v>156.20990336999409</v>
      </c>
      <c r="R13" s="6"/>
      <c r="S13" s="6"/>
      <c r="T13" s="95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96"/>
      <c r="AK13" s="6"/>
      <c r="AL13" s="6"/>
      <c r="AM13" s="6"/>
      <c r="AN13" s="6"/>
    </row>
    <row r="14" spans="1:40" ht="15.75">
      <c r="A14" s="14"/>
      <c r="B14" s="20" t="s">
        <v>8</v>
      </c>
      <c r="C14" s="20"/>
      <c r="D14" s="20"/>
      <c r="E14" s="21"/>
      <c r="F14" s="20"/>
      <c r="G14" s="20"/>
      <c r="H14" s="140">
        <f>BM!H14</f>
        <v>40</v>
      </c>
      <c r="I14" s="22" t="s">
        <v>9</v>
      </c>
      <c r="J14" s="17"/>
      <c r="K14" s="6"/>
      <c r="L14" s="6"/>
      <c r="M14" s="92">
        <v>0.2</v>
      </c>
      <c r="N14" s="92">
        <f t="shared" si="0"/>
        <v>20</v>
      </c>
      <c r="O14" s="92">
        <f t="shared" si="1"/>
        <v>533.33333333333337</v>
      </c>
      <c r="P14" s="156">
        <f t="shared" si="3"/>
        <v>5.3333333333333339</v>
      </c>
      <c r="Q14" s="156">
        <f t="shared" si="2"/>
        <v>176.20990336999409</v>
      </c>
      <c r="R14" s="6"/>
      <c r="S14" s="6"/>
      <c r="T14" s="95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96"/>
      <c r="AK14" s="6"/>
      <c r="AL14" s="6"/>
      <c r="AM14" s="6"/>
      <c r="AN14" s="6"/>
    </row>
    <row r="15" spans="1:40" ht="15.75">
      <c r="A15" s="14"/>
      <c r="B15" s="24" t="s">
        <v>47</v>
      </c>
      <c r="C15" s="20"/>
      <c r="D15" s="20"/>
      <c r="E15" s="71"/>
      <c r="F15" s="71"/>
      <c r="G15" s="71"/>
      <c r="H15" s="185">
        <f>BM!H18</f>
        <v>3</v>
      </c>
      <c r="I15" s="22" t="s">
        <v>9</v>
      </c>
      <c r="J15" s="17"/>
      <c r="K15" s="6"/>
      <c r="L15" s="6"/>
      <c r="M15" s="92">
        <v>0.25</v>
      </c>
      <c r="N15" s="92">
        <f t="shared" si="0"/>
        <v>25</v>
      </c>
      <c r="O15" s="92">
        <f t="shared" si="1"/>
        <v>666.66666666666663</v>
      </c>
      <c r="P15" s="156">
        <f t="shared" si="3"/>
        <v>5.3333333333333339</v>
      </c>
      <c r="Q15" s="156">
        <f t="shared" si="2"/>
        <v>176.20990336999409</v>
      </c>
      <c r="R15" s="6"/>
      <c r="S15" s="6"/>
      <c r="T15" s="95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96"/>
      <c r="AK15" s="6"/>
      <c r="AL15" s="6"/>
      <c r="AM15" s="6"/>
      <c r="AN15" s="6"/>
    </row>
    <row r="16" spans="1:40">
      <c r="A16" s="14"/>
      <c r="B16" s="24" t="s">
        <v>64</v>
      </c>
      <c r="C16" s="16"/>
      <c r="D16" s="16"/>
      <c r="E16" s="16"/>
      <c r="F16" s="16"/>
      <c r="G16" s="85"/>
      <c r="H16" s="26">
        <f>IF((1-0.003*H14)&gt;0.85,0.85,IF((1-0.003*H14)&lt;0.67,0.67,(1-0.003*H14)))</f>
        <v>0.85</v>
      </c>
      <c r="I16" s="101"/>
      <c r="J16" s="17"/>
      <c r="K16" s="6"/>
      <c r="L16" s="6"/>
      <c r="M16" s="92">
        <v>0.3</v>
      </c>
      <c r="N16" s="92">
        <f t="shared" si="0"/>
        <v>30</v>
      </c>
      <c r="O16" s="92">
        <f t="shared" si="1"/>
        <v>800</v>
      </c>
      <c r="P16" s="156">
        <f t="shared" si="3"/>
        <v>5.3333333333333339</v>
      </c>
      <c r="Q16" s="156">
        <f t="shared" si="2"/>
        <v>176.20990336999409</v>
      </c>
      <c r="R16" s="6"/>
      <c r="S16" s="6"/>
      <c r="T16" s="95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96"/>
      <c r="AK16" s="6"/>
      <c r="AL16" s="6"/>
      <c r="AM16" s="6"/>
      <c r="AN16" s="6"/>
    </row>
    <row r="17" spans="1:40">
      <c r="A17" s="14"/>
      <c r="B17" s="24" t="s">
        <v>65</v>
      </c>
      <c r="C17" s="16"/>
      <c r="D17" s="16"/>
      <c r="E17" s="16"/>
      <c r="F17" s="16"/>
      <c r="G17" s="71"/>
      <c r="H17" s="26">
        <f>IF((1.05-0.007*H14)&gt;0.85,0.85,IF((1.05-0.007*H14)&lt;0.67,0.67,(1.05-0.007*H14)))</f>
        <v>0.77</v>
      </c>
      <c r="I17" s="22"/>
      <c r="J17" s="17"/>
      <c r="K17" s="6"/>
      <c r="L17" s="6"/>
      <c r="M17" s="92">
        <v>0.35</v>
      </c>
      <c r="N17" s="92">
        <f t="shared" si="0"/>
        <v>35</v>
      </c>
      <c r="O17" s="92">
        <f t="shared" si="1"/>
        <v>933.33333333333337</v>
      </c>
      <c r="P17" s="156">
        <f t="shared" si="3"/>
        <v>5.3333333333333339</v>
      </c>
      <c r="Q17" s="156">
        <f t="shared" si="2"/>
        <v>176.20990336999409</v>
      </c>
      <c r="R17" s="6"/>
      <c r="S17" s="6"/>
      <c r="T17" s="95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96"/>
      <c r="AK17" s="6"/>
      <c r="AL17" s="6"/>
      <c r="AM17" s="6"/>
      <c r="AN17" s="6"/>
    </row>
    <row r="18" spans="1:40" ht="15.75">
      <c r="A18" s="14"/>
      <c r="B18" s="152" t="s">
        <v>91</v>
      </c>
      <c r="C18" s="153"/>
      <c r="D18" s="153"/>
      <c r="E18" s="153"/>
      <c r="F18" s="153"/>
      <c r="G18" s="153"/>
      <c r="H18" s="154">
        <v>1.5</v>
      </c>
      <c r="I18" s="22"/>
      <c r="J18" s="17"/>
      <c r="K18" s="6"/>
      <c r="L18" s="6"/>
      <c r="M18" s="92">
        <v>0.4</v>
      </c>
      <c r="N18" s="92">
        <f t="shared" si="0"/>
        <v>40</v>
      </c>
      <c r="O18" s="92">
        <f t="shared" si="1"/>
        <v>1066.6666666666667</v>
      </c>
      <c r="P18" s="156">
        <f t="shared" si="3"/>
        <v>5.3333333333333339</v>
      </c>
      <c r="Q18" s="156">
        <f t="shared" si="2"/>
        <v>176.20990336999409</v>
      </c>
      <c r="R18" s="6"/>
      <c r="S18" s="6"/>
      <c r="T18" s="95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96"/>
      <c r="AK18" s="6"/>
      <c r="AL18" s="6"/>
      <c r="AM18" s="6"/>
      <c r="AN18" s="6"/>
    </row>
    <row r="19" spans="1:40" ht="18">
      <c r="A19" s="14"/>
      <c r="B19" s="20" t="s">
        <v>88</v>
      </c>
      <c r="C19" s="158"/>
      <c r="D19" s="158"/>
      <c r="E19" s="159"/>
      <c r="F19" s="158"/>
      <c r="G19" s="158"/>
      <c r="H19" s="160">
        <f>H14/H18</f>
        <v>26.666666666666668</v>
      </c>
      <c r="I19" s="90" t="s">
        <v>9</v>
      </c>
      <c r="J19" s="17"/>
      <c r="K19" s="6"/>
      <c r="L19" s="6"/>
      <c r="M19" s="92">
        <v>0.45</v>
      </c>
      <c r="N19" s="92">
        <f t="shared" si="0"/>
        <v>45</v>
      </c>
      <c r="O19" s="92">
        <f t="shared" si="1"/>
        <v>1200</v>
      </c>
      <c r="P19" s="156">
        <f t="shared" si="3"/>
        <v>5.3333333333333339</v>
      </c>
      <c r="Q19" s="156">
        <f t="shared" si="2"/>
        <v>176.20990336999409</v>
      </c>
      <c r="R19" s="6"/>
      <c r="S19" s="6"/>
      <c r="T19" s="95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96"/>
      <c r="AK19" s="6"/>
      <c r="AL19" s="6"/>
      <c r="AM19" s="6"/>
      <c r="AN19" s="6"/>
    </row>
    <row r="20" spans="1:40" ht="15.75" customHeight="1">
      <c r="A20" s="28"/>
      <c r="B20" s="20" t="s">
        <v>89</v>
      </c>
      <c r="C20" s="85"/>
      <c r="D20" s="85"/>
      <c r="E20" s="85"/>
      <c r="F20" s="85"/>
      <c r="G20" s="85"/>
      <c r="H20" s="161">
        <f>H15*0.37/H18</f>
        <v>0.73999999999999988</v>
      </c>
      <c r="I20" s="71" t="s">
        <v>9</v>
      </c>
      <c r="J20" s="17"/>
      <c r="K20" s="6"/>
      <c r="L20" s="6"/>
      <c r="M20" s="92">
        <v>0.5</v>
      </c>
      <c r="N20" s="92">
        <f t="shared" si="0"/>
        <v>50</v>
      </c>
      <c r="O20" s="92">
        <f t="shared" si="1"/>
        <v>1333.3333333333333</v>
      </c>
      <c r="P20" s="156">
        <f t="shared" si="3"/>
        <v>5.3333333333333339</v>
      </c>
      <c r="Q20" s="156">
        <f t="shared" si="2"/>
        <v>176.20990336999409</v>
      </c>
      <c r="R20" s="6"/>
      <c r="S20" s="6"/>
      <c r="T20" s="95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96"/>
      <c r="AK20" s="6"/>
      <c r="AL20" s="6"/>
      <c r="AM20" s="6"/>
      <c r="AN20" s="6"/>
    </row>
    <row r="21" spans="1:40" ht="15.75">
      <c r="A21" s="28"/>
      <c r="B21" s="162" t="s">
        <v>90</v>
      </c>
      <c r="C21" s="20"/>
      <c r="D21" s="20"/>
      <c r="E21" s="71"/>
      <c r="F21" s="71"/>
      <c r="G21" s="71"/>
      <c r="H21" s="163">
        <f>H19-2*((H20*(H19+H20))^0.5)</f>
        <v>17.659795215750243</v>
      </c>
      <c r="I21" s="71" t="s">
        <v>9</v>
      </c>
      <c r="J21" s="32"/>
      <c r="K21" s="4"/>
      <c r="L21" s="6"/>
      <c r="M21" s="92">
        <v>0.55000000000000004</v>
      </c>
      <c r="N21" s="92">
        <f t="shared" si="0"/>
        <v>55.000000000000007</v>
      </c>
      <c r="O21" s="92">
        <f t="shared" si="1"/>
        <v>1466.666666666667</v>
      </c>
      <c r="P21" s="156">
        <f>IF((O21/$H$12/$H$13*1000)&lt;0.2*$H$19, (O21/$H$12/$H$13*1000), 0.2*$H$19)</f>
        <v>5.3333333333333339</v>
      </c>
      <c r="Q21" s="156">
        <f t="shared" si="2"/>
        <v>176.20990336999409</v>
      </c>
      <c r="R21" s="6"/>
      <c r="S21" s="6"/>
      <c r="T21" s="95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96"/>
      <c r="AK21" s="6"/>
      <c r="AL21" s="6"/>
      <c r="AM21" s="6"/>
      <c r="AN21" s="6"/>
    </row>
    <row r="22" spans="1:40">
      <c r="A22" s="14"/>
      <c r="B22" s="71"/>
      <c r="C22" s="71"/>
      <c r="D22" s="71"/>
      <c r="E22" s="71"/>
      <c r="F22" s="71"/>
      <c r="G22" s="71"/>
      <c r="H22" s="71"/>
      <c r="I22" s="71" t="s">
        <v>12</v>
      </c>
      <c r="J22" s="17"/>
      <c r="K22" s="6"/>
      <c r="L22" s="6"/>
      <c r="M22" s="92">
        <v>0.6</v>
      </c>
      <c r="N22" s="92">
        <f t="shared" si="0"/>
        <v>60</v>
      </c>
      <c r="O22" s="92">
        <f t="shared" si="1"/>
        <v>1600</v>
      </c>
      <c r="P22" s="156">
        <f t="shared" si="3"/>
        <v>5.3333333333333339</v>
      </c>
      <c r="Q22" s="156">
        <f t="shared" si="2"/>
        <v>176.20990336999409</v>
      </c>
      <c r="R22" s="6"/>
      <c r="S22" s="6"/>
      <c r="T22" s="95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96"/>
      <c r="AK22" s="6"/>
      <c r="AL22" s="6"/>
      <c r="AM22" s="6"/>
      <c r="AN22" s="6"/>
    </row>
    <row r="23" spans="1:40" ht="15.75">
      <c r="A23" s="14"/>
      <c r="B23" s="25"/>
      <c r="C23" s="201" t="s">
        <v>50</v>
      </c>
      <c r="D23" s="201"/>
      <c r="E23" s="201"/>
      <c r="F23" s="201"/>
      <c r="G23" s="201"/>
      <c r="H23" s="201"/>
      <c r="I23" s="25"/>
      <c r="J23" s="17"/>
      <c r="K23" s="6"/>
      <c r="L23" s="6"/>
      <c r="M23" s="92">
        <v>0.65</v>
      </c>
      <c r="N23" s="92">
        <f t="shared" si="0"/>
        <v>65</v>
      </c>
      <c r="O23" s="92">
        <f t="shared" si="1"/>
        <v>1733.3333333333333</v>
      </c>
      <c r="P23" s="156">
        <f t="shared" si="3"/>
        <v>5.3333333333333339</v>
      </c>
      <c r="Q23" s="156">
        <f t="shared" si="2"/>
        <v>176.20990336999409</v>
      </c>
      <c r="R23" s="6"/>
      <c r="S23" s="6"/>
      <c r="T23" s="95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96"/>
      <c r="AK23" s="6"/>
      <c r="AL23" s="6"/>
      <c r="AM23" s="6"/>
      <c r="AN23" s="6"/>
    </row>
    <row r="24" spans="1:40">
      <c r="A24" s="14"/>
      <c r="B24" s="25"/>
      <c r="C24" s="25"/>
      <c r="D24" s="25"/>
      <c r="E24" s="25"/>
      <c r="F24" s="25"/>
      <c r="G24" s="25"/>
      <c r="H24" s="25"/>
      <c r="I24" s="25"/>
      <c r="J24" s="32"/>
      <c r="K24" s="6"/>
      <c r="L24" s="6"/>
      <c r="M24" s="92">
        <v>0.7</v>
      </c>
      <c r="N24" s="92">
        <f t="shared" si="0"/>
        <v>70</v>
      </c>
      <c r="O24" s="92">
        <f t="shared" si="1"/>
        <v>1866.6666666666667</v>
      </c>
      <c r="P24" s="156">
        <f t="shared" si="3"/>
        <v>5.3333333333333339</v>
      </c>
      <c r="Q24" s="156">
        <f t="shared" si="2"/>
        <v>176.20990336999409</v>
      </c>
      <c r="R24" s="6"/>
      <c r="S24" s="6"/>
      <c r="T24" s="95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96"/>
      <c r="AK24" s="6"/>
      <c r="AL24" s="6"/>
      <c r="AM24" s="6"/>
      <c r="AN24" s="6"/>
    </row>
    <row r="25" spans="1:40">
      <c r="A25" s="14"/>
      <c r="B25" s="25"/>
      <c r="C25" s="25"/>
      <c r="D25" s="25"/>
      <c r="E25" s="25"/>
      <c r="F25" s="25"/>
      <c r="G25" s="25"/>
      <c r="H25" s="25"/>
      <c r="I25" s="25"/>
      <c r="J25" s="32"/>
      <c r="K25" s="6"/>
      <c r="L25" s="147" t="s">
        <v>72</v>
      </c>
      <c r="M25" s="146">
        <v>0.75</v>
      </c>
      <c r="N25" s="92">
        <f t="shared" si="0"/>
        <v>75</v>
      </c>
      <c r="O25" s="92">
        <f t="shared" si="1"/>
        <v>2000</v>
      </c>
      <c r="P25" s="156">
        <f t="shared" si="3"/>
        <v>5.3333333333333339</v>
      </c>
      <c r="Q25" s="156">
        <f t="shared" si="2"/>
        <v>176.20990336999409</v>
      </c>
      <c r="R25" s="6"/>
      <c r="S25" s="6"/>
      <c r="T25" s="95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96"/>
      <c r="AK25" s="6"/>
      <c r="AL25" s="6"/>
      <c r="AM25" s="6"/>
      <c r="AN25" s="6"/>
    </row>
    <row r="26" spans="1:40">
      <c r="A26" s="14"/>
      <c r="B26" s="25"/>
      <c r="C26" s="25"/>
      <c r="D26" s="25"/>
      <c r="E26" s="25"/>
      <c r="F26" s="25"/>
      <c r="G26" s="25"/>
      <c r="H26" s="25"/>
      <c r="I26" s="25"/>
      <c r="J26" s="32"/>
      <c r="K26" s="6"/>
      <c r="L26" s="6"/>
      <c r="M26" s="92">
        <v>0.8</v>
      </c>
      <c r="N26" s="92">
        <f t="shared" si="0"/>
        <v>80</v>
      </c>
      <c r="O26" s="92">
        <f>O25</f>
        <v>2000</v>
      </c>
      <c r="P26" s="156">
        <f t="shared" si="3"/>
        <v>5.3333333333333339</v>
      </c>
      <c r="Q26" s="156">
        <f t="shared" si="2"/>
        <v>176.20990336999409</v>
      </c>
      <c r="R26" s="6"/>
      <c r="S26" s="6"/>
      <c r="T26" s="95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96"/>
      <c r="AK26" s="6"/>
      <c r="AL26" s="6"/>
      <c r="AM26" s="6"/>
      <c r="AN26" s="6"/>
    </row>
    <row r="27" spans="1:40">
      <c r="A27" s="14"/>
      <c r="B27" s="25"/>
      <c r="C27" s="25"/>
      <c r="D27" s="25"/>
      <c r="E27" s="25"/>
      <c r="F27" s="25"/>
      <c r="G27" s="25"/>
      <c r="H27" s="25"/>
      <c r="I27" s="25"/>
      <c r="J27" s="32"/>
      <c r="K27" s="6"/>
      <c r="L27" s="6"/>
      <c r="M27" s="92">
        <v>0.85</v>
      </c>
      <c r="N27" s="92">
        <f t="shared" si="0"/>
        <v>85</v>
      </c>
      <c r="O27" s="92">
        <f t="shared" ref="O27:O32" si="4">O26</f>
        <v>2000</v>
      </c>
      <c r="P27" s="156">
        <f t="shared" si="3"/>
        <v>5.3333333333333339</v>
      </c>
      <c r="Q27" s="156">
        <f t="shared" si="2"/>
        <v>176.20990336999409</v>
      </c>
      <c r="R27" s="6"/>
      <c r="S27" s="6"/>
      <c r="T27" s="95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96"/>
      <c r="AK27" s="6"/>
      <c r="AL27" s="6"/>
      <c r="AM27" s="6"/>
      <c r="AN27" s="6"/>
    </row>
    <row r="28" spans="1:40">
      <c r="A28" s="14"/>
      <c r="B28" s="25"/>
      <c r="C28" s="25"/>
      <c r="D28" s="25"/>
      <c r="E28" s="25"/>
      <c r="F28" s="25"/>
      <c r="G28" s="25"/>
      <c r="H28" s="25"/>
      <c r="I28" s="25"/>
      <c r="J28" s="32"/>
      <c r="K28" s="6"/>
      <c r="L28" s="6"/>
      <c r="M28" s="92">
        <v>0.9</v>
      </c>
      <c r="N28" s="92">
        <f t="shared" si="0"/>
        <v>90</v>
      </c>
      <c r="O28" s="92">
        <f t="shared" si="4"/>
        <v>2000</v>
      </c>
      <c r="P28" s="156">
        <f t="shared" si="3"/>
        <v>5.3333333333333339</v>
      </c>
      <c r="Q28" s="156">
        <f t="shared" si="2"/>
        <v>176.20990336999409</v>
      </c>
      <c r="R28" s="6"/>
      <c r="S28" s="6"/>
      <c r="T28" s="95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96"/>
      <c r="AK28" s="6"/>
      <c r="AL28" s="6"/>
      <c r="AM28" s="6"/>
      <c r="AN28" s="6"/>
    </row>
    <row r="29" spans="1:40">
      <c r="A29" s="14"/>
      <c r="B29" s="25"/>
      <c r="C29" s="25"/>
      <c r="D29" s="25"/>
      <c r="E29" s="25"/>
      <c r="F29" s="25"/>
      <c r="G29" s="25"/>
      <c r="H29" s="25"/>
      <c r="I29" s="25"/>
      <c r="J29" s="32"/>
      <c r="K29" s="6"/>
      <c r="L29" s="6"/>
      <c r="M29" s="92">
        <v>0.95</v>
      </c>
      <c r="N29" s="92">
        <f t="shared" si="0"/>
        <v>95</v>
      </c>
      <c r="O29" s="92">
        <f t="shared" si="4"/>
        <v>2000</v>
      </c>
      <c r="P29" s="156">
        <f t="shared" si="3"/>
        <v>5.3333333333333339</v>
      </c>
      <c r="Q29" s="156">
        <f t="shared" si="2"/>
        <v>176.20990336999409</v>
      </c>
      <c r="R29" s="6"/>
      <c r="S29" s="6"/>
      <c r="T29" s="95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96"/>
      <c r="AK29" s="6"/>
      <c r="AL29" s="6"/>
      <c r="AM29" s="6"/>
      <c r="AN29" s="6"/>
    </row>
    <row r="30" spans="1:40">
      <c r="A30" s="14"/>
      <c r="B30" s="25"/>
      <c r="C30" s="25"/>
      <c r="D30" s="25"/>
      <c r="E30" s="25"/>
      <c r="F30" s="25"/>
      <c r="G30" s="25"/>
      <c r="H30" s="25"/>
      <c r="I30" s="25"/>
      <c r="J30" s="32"/>
      <c r="K30" s="6"/>
      <c r="L30" s="6"/>
      <c r="M30" s="92">
        <v>1</v>
      </c>
      <c r="N30" s="92">
        <f t="shared" si="0"/>
        <v>100</v>
      </c>
      <c r="O30" s="92">
        <f t="shared" si="4"/>
        <v>2000</v>
      </c>
      <c r="P30" s="156">
        <f t="shared" si="3"/>
        <v>5.3333333333333339</v>
      </c>
      <c r="Q30" s="156">
        <f t="shared" si="2"/>
        <v>176.20990336999409</v>
      </c>
      <c r="R30" s="6"/>
      <c r="S30" s="6"/>
      <c r="T30" s="95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96"/>
      <c r="AK30" s="6"/>
      <c r="AL30" s="6"/>
      <c r="AM30" s="6"/>
      <c r="AN30" s="6"/>
    </row>
    <row r="31" spans="1:40">
      <c r="A31" s="14"/>
      <c r="B31" s="25"/>
      <c r="C31" s="25"/>
      <c r="D31" s="25"/>
      <c r="E31" s="25"/>
      <c r="F31" s="25"/>
      <c r="G31" s="25"/>
      <c r="H31" s="25"/>
      <c r="I31" s="25"/>
      <c r="J31" s="32"/>
      <c r="K31" s="6"/>
      <c r="L31" s="6"/>
      <c r="M31" s="92" t="s">
        <v>39</v>
      </c>
      <c r="N31" s="92"/>
      <c r="O31" s="92">
        <f t="shared" si="4"/>
        <v>2000</v>
      </c>
      <c r="P31" s="156">
        <f t="shared" si="3"/>
        <v>5.3333333333333339</v>
      </c>
      <c r="Q31" s="156">
        <f t="shared" si="2"/>
        <v>176.20990336999409</v>
      </c>
      <c r="R31" s="6"/>
      <c r="S31" s="6"/>
      <c r="T31" s="95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96"/>
      <c r="AK31" s="6"/>
      <c r="AL31" s="6"/>
      <c r="AM31" s="6"/>
      <c r="AN31" s="6"/>
    </row>
    <row r="32" spans="1:40">
      <c r="A32" s="14"/>
      <c r="B32" s="25"/>
      <c r="C32" s="25"/>
      <c r="D32" s="25"/>
      <c r="E32" s="25"/>
      <c r="F32" s="25"/>
      <c r="G32" s="25"/>
      <c r="H32" s="25"/>
      <c r="I32" s="25"/>
      <c r="J32" s="32"/>
      <c r="K32" s="6"/>
      <c r="L32" s="6"/>
      <c r="M32" s="92"/>
      <c r="N32" s="92"/>
      <c r="O32" s="92">
        <f t="shared" si="4"/>
        <v>2000</v>
      </c>
      <c r="P32" s="156">
        <f t="shared" si="3"/>
        <v>5.3333333333333339</v>
      </c>
      <c r="Q32" s="156">
        <v>0</v>
      </c>
      <c r="R32" s="6"/>
      <c r="S32" s="6"/>
      <c r="T32" s="95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96"/>
      <c r="AK32" s="6"/>
      <c r="AL32" s="6"/>
      <c r="AM32" s="6"/>
      <c r="AN32" s="6"/>
    </row>
    <row r="33" spans="1:40">
      <c r="A33" s="14"/>
      <c r="B33" s="25"/>
      <c r="C33" s="25"/>
      <c r="D33" s="25"/>
      <c r="E33" s="25"/>
      <c r="F33" s="25"/>
      <c r="G33" s="25"/>
      <c r="H33" s="25"/>
      <c r="I33" s="25"/>
      <c r="J33" s="32"/>
      <c r="K33" s="6"/>
      <c r="L33" s="6"/>
      <c r="M33" s="6"/>
      <c r="N33" s="6"/>
      <c r="O33" s="6"/>
      <c r="P33" s="4"/>
      <c r="Q33" s="6"/>
      <c r="R33" s="6"/>
      <c r="S33" s="6"/>
      <c r="T33" s="95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96"/>
      <c r="AK33" s="6"/>
      <c r="AL33" s="6"/>
      <c r="AM33" s="6"/>
      <c r="AN33" s="6"/>
    </row>
    <row r="34" spans="1:40">
      <c r="A34" s="14"/>
      <c r="B34" s="25"/>
      <c r="C34" s="25"/>
      <c r="D34" s="25"/>
      <c r="E34" s="25"/>
      <c r="F34" s="25"/>
      <c r="G34" s="25"/>
      <c r="H34" s="25"/>
      <c r="I34" s="25"/>
      <c r="J34" s="32"/>
      <c r="K34" s="6"/>
      <c r="L34" s="6"/>
      <c r="M34" s="6"/>
      <c r="N34" s="6"/>
      <c r="O34" s="6"/>
      <c r="P34" s="6"/>
      <c r="Q34" s="6"/>
      <c r="R34" s="6"/>
      <c r="S34" s="6"/>
      <c r="T34" s="95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96"/>
      <c r="AK34" s="6"/>
      <c r="AL34" s="6"/>
      <c r="AM34" s="6"/>
      <c r="AN34" s="6"/>
    </row>
    <row r="35" spans="1:40">
      <c r="A35" s="28"/>
      <c r="B35" s="25"/>
      <c r="C35" s="25"/>
      <c r="D35" s="25"/>
      <c r="E35" s="25"/>
      <c r="F35" s="25"/>
      <c r="G35" s="25"/>
      <c r="H35" s="54"/>
      <c r="I35" s="25"/>
      <c r="J35" s="32"/>
      <c r="K35" s="6"/>
      <c r="L35" s="6"/>
      <c r="M35" s="6"/>
      <c r="N35" s="6"/>
      <c r="O35" s="6"/>
      <c r="P35" s="6"/>
      <c r="Q35" s="6"/>
      <c r="R35" s="6"/>
      <c r="S35" s="6"/>
      <c r="T35" s="95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96"/>
      <c r="AK35" s="6"/>
      <c r="AL35" s="6"/>
      <c r="AM35" s="6"/>
      <c r="AN35" s="6"/>
    </row>
    <row r="36" spans="1:40">
      <c r="A36" s="28"/>
      <c r="B36" s="25"/>
      <c r="C36" s="25"/>
      <c r="D36" s="25"/>
      <c r="E36" s="25"/>
      <c r="F36" s="25"/>
      <c r="G36" s="25"/>
      <c r="H36" s="25"/>
      <c r="I36" s="25"/>
      <c r="J36" s="32"/>
      <c r="K36" s="6"/>
      <c r="L36" s="6"/>
      <c r="M36" s="6"/>
      <c r="N36" s="6"/>
      <c r="O36" s="6"/>
      <c r="P36" s="6"/>
      <c r="Q36" s="6"/>
      <c r="R36" s="6"/>
      <c r="S36" s="6"/>
      <c r="T36" s="95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96"/>
      <c r="AK36" s="6"/>
      <c r="AL36" s="6"/>
      <c r="AM36" s="6"/>
      <c r="AN36" s="6"/>
    </row>
    <row r="37" spans="1:40">
      <c r="A37" s="28"/>
      <c r="B37" s="25"/>
      <c r="C37" s="25"/>
      <c r="D37" s="25"/>
      <c r="E37" s="25"/>
      <c r="F37" s="25"/>
      <c r="G37" s="25"/>
      <c r="H37" s="25"/>
      <c r="I37" s="25"/>
      <c r="J37" s="55" t="s">
        <v>38</v>
      </c>
      <c r="K37" s="6"/>
      <c r="L37" s="6"/>
      <c r="M37" s="6"/>
      <c r="N37" s="6"/>
      <c r="O37" s="6"/>
      <c r="P37" s="6"/>
      <c r="Q37" s="6"/>
      <c r="R37" s="6"/>
      <c r="S37" s="6"/>
      <c r="T37" s="95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96"/>
      <c r="AK37" s="6"/>
      <c r="AL37" s="6"/>
      <c r="AM37" s="6"/>
      <c r="AN37" s="6"/>
    </row>
    <row r="38" spans="1:40">
      <c r="A38" s="28"/>
      <c r="B38" s="25"/>
      <c r="C38" s="25"/>
      <c r="D38" s="25"/>
      <c r="E38" s="25"/>
      <c r="F38" s="25"/>
      <c r="G38" s="25"/>
      <c r="H38" s="25"/>
      <c r="I38" s="25"/>
      <c r="J38" s="55" t="s">
        <v>38</v>
      </c>
      <c r="K38" s="6"/>
      <c r="L38" s="6"/>
      <c r="M38" s="6"/>
      <c r="N38" s="6"/>
      <c r="O38" s="6"/>
      <c r="P38" s="6"/>
      <c r="Q38" s="6"/>
      <c r="R38" s="6"/>
      <c r="S38" s="6"/>
      <c r="T38" s="95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96"/>
      <c r="AK38" s="6"/>
      <c r="AL38" s="6"/>
      <c r="AM38" s="6"/>
      <c r="AN38" s="6"/>
    </row>
    <row r="39" spans="1:40">
      <c r="A39" s="28"/>
      <c r="B39" s="25"/>
      <c r="C39" s="25"/>
      <c r="D39" s="25"/>
      <c r="E39" s="25"/>
      <c r="F39" s="25"/>
      <c r="G39" s="25"/>
      <c r="H39" s="25"/>
      <c r="I39" s="25"/>
      <c r="J39" s="55" t="s">
        <v>38</v>
      </c>
      <c r="K39" s="6"/>
      <c r="L39" s="6"/>
      <c r="M39" s="6"/>
      <c r="N39" s="6"/>
      <c r="O39" s="6"/>
      <c r="P39" s="6"/>
      <c r="Q39" s="6"/>
      <c r="R39" s="6"/>
      <c r="S39" s="6"/>
      <c r="T39" s="95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96"/>
      <c r="AK39" s="6"/>
      <c r="AL39" s="6"/>
      <c r="AM39" s="6"/>
      <c r="AN39" s="6"/>
    </row>
    <row r="40" spans="1:40">
      <c r="A40" s="28"/>
      <c r="B40" s="25"/>
      <c r="C40" s="25"/>
      <c r="D40" s="25"/>
      <c r="E40" s="25"/>
      <c r="F40" s="25"/>
      <c r="G40" s="25"/>
      <c r="H40" s="25"/>
      <c r="I40" s="25"/>
      <c r="J40" s="55" t="s">
        <v>38</v>
      </c>
      <c r="K40" s="6"/>
      <c r="L40" s="6"/>
      <c r="M40" s="6"/>
      <c r="N40" s="6"/>
      <c r="O40" s="6"/>
      <c r="P40" s="6"/>
      <c r="Q40" s="6"/>
      <c r="R40" s="6"/>
      <c r="S40" s="6"/>
      <c r="T40" s="95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96"/>
      <c r="AK40" s="6"/>
      <c r="AL40" s="6"/>
      <c r="AM40" s="6"/>
      <c r="AN40" s="6"/>
    </row>
    <row r="41" spans="1:40" ht="15.75" thickBot="1">
      <c r="A41" s="28"/>
      <c r="B41" s="25"/>
      <c r="C41" s="25"/>
      <c r="D41" s="25"/>
      <c r="E41" s="25"/>
      <c r="F41" s="25"/>
      <c r="G41" s="25"/>
      <c r="H41" s="25"/>
      <c r="I41" s="25"/>
      <c r="J41" s="55" t="s">
        <v>38</v>
      </c>
      <c r="K41" s="6"/>
      <c r="L41" s="6"/>
      <c r="M41" s="6"/>
      <c r="N41" s="6"/>
      <c r="O41" s="6"/>
      <c r="P41" s="6"/>
      <c r="Q41" s="6"/>
      <c r="R41" s="6"/>
      <c r="S41" s="6"/>
      <c r="T41" s="97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9"/>
      <c r="AK41" s="6"/>
      <c r="AL41" s="6"/>
      <c r="AM41" s="6"/>
      <c r="AN41" s="6"/>
    </row>
    <row r="42" spans="1:40">
      <c r="A42" s="28"/>
      <c r="B42" s="25"/>
      <c r="C42" s="25"/>
      <c r="D42" s="25"/>
      <c r="E42" s="25"/>
      <c r="F42" s="25"/>
      <c r="G42" s="25"/>
      <c r="H42" s="25"/>
      <c r="I42" s="25"/>
      <c r="J42" s="32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</row>
    <row r="43" spans="1:40">
      <c r="A43" s="28"/>
      <c r="B43" s="25"/>
      <c r="C43" s="25"/>
      <c r="D43" s="25"/>
      <c r="E43" s="25"/>
      <c r="F43" s="25"/>
      <c r="G43" s="25"/>
      <c r="H43" s="25"/>
      <c r="I43" s="25"/>
      <c r="J43" s="32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</row>
    <row r="44" spans="1:40">
      <c r="A44" s="28"/>
      <c r="B44" s="25"/>
      <c r="C44" s="25"/>
      <c r="D44" s="25"/>
      <c r="E44" s="25"/>
      <c r="F44" s="25"/>
      <c r="G44" s="25"/>
      <c r="H44" s="25"/>
      <c r="I44" s="25"/>
      <c r="J44" s="32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>
      <c r="A45" s="28"/>
      <c r="B45" s="25"/>
      <c r="C45" s="25"/>
      <c r="D45" s="25"/>
      <c r="E45" s="25"/>
      <c r="F45" s="25"/>
      <c r="G45" s="25"/>
      <c r="H45" s="25"/>
      <c r="I45" s="25"/>
      <c r="J45" s="32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 spans="1:40">
      <c r="A46" s="28"/>
      <c r="B46" s="25"/>
      <c r="C46" s="25"/>
      <c r="D46" s="25"/>
      <c r="E46" s="25"/>
      <c r="F46" s="25"/>
      <c r="G46" s="25"/>
      <c r="H46" s="25"/>
      <c r="I46" s="25"/>
      <c r="J46" s="32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 spans="1:40" ht="15" customHeight="1">
      <c r="A47" s="28"/>
      <c r="B47" s="25"/>
      <c r="C47" s="25"/>
      <c r="D47" s="25"/>
      <c r="E47" s="25"/>
      <c r="F47" s="25"/>
      <c r="G47" s="25"/>
      <c r="H47" s="25"/>
      <c r="I47" s="25"/>
      <c r="J47" s="32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</row>
    <row r="48" spans="1:40">
      <c r="A48" s="28"/>
      <c r="B48" s="25"/>
      <c r="C48" s="25"/>
      <c r="D48" s="25"/>
      <c r="E48" s="25"/>
      <c r="F48" s="25"/>
      <c r="G48" s="25"/>
      <c r="H48" s="25"/>
      <c r="I48" s="25"/>
      <c r="J48" s="32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</row>
    <row r="49" spans="1:40">
      <c r="A49" s="28"/>
      <c r="B49" s="25"/>
      <c r="C49" s="25"/>
      <c r="D49" s="25"/>
      <c r="E49" s="25"/>
      <c r="F49" s="25"/>
      <c r="G49" s="25"/>
      <c r="H49" s="25"/>
      <c r="I49" s="25"/>
      <c r="J49" s="55" t="s">
        <v>38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</row>
    <row r="50" spans="1:40">
      <c r="A50" s="28"/>
      <c r="B50" s="25"/>
      <c r="C50" s="25"/>
      <c r="D50" s="25"/>
      <c r="E50" s="25"/>
      <c r="F50" s="25"/>
      <c r="G50" s="25"/>
      <c r="H50" s="25"/>
      <c r="I50" s="25"/>
      <c r="J50" s="32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0">
      <c r="A51" s="28"/>
      <c r="B51" s="25"/>
      <c r="C51" s="25"/>
      <c r="D51" s="25"/>
      <c r="E51" s="25"/>
      <c r="F51" s="25"/>
      <c r="G51" s="25"/>
      <c r="H51" s="25"/>
      <c r="I51" s="25"/>
      <c r="J51" s="32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</row>
    <row r="52" spans="1:40">
      <c r="A52" s="28"/>
      <c r="B52" s="25"/>
      <c r="C52" s="25"/>
      <c r="D52" s="25"/>
      <c r="E52" s="25"/>
      <c r="F52" s="25"/>
      <c r="G52" s="25"/>
      <c r="H52" s="25"/>
      <c r="I52" s="25"/>
      <c r="J52" s="32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</row>
    <row r="53" spans="1:40" ht="15.75" thickBot="1">
      <c r="A53" s="64"/>
      <c r="B53" s="65"/>
      <c r="C53" s="65"/>
      <c r="D53" s="65"/>
      <c r="E53" s="65"/>
      <c r="F53" s="68"/>
      <c r="G53" s="68"/>
      <c r="H53" s="68"/>
      <c r="I53" s="65"/>
      <c r="J53" s="69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</row>
    <row r="54" spans="1:40">
      <c r="A54" s="66"/>
      <c r="B54" s="67"/>
      <c r="C54" s="67"/>
      <c r="D54" s="67"/>
      <c r="E54" s="66"/>
      <c r="F54" s="66"/>
      <c r="G54" s="66"/>
      <c r="H54" s="66"/>
      <c r="I54" s="66"/>
      <c r="J54" s="6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</row>
    <row r="55" spans="1:40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</row>
    <row r="56" spans="1:40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</row>
    <row r="57" spans="1:40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</row>
    <row r="58" spans="1:40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</row>
    <row r="59" spans="1:40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</row>
    <row r="60" spans="1:4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</row>
    <row r="61" spans="1:40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</row>
    <row r="62" spans="1:40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</row>
    <row r="63" spans="1:40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</row>
    <row r="64" spans="1:40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</row>
    <row r="65" spans="1:40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</row>
    <row r="66" spans="1:40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</row>
    <row r="67" spans="1:40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</row>
    <row r="79" spans="1:40">
      <c r="J79" s="89"/>
    </row>
    <row r="227" spans="11:12">
      <c r="K227" s="89"/>
      <c r="L227" s="89"/>
    </row>
    <row r="228" spans="11:12">
      <c r="K228" s="89"/>
      <c r="L228" s="89"/>
    </row>
    <row r="229" spans="11:12">
      <c r="K229" s="89"/>
      <c r="L229" s="89"/>
    </row>
    <row r="230" spans="11:12">
      <c r="K230" s="89"/>
      <c r="L230" s="89"/>
    </row>
    <row r="231" spans="11:12">
      <c r="K231" s="89"/>
      <c r="L231" s="89"/>
    </row>
    <row r="232" spans="11:12">
      <c r="K232" s="89"/>
      <c r="L232" s="89"/>
    </row>
    <row r="233" spans="11:12">
      <c r="K233" s="89"/>
      <c r="L233" s="89"/>
    </row>
    <row r="234" spans="11:12">
      <c r="K234" s="89"/>
      <c r="L234" s="89"/>
    </row>
    <row r="235" spans="11:12">
      <c r="K235" s="89"/>
      <c r="L235" s="89"/>
    </row>
    <row r="236" spans="11:12">
      <c r="K236" s="89"/>
      <c r="L236" s="89"/>
    </row>
    <row r="237" spans="11:12">
      <c r="K237" s="89"/>
      <c r="L237" s="89"/>
    </row>
    <row r="238" spans="11:12">
      <c r="K238" s="89"/>
      <c r="L238" s="89"/>
    </row>
    <row r="239" spans="11:12">
      <c r="K239" s="89"/>
      <c r="L239" s="89"/>
    </row>
    <row r="240" spans="11:12">
      <c r="K240" s="89"/>
      <c r="L240" s="89"/>
    </row>
    <row r="241" spans="10:12">
      <c r="K241" s="89"/>
      <c r="L241" s="89"/>
    </row>
    <row r="242" spans="10:12">
      <c r="J242" s="89"/>
      <c r="K242" s="89"/>
      <c r="L242" s="89"/>
    </row>
    <row r="243" spans="10:12">
      <c r="J243" s="89"/>
      <c r="K243" s="89"/>
      <c r="L243" s="89"/>
    </row>
    <row r="244" spans="10:12">
      <c r="J244" s="89"/>
      <c r="K244" s="89"/>
      <c r="L244" s="89"/>
    </row>
    <row r="245" spans="10:12">
      <c r="J245" s="89"/>
      <c r="K245" s="89"/>
      <c r="L245" s="89"/>
    </row>
    <row r="246" spans="10:12">
      <c r="J246" s="89"/>
      <c r="K246" s="89"/>
      <c r="L246" s="89"/>
    </row>
    <row r="247" spans="10:12">
      <c r="J247" s="89"/>
      <c r="K247" s="89"/>
      <c r="L247" s="89"/>
    </row>
    <row r="248" spans="10:12">
      <c r="J248" s="89"/>
      <c r="K248" s="89"/>
      <c r="L248" s="89"/>
    </row>
    <row r="249" spans="10:12">
      <c r="J249" s="89"/>
      <c r="K249" s="89"/>
      <c r="L249" s="89"/>
    </row>
    <row r="250" spans="10:12">
      <c r="J250" s="89"/>
      <c r="K250" s="89"/>
      <c r="L250" s="89"/>
    </row>
    <row r="251" spans="10:12">
      <c r="J251" s="89"/>
      <c r="K251" s="89"/>
      <c r="L251" s="89"/>
    </row>
    <row r="252" spans="10:12">
      <c r="J252" s="89"/>
      <c r="K252" s="89"/>
      <c r="L252" s="89"/>
    </row>
    <row r="253" spans="10:12">
      <c r="J253" s="89"/>
      <c r="K253" s="89"/>
      <c r="L253" s="89"/>
    </row>
    <row r="254" spans="10:12">
      <c r="J254" s="89"/>
      <c r="K254" s="89"/>
      <c r="L254" s="89"/>
    </row>
    <row r="255" spans="10:12">
      <c r="J255" s="89"/>
      <c r="K255" s="89"/>
      <c r="L255" s="89"/>
    </row>
    <row r="256" spans="10:12">
      <c r="J256" s="89"/>
      <c r="K256" s="89"/>
      <c r="L256" s="89"/>
    </row>
    <row r="257" spans="10:12">
      <c r="J257" s="89"/>
      <c r="K257" s="89"/>
      <c r="L257" s="89"/>
    </row>
    <row r="258" spans="10:12">
      <c r="J258" s="89"/>
      <c r="K258" s="89"/>
      <c r="L258" s="89"/>
    </row>
    <row r="259" spans="10:12">
      <c r="J259" s="89"/>
      <c r="K259" s="89"/>
      <c r="L259" s="89"/>
    </row>
    <row r="260" spans="10:12">
      <c r="J260" s="89"/>
      <c r="K260" s="89"/>
      <c r="L260" s="89"/>
    </row>
    <row r="261" spans="10:12">
      <c r="J261" s="89"/>
      <c r="K261" s="89"/>
      <c r="L261" s="89"/>
    </row>
    <row r="262" spans="10:12">
      <c r="J262" s="89"/>
      <c r="K262" s="89"/>
      <c r="L262" s="89"/>
    </row>
    <row r="263" spans="10:12">
      <c r="J263" s="89"/>
      <c r="K263" s="89"/>
      <c r="L263" s="89"/>
    </row>
    <row r="264" spans="10:12">
      <c r="J264" s="89"/>
    </row>
    <row r="265" spans="10:12">
      <c r="J265" s="89"/>
    </row>
    <row r="266" spans="10:12">
      <c r="J266" s="89"/>
    </row>
    <row r="267" spans="10:12">
      <c r="J267" s="89"/>
    </row>
    <row r="268" spans="10:12">
      <c r="J268" s="89"/>
    </row>
    <row r="269" spans="10:12">
      <c r="J269" s="89"/>
    </row>
    <row r="270" spans="10:12">
      <c r="J270" s="89"/>
    </row>
    <row r="271" spans="10:12">
      <c r="J271" s="89"/>
    </row>
    <row r="272" spans="10:12">
      <c r="J272" s="89"/>
    </row>
    <row r="273" spans="10:10">
      <c r="J273" s="89"/>
    </row>
    <row r="274" spans="10:10">
      <c r="J274" s="89"/>
    </row>
    <row r="275" spans="10:10">
      <c r="J275" s="89"/>
    </row>
    <row r="276" spans="10:10">
      <c r="J276" s="89"/>
    </row>
    <row r="277" spans="10:10">
      <c r="J277" s="89"/>
    </row>
    <row r="278" spans="10:10">
      <c r="J278" s="89"/>
    </row>
  </sheetData>
  <mergeCells count="5">
    <mergeCell ref="C23:H23"/>
    <mergeCell ref="A7:J9"/>
    <mergeCell ref="D1:H4"/>
    <mergeCell ref="B5:H5"/>
    <mergeCell ref="B6:H6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36"/>
  <sheetViews>
    <sheetView workbookViewId="0">
      <selection activeCell="AA25" sqref="AA25"/>
    </sheetView>
  </sheetViews>
  <sheetFormatPr defaultRowHeight="15"/>
  <cols>
    <col min="17" max="17" width="12.140625" bestFit="1" customWidth="1"/>
    <col min="18" max="18" width="8.5703125" bestFit="1" customWidth="1"/>
    <col min="19" max="19" width="12.42578125" style="187" customWidth="1"/>
    <col min="20" max="20" width="9" style="187" customWidth="1"/>
    <col min="21" max="21" width="20.140625" style="187" customWidth="1"/>
    <col min="22" max="22" width="12" style="187" customWidth="1"/>
    <col min="23" max="23" width="16.7109375" style="187" customWidth="1"/>
    <col min="24" max="24" width="22.7109375" customWidth="1"/>
    <col min="25" max="25" width="15.5703125" customWidth="1"/>
    <col min="28" max="28" width="21.5703125" customWidth="1"/>
    <col min="30" max="30" width="12.140625" bestFit="1" customWidth="1"/>
    <col min="31" max="31" width="8.5703125" bestFit="1" customWidth="1"/>
    <col min="32" max="32" width="12.42578125" style="187" customWidth="1"/>
    <col min="33" max="33" width="9" style="187" customWidth="1"/>
    <col min="34" max="34" width="20.140625" style="187" customWidth="1"/>
    <col min="35" max="35" width="12" style="187" customWidth="1"/>
    <col min="36" max="36" width="16.7109375" style="187" customWidth="1"/>
    <col min="37" max="37" width="22.7109375" customWidth="1"/>
    <col min="38" max="38" width="15.5703125" customWidth="1"/>
    <col min="41" max="41" width="21.5703125" customWidth="1"/>
  </cols>
  <sheetData>
    <row r="1" spans="1:41">
      <c r="A1" s="73" t="s">
        <v>96</v>
      </c>
      <c r="B1" s="227" t="s">
        <v>98</v>
      </c>
      <c r="C1" s="228"/>
      <c r="D1" s="228"/>
      <c r="E1" s="228"/>
      <c r="F1" s="228"/>
      <c r="G1" s="229"/>
      <c r="H1" s="227" t="s">
        <v>97</v>
      </c>
      <c r="I1" s="228"/>
      <c r="J1" s="228"/>
      <c r="K1" s="228"/>
      <c r="L1" s="228"/>
      <c r="M1" s="229"/>
    </row>
    <row r="2" spans="1:41">
      <c r="A2" s="165">
        <v>1</v>
      </c>
      <c r="B2" s="225" t="s">
        <v>45</v>
      </c>
      <c r="C2" s="226"/>
      <c r="D2" s="226"/>
      <c r="E2" s="226" t="s">
        <v>46</v>
      </c>
      <c r="F2" s="226"/>
      <c r="G2" s="230"/>
      <c r="H2" s="225" t="s">
        <v>45</v>
      </c>
      <c r="I2" s="226"/>
      <c r="J2" s="226"/>
      <c r="K2" s="226" t="s">
        <v>46</v>
      </c>
      <c r="L2" s="226"/>
      <c r="M2" s="230"/>
      <c r="Q2" s="188" t="s">
        <v>168</v>
      </c>
      <c r="W2" s="188" t="s">
        <v>105</v>
      </c>
      <c r="AA2" s="224" t="s">
        <v>167</v>
      </c>
      <c r="AB2" s="224"/>
      <c r="AD2" s="188" t="s">
        <v>169</v>
      </c>
      <c r="AJ2" s="188" t="s">
        <v>105</v>
      </c>
      <c r="AN2" s="224" t="s">
        <v>167</v>
      </c>
      <c r="AO2" s="224"/>
    </row>
    <row r="3" spans="1:41" ht="51.75">
      <c r="A3" s="73" t="s">
        <v>44</v>
      </c>
      <c r="B3" s="87" t="s">
        <v>41</v>
      </c>
      <c r="C3" s="73" t="s">
        <v>42</v>
      </c>
      <c r="D3" s="73" t="s">
        <v>43</v>
      </c>
      <c r="E3" s="73" t="s">
        <v>41</v>
      </c>
      <c r="F3" s="73" t="s">
        <v>42</v>
      </c>
      <c r="G3" s="88" t="s">
        <v>43</v>
      </c>
      <c r="H3" s="87" t="s">
        <v>41</v>
      </c>
      <c r="I3" s="73" t="s">
        <v>42</v>
      </c>
      <c r="J3" s="73" t="s">
        <v>43</v>
      </c>
      <c r="K3" s="73" t="s">
        <v>41</v>
      </c>
      <c r="L3" s="73" t="s">
        <v>42</v>
      </c>
      <c r="M3" s="88" t="s">
        <v>43</v>
      </c>
      <c r="Q3" s="189" t="s">
        <v>106</v>
      </c>
      <c r="R3" s="189" t="s">
        <v>107</v>
      </c>
      <c r="S3" s="190" t="s">
        <v>108</v>
      </c>
      <c r="T3" s="190" t="s">
        <v>109</v>
      </c>
      <c r="U3" s="190" t="s">
        <v>110</v>
      </c>
      <c r="V3" s="190" t="s">
        <v>111</v>
      </c>
      <c r="W3" s="190" t="s">
        <v>112</v>
      </c>
      <c r="X3" s="190" t="s">
        <v>113</v>
      </c>
      <c r="Y3" s="190" t="s">
        <v>114</v>
      </c>
      <c r="AA3" s="190" t="s">
        <v>113</v>
      </c>
      <c r="AB3" s="190" t="s">
        <v>114</v>
      </c>
      <c r="AD3" s="189" t="s">
        <v>106</v>
      </c>
      <c r="AE3" s="189" t="s">
        <v>107</v>
      </c>
      <c r="AF3" s="190" t="s">
        <v>108</v>
      </c>
      <c r="AG3" s="190" t="s">
        <v>109</v>
      </c>
      <c r="AH3" s="190" t="s">
        <v>110</v>
      </c>
      <c r="AI3" s="190" t="s">
        <v>111</v>
      </c>
      <c r="AJ3" s="190" t="s">
        <v>112</v>
      </c>
      <c r="AK3" s="190" t="s">
        <v>113</v>
      </c>
      <c r="AL3" s="190" t="s">
        <v>114</v>
      </c>
      <c r="AN3" s="190" t="s">
        <v>113</v>
      </c>
      <c r="AO3" s="190" t="s">
        <v>114</v>
      </c>
    </row>
    <row r="4" spans="1:41">
      <c r="A4" s="73">
        <v>1</v>
      </c>
      <c r="B4" s="142"/>
      <c r="C4">
        <v>50</v>
      </c>
      <c r="D4">
        <v>1000</v>
      </c>
      <c r="E4">
        <f>B4*$A$2</f>
        <v>0</v>
      </c>
      <c r="F4">
        <f>C4*$A$2</f>
        <v>50</v>
      </c>
      <c r="G4" s="143">
        <f>D4*$A$2</f>
        <v>1000</v>
      </c>
      <c r="K4">
        <f>H4*$A$2</f>
        <v>0</v>
      </c>
      <c r="L4">
        <f>I4*$A$2</f>
        <v>0</v>
      </c>
      <c r="M4" s="143">
        <f>J4*$A$2</f>
        <v>0</v>
      </c>
      <c r="Q4" s="191">
        <v>9.2641370399999996</v>
      </c>
      <c r="R4" s="191">
        <v>61.969080910000002</v>
      </c>
      <c r="S4" s="192" t="s">
        <v>115</v>
      </c>
      <c r="T4" s="193">
        <v>9.1059499999999998E-3</v>
      </c>
      <c r="U4" s="193">
        <v>0.57142000000000004</v>
      </c>
      <c r="V4" s="187">
        <f>T4*1000</f>
        <v>9.10595</v>
      </c>
      <c r="W4" s="187">
        <f>U4*1000</f>
        <v>571.42000000000007</v>
      </c>
      <c r="X4">
        <f>ABS(V4)</f>
        <v>9.10595</v>
      </c>
      <c r="Y4">
        <f>ABS(W4)</f>
        <v>571.42000000000007</v>
      </c>
      <c r="AA4">
        <f>X4*1.5</f>
        <v>13.658925</v>
      </c>
      <c r="AB4">
        <f>Y4*1.5</f>
        <v>857.13000000000011</v>
      </c>
      <c r="AD4" s="191">
        <v>9.2194651160000003</v>
      </c>
      <c r="AE4" s="191">
        <v>61.169553380000004</v>
      </c>
      <c r="AF4" s="192" t="s">
        <v>170</v>
      </c>
      <c r="AG4" s="193">
        <v>4.0721500000000001E-3</v>
      </c>
      <c r="AH4" s="193">
        <v>0.43146000000000001</v>
      </c>
      <c r="AI4" s="187">
        <f>AG4*1000</f>
        <v>4.0721499999999997</v>
      </c>
      <c r="AJ4" s="187">
        <f>AH4*1000</f>
        <v>431.46000000000004</v>
      </c>
      <c r="AK4">
        <f>ABS(AI4)</f>
        <v>4.0721499999999997</v>
      </c>
      <c r="AL4">
        <f>ABS(AJ4)</f>
        <v>431.46000000000004</v>
      </c>
      <c r="AN4">
        <f>AK4*1.5</f>
        <v>6.1082249999999991</v>
      </c>
      <c r="AO4">
        <f>AL4*1.5</f>
        <v>647.19000000000005</v>
      </c>
    </row>
    <row r="5" spans="1:41">
      <c r="A5" s="73">
        <v>1</v>
      </c>
      <c r="B5" s="142"/>
      <c r="E5">
        <f t="shared" ref="E5:E68" si="0">B5*$A$2</f>
        <v>0</v>
      </c>
      <c r="F5">
        <f t="shared" ref="F5:F68" si="1">C5*$A$2</f>
        <v>0</v>
      </c>
      <c r="G5" s="143">
        <f t="shared" ref="G5:G68" si="2">D5*$A$2</f>
        <v>0</v>
      </c>
      <c r="H5" s="142"/>
      <c r="M5" s="143"/>
      <c r="Q5" s="191">
        <v>19.704840610000002</v>
      </c>
      <c r="R5" s="191">
        <v>62.020301099999998</v>
      </c>
      <c r="S5" s="192" t="s">
        <v>116</v>
      </c>
      <c r="T5" s="193">
        <v>-2.1093499999999999E-3</v>
      </c>
      <c r="U5" s="193">
        <v>0.29786000000000001</v>
      </c>
      <c r="V5" s="187">
        <f t="shared" ref="V5:W51" si="3">T5*1000</f>
        <v>-2.1093500000000001</v>
      </c>
      <c r="W5" s="187">
        <f t="shared" si="3"/>
        <v>297.86</v>
      </c>
      <c r="X5">
        <f t="shared" ref="X5:Y51" si="4">ABS(V5)</f>
        <v>2.1093500000000001</v>
      </c>
      <c r="Y5">
        <f t="shared" si="4"/>
        <v>297.86</v>
      </c>
      <c r="AA5">
        <f t="shared" ref="AA5:AA66" si="5">X5*1.5</f>
        <v>3.1640250000000001</v>
      </c>
      <c r="AB5">
        <f t="shared" ref="AB5:AB66" si="6">Y5*1.5</f>
        <v>446.79</v>
      </c>
      <c r="AD5" s="191">
        <v>19.76939312</v>
      </c>
      <c r="AE5" s="191">
        <v>61.353703060000001</v>
      </c>
      <c r="AF5" s="192" t="s">
        <v>171</v>
      </c>
      <c r="AG5" s="193">
        <v>3.9506999999999997E-3</v>
      </c>
      <c r="AH5" s="193">
        <v>0.27626000000000001</v>
      </c>
      <c r="AI5" s="187">
        <f t="shared" ref="AI5:AI66" si="7">AG5*1000</f>
        <v>3.9506999999999999</v>
      </c>
      <c r="AJ5" s="187">
        <f t="shared" ref="AJ5:AJ66" si="8">AH5*1000</f>
        <v>276.26</v>
      </c>
      <c r="AK5">
        <f t="shared" ref="AK5:AK66" si="9">ABS(AI5)</f>
        <v>3.9506999999999999</v>
      </c>
      <c r="AL5">
        <f t="shared" ref="AL5:AL66" si="10">ABS(AJ5)</f>
        <v>276.26</v>
      </c>
      <c r="AN5">
        <f t="shared" ref="AN5:AN66" si="11">AK5*1.5</f>
        <v>5.92605</v>
      </c>
      <c r="AO5">
        <f t="shared" ref="AO5:AO66" si="12">AL5*1.5</f>
        <v>414.39</v>
      </c>
    </row>
    <row r="6" spans="1:41">
      <c r="A6" s="73">
        <v>2</v>
      </c>
      <c r="B6" s="142"/>
      <c r="E6">
        <f t="shared" si="0"/>
        <v>0</v>
      </c>
      <c r="F6">
        <f t="shared" si="1"/>
        <v>0</v>
      </c>
      <c r="G6" s="143">
        <f t="shared" si="2"/>
        <v>0</v>
      </c>
      <c r="H6" s="142"/>
      <c r="M6" s="143"/>
      <c r="Q6" s="191">
        <v>9.3325536790000001</v>
      </c>
      <c r="R6" s="191">
        <v>62.120547260000002</v>
      </c>
      <c r="S6" s="192" t="s">
        <v>117</v>
      </c>
      <c r="T6" s="193">
        <v>-5.98995E-3</v>
      </c>
      <c r="U6" s="193">
        <v>0.62870000000000004</v>
      </c>
      <c r="V6" s="187">
        <f t="shared" si="3"/>
        <v>-5.9899500000000003</v>
      </c>
      <c r="W6" s="187">
        <f t="shared" si="3"/>
        <v>628.70000000000005</v>
      </c>
      <c r="X6">
        <f t="shared" si="4"/>
        <v>5.9899500000000003</v>
      </c>
      <c r="Y6">
        <f t="shared" si="4"/>
        <v>628.70000000000005</v>
      </c>
      <c r="AA6">
        <f t="shared" si="5"/>
        <v>8.9849250000000005</v>
      </c>
      <c r="AB6">
        <f t="shared" si="6"/>
        <v>943.05000000000007</v>
      </c>
      <c r="AD6" s="191">
        <v>19.76923575</v>
      </c>
      <c r="AE6" s="191">
        <v>61.695803730000002</v>
      </c>
      <c r="AF6" s="192" t="s">
        <v>172</v>
      </c>
      <c r="AG6" s="193">
        <v>-2.4288999999999999E-3</v>
      </c>
      <c r="AH6" s="193">
        <v>0.29864000000000002</v>
      </c>
      <c r="AI6" s="187">
        <f t="shared" si="7"/>
        <v>-2.4289000000000001</v>
      </c>
      <c r="AJ6" s="187">
        <f t="shared" si="8"/>
        <v>298.64000000000004</v>
      </c>
      <c r="AK6">
        <f t="shared" si="9"/>
        <v>2.4289000000000001</v>
      </c>
      <c r="AL6">
        <f t="shared" si="10"/>
        <v>298.64000000000004</v>
      </c>
      <c r="AN6">
        <f t="shared" si="11"/>
        <v>3.6433499999999999</v>
      </c>
      <c r="AO6">
        <f t="shared" si="12"/>
        <v>447.96000000000004</v>
      </c>
    </row>
    <row r="7" spans="1:41">
      <c r="A7" s="73">
        <v>2</v>
      </c>
      <c r="B7" s="142"/>
      <c r="E7">
        <f t="shared" si="0"/>
        <v>0</v>
      </c>
      <c r="F7">
        <f t="shared" si="1"/>
        <v>0</v>
      </c>
      <c r="G7" s="143">
        <f t="shared" si="2"/>
        <v>0</v>
      </c>
      <c r="H7" s="142"/>
      <c r="M7" s="143"/>
      <c r="Q7" s="191">
        <v>19.577226570000001</v>
      </c>
      <c r="R7" s="191">
        <v>62.233878259999997</v>
      </c>
      <c r="S7" s="192" t="s">
        <v>118</v>
      </c>
      <c r="T7" s="193">
        <v>-2.6096000000000001E-3</v>
      </c>
      <c r="U7" s="193">
        <v>0.34881000000000001</v>
      </c>
      <c r="V7" s="187">
        <f t="shared" si="3"/>
        <v>-2.6095999999999999</v>
      </c>
      <c r="W7" s="187">
        <f t="shared" si="3"/>
        <v>348.81</v>
      </c>
      <c r="X7">
        <f t="shared" si="4"/>
        <v>2.6095999999999999</v>
      </c>
      <c r="Y7">
        <f t="shared" si="4"/>
        <v>348.81</v>
      </c>
      <c r="AA7">
        <f t="shared" si="5"/>
        <v>3.9143999999999997</v>
      </c>
      <c r="AB7">
        <f t="shared" si="6"/>
        <v>523.21500000000003</v>
      </c>
      <c r="AD7" s="191">
        <v>9.2192226640000001</v>
      </c>
      <c r="AE7" s="191">
        <v>61.696537589999998</v>
      </c>
      <c r="AF7" s="192" t="s">
        <v>173</v>
      </c>
      <c r="AG7" s="193">
        <v>3.0539999999999999E-3</v>
      </c>
      <c r="AH7" s="193">
        <v>0.45678999999999997</v>
      </c>
      <c r="AI7" s="187">
        <f t="shared" si="7"/>
        <v>3.0539999999999998</v>
      </c>
      <c r="AJ7" s="187">
        <f t="shared" si="8"/>
        <v>456.78999999999996</v>
      </c>
      <c r="AK7">
        <f t="shared" si="9"/>
        <v>3.0539999999999998</v>
      </c>
      <c r="AL7">
        <f t="shared" si="10"/>
        <v>456.78999999999996</v>
      </c>
      <c r="AN7">
        <f t="shared" si="11"/>
        <v>4.5809999999999995</v>
      </c>
      <c r="AO7">
        <f t="shared" si="12"/>
        <v>685.18499999999995</v>
      </c>
    </row>
    <row r="8" spans="1:41">
      <c r="A8" s="73">
        <v>3</v>
      </c>
      <c r="B8" s="142"/>
      <c r="E8">
        <f t="shared" si="0"/>
        <v>0</v>
      </c>
      <c r="F8">
        <f t="shared" si="1"/>
        <v>0</v>
      </c>
      <c r="G8" s="143">
        <f t="shared" si="2"/>
        <v>0</v>
      </c>
      <c r="H8" s="142"/>
      <c r="M8" s="143"/>
      <c r="Q8" s="191">
        <v>9.4291312220000005</v>
      </c>
      <c r="R8" s="191">
        <v>62.255789610000001</v>
      </c>
      <c r="S8" s="192" t="s">
        <v>119</v>
      </c>
      <c r="T8" s="193">
        <v>-1.1405500000000001E-2</v>
      </c>
      <c r="U8" s="193">
        <v>0.65632999999999997</v>
      </c>
      <c r="V8" s="187">
        <f t="shared" si="3"/>
        <v>-11.4055</v>
      </c>
      <c r="W8" s="187">
        <f t="shared" si="3"/>
        <v>656.32999999999993</v>
      </c>
      <c r="X8">
        <f t="shared" si="4"/>
        <v>11.4055</v>
      </c>
      <c r="Y8">
        <f t="shared" si="4"/>
        <v>656.32999999999993</v>
      </c>
      <c r="AA8">
        <f t="shared" si="5"/>
        <v>17.108249999999998</v>
      </c>
      <c r="AB8">
        <f t="shared" si="6"/>
        <v>984.49499999999989</v>
      </c>
      <c r="AD8" s="191">
        <v>19.752962060000002</v>
      </c>
      <c r="AE8" s="191">
        <v>61.861221299999997</v>
      </c>
      <c r="AF8" s="192" t="s">
        <v>174</v>
      </c>
      <c r="AG8" s="193">
        <v>-1.2633500000000001E-3</v>
      </c>
      <c r="AH8" s="193">
        <v>0.31263000000000002</v>
      </c>
      <c r="AI8" s="187">
        <f t="shared" si="7"/>
        <v>-1.2633500000000002</v>
      </c>
      <c r="AJ8" s="187">
        <f t="shared" si="8"/>
        <v>312.63</v>
      </c>
      <c r="AK8">
        <f t="shared" si="9"/>
        <v>1.2633500000000002</v>
      </c>
      <c r="AL8">
        <f t="shared" si="10"/>
        <v>312.63</v>
      </c>
      <c r="AN8">
        <f t="shared" si="11"/>
        <v>1.8950250000000004</v>
      </c>
      <c r="AO8">
        <f t="shared" si="12"/>
        <v>468.94499999999999</v>
      </c>
    </row>
    <row r="9" spans="1:41">
      <c r="A9" s="73">
        <v>3</v>
      </c>
      <c r="B9" s="142"/>
      <c r="E9">
        <f t="shared" si="0"/>
        <v>0</v>
      </c>
      <c r="F9">
        <f t="shared" si="1"/>
        <v>0</v>
      </c>
      <c r="G9" s="143">
        <f t="shared" si="2"/>
        <v>0</v>
      </c>
      <c r="H9" s="142"/>
      <c r="M9" s="143"/>
      <c r="Q9" s="191">
        <v>19.385639869999999</v>
      </c>
      <c r="R9" s="191">
        <v>62.431088539999998</v>
      </c>
      <c r="S9" s="192" t="s">
        <v>120</v>
      </c>
      <c r="T9" s="193">
        <v>-1.62089E-3</v>
      </c>
      <c r="U9" s="193">
        <v>0.41036</v>
      </c>
      <c r="V9" s="187">
        <f t="shared" si="3"/>
        <v>-1.6208899999999999</v>
      </c>
      <c r="W9" s="187">
        <f t="shared" si="3"/>
        <v>410.36</v>
      </c>
      <c r="X9">
        <f t="shared" si="4"/>
        <v>1.6208899999999999</v>
      </c>
      <c r="Y9">
        <f t="shared" si="4"/>
        <v>410.36</v>
      </c>
      <c r="AA9">
        <f t="shared" si="5"/>
        <v>2.4313349999999998</v>
      </c>
      <c r="AB9">
        <f t="shared" si="6"/>
        <v>615.54</v>
      </c>
      <c r="AD9" s="191">
        <v>9.2641370399999996</v>
      </c>
      <c r="AE9" s="191">
        <v>61.969080910000002</v>
      </c>
      <c r="AF9" s="192" t="s">
        <v>115</v>
      </c>
      <c r="AG9" s="193">
        <v>9.4198000000000007E-3</v>
      </c>
      <c r="AH9" s="193">
        <v>0.64039000000000001</v>
      </c>
      <c r="AI9" s="187">
        <f t="shared" si="7"/>
        <v>9.4198000000000004</v>
      </c>
      <c r="AJ9" s="187">
        <f t="shared" si="8"/>
        <v>640.39</v>
      </c>
      <c r="AK9">
        <f t="shared" si="9"/>
        <v>9.4198000000000004</v>
      </c>
      <c r="AL9">
        <f t="shared" si="10"/>
        <v>640.39</v>
      </c>
      <c r="AN9">
        <f t="shared" si="11"/>
        <v>14.1297</v>
      </c>
      <c r="AO9">
        <f t="shared" si="12"/>
        <v>960.58500000000004</v>
      </c>
    </row>
    <row r="10" spans="1:41">
      <c r="A10" s="73">
        <v>4</v>
      </c>
      <c r="B10" s="142"/>
      <c r="E10">
        <f t="shared" si="0"/>
        <v>0</v>
      </c>
      <c r="F10">
        <f t="shared" si="1"/>
        <v>0</v>
      </c>
      <c r="G10" s="143">
        <f t="shared" si="2"/>
        <v>0</v>
      </c>
      <c r="H10" s="142"/>
      <c r="M10" s="143"/>
      <c r="Q10" s="191">
        <v>9.6432872920000001</v>
      </c>
      <c r="R10" s="191">
        <v>62.469004959999999</v>
      </c>
      <c r="S10" s="192" t="s">
        <v>121</v>
      </c>
      <c r="T10" s="193">
        <v>-2.3934999999999998E-3</v>
      </c>
      <c r="U10" s="193">
        <v>0.69804999999999995</v>
      </c>
      <c r="V10" s="187">
        <f t="shared" si="3"/>
        <v>-2.3935</v>
      </c>
      <c r="W10" s="187">
        <f t="shared" si="3"/>
        <v>698.05</v>
      </c>
      <c r="X10">
        <f t="shared" si="4"/>
        <v>2.3935</v>
      </c>
      <c r="Y10">
        <f t="shared" si="4"/>
        <v>698.05</v>
      </c>
      <c r="AA10">
        <f t="shared" si="5"/>
        <v>3.5902500000000002</v>
      </c>
      <c r="AB10">
        <f t="shared" si="6"/>
        <v>1047.0749999999998</v>
      </c>
      <c r="AD10" s="191">
        <v>19.704840610000002</v>
      </c>
      <c r="AE10" s="191">
        <v>62.020301099999998</v>
      </c>
      <c r="AF10" s="192" t="s">
        <v>116</v>
      </c>
      <c r="AG10" s="193">
        <v>-2.5324499999999999E-3</v>
      </c>
      <c r="AH10" s="193">
        <v>0.36048000000000002</v>
      </c>
      <c r="AI10" s="187">
        <f t="shared" si="7"/>
        <v>-2.5324499999999999</v>
      </c>
      <c r="AJ10" s="187">
        <f t="shared" si="8"/>
        <v>360.48</v>
      </c>
      <c r="AK10">
        <f t="shared" si="9"/>
        <v>2.5324499999999999</v>
      </c>
      <c r="AL10">
        <f t="shared" si="10"/>
        <v>360.48</v>
      </c>
      <c r="AN10">
        <f t="shared" si="11"/>
        <v>3.7986749999999998</v>
      </c>
      <c r="AO10">
        <f t="shared" si="12"/>
        <v>540.72</v>
      </c>
    </row>
    <row r="11" spans="1:41">
      <c r="A11" s="73">
        <v>4</v>
      </c>
      <c r="B11" s="142"/>
      <c r="E11">
        <f t="shared" si="0"/>
        <v>0</v>
      </c>
      <c r="F11">
        <f t="shared" si="1"/>
        <v>0</v>
      </c>
      <c r="G11" s="143">
        <f t="shared" si="2"/>
        <v>0</v>
      </c>
      <c r="H11" s="142"/>
      <c r="M11" s="143"/>
      <c r="Q11" s="191">
        <v>9.8981142339999995</v>
      </c>
      <c r="R11" s="191">
        <v>62.677466080000002</v>
      </c>
      <c r="S11" s="192" t="s">
        <v>122</v>
      </c>
      <c r="T11" s="193">
        <v>3.1786000000000002E-3</v>
      </c>
      <c r="U11" s="193">
        <v>0.76161999999999996</v>
      </c>
      <c r="V11" s="187">
        <f t="shared" si="3"/>
        <v>3.1786000000000003</v>
      </c>
      <c r="W11" s="187">
        <f t="shared" si="3"/>
        <v>761.62</v>
      </c>
      <c r="X11">
        <f t="shared" si="4"/>
        <v>3.1786000000000003</v>
      </c>
      <c r="Y11">
        <f t="shared" si="4"/>
        <v>761.62</v>
      </c>
      <c r="AA11">
        <f t="shared" si="5"/>
        <v>4.7679000000000009</v>
      </c>
      <c r="AB11">
        <f t="shared" si="6"/>
        <v>1142.43</v>
      </c>
      <c r="AD11" s="191">
        <v>9.3325536790000001</v>
      </c>
      <c r="AE11" s="191">
        <v>62.120547260000002</v>
      </c>
      <c r="AF11" s="192" t="s">
        <v>117</v>
      </c>
      <c r="AG11" s="193">
        <v>-6.2182499999999998E-3</v>
      </c>
      <c r="AH11" s="193">
        <v>0.70399999999999996</v>
      </c>
      <c r="AI11" s="187">
        <f t="shared" si="7"/>
        <v>-6.2182499999999994</v>
      </c>
      <c r="AJ11" s="187">
        <f t="shared" si="8"/>
        <v>704</v>
      </c>
      <c r="AK11">
        <f t="shared" si="9"/>
        <v>6.2182499999999994</v>
      </c>
      <c r="AL11">
        <f t="shared" si="10"/>
        <v>704</v>
      </c>
      <c r="AN11">
        <f t="shared" si="11"/>
        <v>9.327375</v>
      </c>
      <c r="AO11">
        <f t="shared" si="12"/>
        <v>1056</v>
      </c>
    </row>
    <row r="12" spans="1:41">
      <c r="A12" s="73">
        <v>5</v>
      </c>
      <c r="B12" s="142"/>
      <c r="E12">
        <f t="shared" si="0"/>
        <v>0</v>
      </c>
      <c r="F12">
        <f t="shared" si="1"/>
        <v>0</v>
      </c>
      <c r="G12" s="143">
        <f t="shared" si="2"/>
        <v>0</v>
      </c>
      <c r="H12" s="142"/>
      <c r="M12" s="143"/>
      <c r="Q12" s="191">
        <v>10.033013670000001</v>
      </c>
      <c r="R12" s="191">
        <v>62.77186313</v>
      </c>
      <c r="S12" s="192" t="s">
        <v>123</v>
      </c>
      <c r="T12" s="193">
        <v>-3.18155E-3</v>
      </c>
      <c r="U12" s="193">
        <v>0.76161999999999996</v>
      </c>
      <c r="V12" s="187">
        <f t="shared" si="3"/>
        <v>-3.1815500000000001</v>
      </c>
      <c r="W12" s="187">
        <f t="shared" si="3"/>
        <v>761.62</v>
      </c>
      <c r="X12">
        <f t="shared" si="4"/>
        <v>3.1815500000000001</v>
      </c>
      <c r="Y12">
        <f t="shared" si="4"/>
        <v>761.62</v>
      </c>
      <c r="AA12">
        <f t="shared" si="5"/>
        <v>4.7723250000000004</v>
      </c>
      <c r="AB12">
        <f t="shared" si="6"/>
        <v>1142.43</v>
      </c>
      <c r="AD12" s="191">
        <v>19.577226570000001</v>
      </c>
      <c r="AE12" s="191">
        <v>62.233878259999997</v>
      </c>
      <c r="AF12" s="192" t="s">
        <v>118</v>
      </c>
      <c r="AG12" s="193">
        <v>-2.79605E-3</v>
      </c>
      <c r="AH12" s="193">
        <v>0.41450999999999999</v>
      </c>
      <c r="AI12" s="187">
        <f t="shared" si="7"/>
        <v>-2.7960500000000001</v>
      </c>
      <c r="AJ12" s="187">
        <f t="shared" si="8"/>
        <v>414.51</v>
      </c>
      <c r="AK12">
        <f t="shared" si="9"/>
        <v>2.7960500000000001</v>
      </c>
      <c r="AL12">
        <f t="shared" si="10"/>
        <v>414.51</v>
      </c>
      <c r="AN12">
        <f t="shared" si="11"/>
        <v>4.1940749999999998</v>
      </c>
      <c r="AO12">
        <f t="shared" si="12"/>
        <v>621.76499999999999</v>
      </c>
    </row>
    <row r="13" spans="1:41">
      <c r="A13" s="73">
        <v>5</v>
      </c>
      <c r="B13" s="142"/>
      <c r="E13">
        <f t="shared" si="0"/>
        <v>0</v>
      </c>
      <c r="F13">
        <f t="shared" si="1"/>
        <v>0</v>
      </c>
      <c r="G13" s="143">
        <f t="shared" si="2"/>
        <v>0</v>
      </c>
      <c r="H13" s="142"/>
      <c r="M13" s="143"/>
      <c r="Q13" s="191">
        <v>10.033013670000001</v>
      </c>
      <c r="R13" s="191">
        <v>62.77186313</v>
      </c>
      <c r="S13" s="192" t="s">
        <v>123</v>
      </c>
      <c r="T13" s="193">
        <v>-3.18155E-3</v>
      </c>
      <c r="U13" s="193">
        <v>0.79942000000000002</v>
      </c>
      <c r="V13" s="187">
        <f t="shared" si="3"/>
        <v>-3.1815500000000001</v>
      </c>
      <c r="W13" s="187">
        <f t="shared" si="3"/>
        <v>799.42000000000007</v>
      </c>
      <c r="X13">
        <f t="shared" si="4"/>
        <v>3.1815500000000001</v>
      </c>
      <c r="Y13">
        <f t="shared" si="4"/>
        <v>799.42000000000007</v>
      </c>
      <c r="AA13">
        <f t="shared" si="5"/>
        <v>4.7723250000000004</v>
      </c>
      <c r="AB13">
        <f t="shared" si="6"/>
        <v>1199.1300000000001</v>
      </c>
      <c r="AD13" s="191">
        <v>9.4291312220000005</v>
      </c>
      <c r="AE13" s="191">
        <v>62.255789610000001</v>
      </c>
      <c r="AF13" s="192" t="s">
        <v>119</v>
      </c>
      <c r="AG13" s="193">
        <v>-1.1655499999999999E-2</v>
      </c>
      <c r="AH13" s="193">
        <v>0.73704000000000003</v>
      </c>
      <c r="AI13" s="187">
        <f t="shared" si="7"/>
        <v>-11.6555</v>
      </c>
      <c r="AJ13" s="187">
        <f t="shared" si="8"/>
        <v>737.04000000000008</v>
      </c>
      <c r="AK13">
        <f t="shared" si="9"/>
        <v>11.6555</v>
      </c>
      <c r="AL13">
        <f t="shared" si="10"/>
        <v>737.04000000000008</v>
      </c>
      <c r="AN13">
        <f t="shared" si="11"/>
        <v>17.483249999999998</v>
      </c>
      <c r="AO13">
        <f t="shared" si="12"/>
        <v>1105.5600000000002</v>
      </c>
    </row>
    <row r="14" spans="1:41">
      <c r="A14" s="73">
        <v>6</v>
      </c>
      <c r="B14" s="142"/>
      <c r="E14">
        <f t="shared" si="0"/>
        <v>0</v>
      </c>
      <c r="F14">
        <f t="shared" si="1"/>
        <v>0</v>
      </c>
      <c r="G14" s="143">
        <f t="shared" si="2"/>
        <v>0</v>
      </c>
      <c r="H14" s="142"/>
      <c r="M14" s="143"/>
      <c r="Q14" s="191">
        <v>18.863064250000001</v>
      </c>
      <c r="R14" s="191">
        <v>62.830280780000002</v>
      </c>
      <c r="S14" s="192" t="s">
        <v>124</v>
      </c>
      <c r="T14" s="193">
        <v>-3.21865E-3</v>
      </c>
      <c r="U14" s="193">
        <v>0.45528000000000002</v>
      </c>
      <c r="V14" s="187">
        <f t="shared" si="3"/>
        <v>-3.2186499999999998</v>
      </c>
      <c r="W14" s="187">
        <f t="shared" si="3"/>
        <v>455.28000000000003</v>
      </c>
      <c r="X14">
        <f t="shared" si="4"/>
        <v>3.2186499999999998</v>
      </c>
      <c r="Y14">
        <f t="shared" si="4"/>
        <v>455.28000000000003</v>
      </c>
      <c r="AA14">
        <f t="shared" si="5"/>
        <v>4.8279749999999995</v>
      </c>
      <c r="AB14">
        <f t="shared" si="6"/>
        <v>682.92000000000007</v>
      </c>
      <c r="AD14" s="191">
        <v>19.385639869999999</v>
      </c>
      <c r="AE14" s="191">
        <v>62.431088539999998</v>
      </c>
      <c r="AF14" s="192" t="s">
        <v>120</v>
      </c>
      <c r="AG14" s="193">
        <v>-1.621665E-3</v>
      </c>
      <c r="AH14" s="193">
        <v>0.48132999999999998</v>
      </c>
      <c r="AI14" s="187">
        <f t="shared" si="7"/>
        <v>-1.6216649999999999</v>
      </c>
      <c r="AJ14" s="187">
        <f t="shared" si="8"/>
        <v>481.33</v>
      </c>
      <c r="AK14">
        <f t="shared" si="9"/>
        <v>1.6216649999999999</v>
      </c>
      <c r="AL14">
        <f t="shared" si="10"/>
        <v>481.33</v>
      </c>
      <c r="AN14">
        <f t="shared" si="11"/>
        <v>2.4324974999999998</v>
      </c>
      <c r="AO14">
        <f t="shared" si="12"/>
        <v>721.995</v>
      </c>
    </row>
    <row r="15" spans="1:41">
      <c r="A15" s="73">
        <v>6</v>
      </c>
      <c r="B15" s="142"/>
      <c r="E15">
        <f t="shared" si="0"/>
        <v>0</v>
      </c>
      <c r="F15">
        <f t="shared" si="1"/>
        <v>0</v>
      </c>
      <c r="G15" s="143">
        <f t="shared" si="2"/>
        <v>0</v>
      </c>
      <c r="H15" s="142"/>
      <c r="M15" s="143"/>
      <c r="Q15" s="191">
        <v>10.24261153</v>
      </c>
      <c r="R15" s="191">
        <v>62.881365160000001</v>
      </c>
      <c r="S15" s="192" t="s">
        <v>125</v>
      </c>
      <c r="T15" s="193">
        <v>-5.8253500000000002E-4</v>
      </c>
      <c r="U15" s="193">
        <v>0.80779999999999996</v>
      </c>
      <c r="V15" s="187">
        <f t="shared" si="3"/>
        <v>-0.58253500000000003</v>
      </c>
      <c r="W15" s="187">
        <f t="shared" si="3"/>
        <v>807.8</v>
      </c>
      <c r="X15">
        <f t="shared" si="4"/>
        <v>0.58253500000000003</v>
      </c>
      <c r="Y15">
        <f t="shared" si="4"/>
        <v>807.8</v>
      </c>
      <c r="AA15">
        <f t="shared" si="5"/>
        <v>0.87380250000000004</v>
      </c>
      <c r="AB15">
        <f t="shared" si="6"/>
        <v>1211.6999999999998</v>
      </c>
      <c r="AD15" s="191">
        <v>9.6432872920000001</v>
      </c>
      <c r="AE15" s="191">
        <v>62.469004959999999</v>
      </c>
      <c r="AF15" s="192" t="s">
        <v>121</v>
      </c>
      <c r="AG15" s="193">
        <v>-2.2493000000000001E-3</v>
      </c>
      <c r="AH15" s="193">
        <v>0.78383000000000003</v>
      </c>
      <c r="AI15" s="187">
        <f t="shared" si="7"/>
        <v>-2.2493000000000003</v>
      </c>
      <c r="AJ15" s="187">
        <f t="shared" si="8"/>
        <v>783.83</v>
      </c>
      <c r="AK15">
        <f t="shared" si="9"/>
        <v>2.2493000000000003</v>
      </c>
      <c r="AL15">
        <f t="shared" si="10"/>
        <v>783.83</v>
      </c>
      <c r="AN15">
        <f t="shared" si="11"/>
        <v>3.3739500000000007</v>
      </c>
      <c r="AO15">
        <f t="shared" si="12"/>
        <v>1175.7450000000001</v>
      </c>
    </row>
    <row r="16" spans="1:41">
      <c r="A16" s="73">
        <v>7</v>
      </c>
      <c r="B16" s="142"/>
      <c r="E16">
        <f t="shared" si="0"/>
        <v>0</v>
      </c>
      <c r="F16">
        <f t="shared" si="1"/>
        <v>0</v>
      </c>
      <c r="G16" s="143">
        <f t="shared" si="2"/>
        <v>0</v>
      </c>
      <c r="H16" s="142"/>
      <c r="M16" s="143"/>
      <c r="Q16" s="191">
        <v>18.72072571</v>
      </c>
      <c r="R16" s="191">
        <v>62.913124789999998</v>
      </c>
      <c r="S16" s="192" t="s">
        <v>126</v>
      </c>
      <c r="T16" s="193">
        <v>-1.8131499999999999E-3</v>
      </c>
      <c r="U16" s="193">
        <v>0.58072000000000001</v>
      </c>
      <c r="V16" s="187">
        <f t="shared" si="3"/>
        <v>-1.8131499999999998</v>
      </c>
      <c r="W16" s="187">
        <f t="shared" si="3"/>
        <v>580.72</v>
      </c>
      <c r="X16">
        <f t="shared" si="4"/>
        <v>1.8131499999999998</v>
      </c>
      <c r="Y16">
        <f t="shared" si="4"/>
        <v>580.72</v>
      </c>
      <c r="AA16">
        <f t="shared" si="5"/>
        <v>2.7197249999999995</v>
      </c>
      <c r="AB16">
        <f t="shared" si="6"/>
        <v>871.08</v>
      </c>
      <c r="AD16" s="191">
        <v>9.8981142339999995</v>
      </c>
      <c r="AE16" s="191">
        <v>62.677466080000002</v>
      </c>
      <c r="AF16" s="192" t="s">
        <v>122</v>
      </c>
      <c r="AG16" s="193">
        <v>3.0693999999999999E-3</v>
      </c>
      <c r="AH16" s="193">
        <v>0.85141999999999995</v>
      </c>
      <c r="AI16" s="187">
        <f t="shared" si="7"/>
        <v>3.0693999999999999</v>
      </c>
      <c r="AJ16" s="187">
        <f t="shared" si="8"/>
        <v>851.42</v>
      </c>
      <c r="AK16">
        <f t="shared" si="9"/>
        <v>3.0693999999999999</v>
      </c>
      <c r="AL16">
        <f t="shared" si="10"/>
        <v>851.42</v>
      </c>
      <c r="AN16">
        <f t="shared" si="11"/>
        <v>4.6040999999999999</v>
      </c>
      <c r="AO16">
        <f t="shared" si="12"/>
        <v>1277.1299999999999</v>
      </c>
    </row>
    <row r="17" spans="1:41">
      <c r="A17" s="73">
        <v>7</v>
      </c>
      <c r="B17" s="142"/>
      <c r="E17">
        <f t="shared" si="0"/>
        <v>0</v>
      </c>
      <c r="F17">
        <f t="shared" si="1"/>
        <v>0</v>
      </c>
      <c r="G17" s="143">
        <f t="shared" si="2"/>
        <v>0</v>
      </c>
      <c r="H17" s="142"/>
      <c r="M17" s="143"/>
      <c r="Q17" s="191">
        <v>10.37885904</v>
      </c>
      <c r="R17" s="191">
        <v>62.952546130000002</v>
      </c>
      <c r="S17" s="192" t="s">
        <v>127</v>
      </c>
      <c r="T17" s="193">
        <v>-2.5774999999999999E-3</v>
      </c>
      <c r="U17" s="193">
        <v>0.84321999999999997</v>
      </c>
      <c r="V17" s="187">
        <f t="shared" si="3"/>
        <v>-2.5775000000000001</v>
      </c>
      <c r="W17" s="187">
        <f t="shared" si="3"/>
        <v>843.21999999999991</v>
      </c>
      <c r="X17">
        <f t="shared" si="4"/>
        <v>2.5775000000000001</v>
      </c>
      <c r="Y17">
        <f t="shared" si="4"/>
        <v>843.21999999999991</v>
      </c>
      <c r="AA17">
        <f t="shared" si="5"/>
        <v>3.86625</v>
      </c>
      <c r="AB17">
        <f t="shared" si="6"/>
        <v>1264.83</v>
      </c>
      <c r="AD17" s="191">
        <v>10.033013670000001</v>
      </c>
      <c r="AE17" s="191">
        <v>62.77186313</v>
      </c>
      <c r="AF17" s="192" t="s">
        <v>123</v>
      </c>
      <c r="AG17" s="193">
        <v>-3.7488999999999999E-3</v>
      </c>
      <c r="AH17" s="193">
        <v>0.85141999999999995</v>
      </c>
      <c r="AI17" s="187">
        <f t="shared" si="7"/>
        <v>-3.7488999999999999</v>
      </c>
      <c r="AJ17" s="187">
        <f t="shared" si="8"/>
        <v>851.42</v>
      </c>
      <c r="AK17">
        <f t="shared" si="9"/>
        <v>3.7488999999999999</v>
      </c>
      <c r="AL17">
        <f t="shared" si="10"/>
        <v>851.42</v>
      </c>
      <c r="AN17">
        <f t="shared" si="11"/>
        <v>5.6233500000000003</v>
      </c>
      <c r="AO17">
        <f t="shared" si="12"/>
        <v>1277.1299999999999</v>
      </c>
    </row>
    <row r="18" spans="1:41">
      <c r="A18" s="73">
        <v>8</v>
      </c>
      <c r="B18" s="142"/>
      <c r="E18">
        <f t="shared" si="0"/>
        <v>0</v>
      </c>
      <c r="F18">
        <f t="shared" si="1"/>
        <v>0</v>
      </c>
      <c r="G18" s="143">
        <f t="shared" si="2"/>
        <v>0</v>
      </c>
      <c r="H18" s="142"/>
      <c r="M18" s="143"/>
      <c r="Q18" s="191">
        <v>10.51510654</v>
      </c>
      <c r="R18" s="191">
        <v>63.023727100000002</v>
      </c>
      <c r="S18" s="192" t="s">
        <v>128</v>
      </c>
      <c r="T18" s="193">
        <v>1.66825E-3</v>
      </c>
      <c r="U18" s="193">
        <v>0.86902000000000001</v>
      </c>
      <c r="V18" s="187">
        <f t="shared" si="3"/>
        <v>1.66825</v>
      </c>
      <c r="W18" s="187">
        <f t="shared" si="3"/>
        <v>869.02</v>
      </c>
      <c r="X18">
        <f t="shared" si="4"/>
        <v>1.66825</v>
      </c>
      <c r="Y18">
        <f t="shared" si="4"/>
        <v>869.02</v>
      </c>
      <c r="AA18">
        <f t="shared" si="5"/>
        <v>2.5023749999999998</v>
      </c>
      <c r="AB18">
        <f t="shared" si="6"/>
        <v>1303.53</v>
      </c>
      <c r="AD18" s="191">
        <v>10.033013670000001</v>
      </c>
      <c r="AE18" s="191">
        <v>62.77186313</v>
      </c>
      <c r="AF18" s="192" t="s">
        <v>123</v>
      </c>
      <c r="AG18" s="193">
        <v>-3.7488999999999999E-3</v>
      </c>
      <c r="AH18" s="193">
        <v>0.89185000000000003</v>
      </c>
      <c r="AI18" s="187">
        <f t="shared" si="7"/>
        <v>-3.7488999999999999</v>
      </c>
      <c r="AJ18" s="187">
        <f t="shared" si="8"/>
        <v>891.85</v>
      </c>
      <c r="AK18">
        <f t="shared" si="9"/>
        <v>3.7488999999999999</v>
      </c>
      <c r="AL18">
        <f t="shared" si="10"/>
        <v>891.85</v>
      </c>
      <c r="AN18">
        <f t="shared" si="11"/>
        <v>5.6233500000000003</v>
      </c>
      <c r="AO18">
        <f t="shared" si="12"/>
        <v>1337.7750000000001</v>
      </c>
    </row>
    <row r="19" spans="1:41">
      <c r="A19" s="73">
        <v>8</v>
      </c>
      <c r="B19" s="142"/>
      <c r="E19">
        <f t="shared" si="0"/>
        <v>0</v>
      </c>
      <c r="F19">
        <f t="shared" si="1"/>
        <v>0</v>
      </c>
      <c r="G19" s="143">
        <f t="shared" si="2"/>
        <v>0</v>
      </c>
      <c r="H19" s="142"/>
      <c r="M19" s="143"/>
      <c r="Q19" s="191">
        <v>18.404651909999998</v>
      </c>
      <c r="R19" s="191">
        <v>63.057369080000001</v>
      </c>
      <c r="S19" s="192" t="s">
        <v>129</v>
      </c>
      <c r="T19" s="193">
        <v>2.1291000000000001E-3</v>
      </c>
      <c r="U19" s="193">
        <v>0.62809000000000004</v>
      </c>
      <c r="V19" s="187">
        <f t="shared" si="3"/>
        <v>2.1291000000000002</v>
      </c>
      <c r="W19" s="187">
        <f t="shared" si="3"/>
        <v>628.09</v>
      </c>
      <c r="X19">
        <f t="shared" si="4"/>
        <v>2.1291000000000002</v>
      </c>
      <c r="Y19">
        <f t="shared" si="4"/>
        <v>628.09</v>
      </c>
      <c r="AA19">
        <f t="shared" si="5"/>
        <v>3.1936500000000003</v>
      </c>
      <c r="AB19">
        <f t="shared" si="6"/>
        <v>942.13499999999999</v>
      </c>
      <c r="AD19" s="191">
        <v>18.863064250000001</v>
      </c>
      <c r="AE19" s="191">
        <v>62.830280780000002</v>
      </c>
      <c r="AF19" s="192" t="s">
        <v>124</v>
      </c>
      <c r="AG19" s="193">
        <v>-3.2794E-3</v>
      </c>
      <c r="AH19" s="193">
        <v>0.52522999999999997</v>
      </c>
      <c r="AI19" s="187">
        <f t="shared" si="7"/>
        <v>-3.2793999999999999</v>
      </c>
      <c r="AJ19" s="187">
        <f t="shared" si="8"/>
        <v>525.23</v>
      </c>
      <c r="AK19">
        <f t="shared" si="9"/>
        <v>3.2793999999999999</v>
      </c>
      <c r="AL19">
        <f t="shared" si="10"/>
        <v>525.23</v>
      </c>
      <c r="AN19">
        <f t="shared" si="11"/>
        <v>4.9191000000000003</v>
      </c>
      <c r="AO19">
        <f t="shared" si="12"/>
        <v>787.84500000000003</v>
      </c>
    </row>
    <row r="20" spans="1:41">
      <c r="A20" s="73">
        <v>9</v>
      </c>
      <c r="B20" s="142"/>
      <c r="E20">
        <f t="shared" si="0"/>
        <v>0</v>
      </c>
      <c r="F20">
        <f t="shared" si="1"/>
        <v>0</v>
      </c>
      <c r="G20" s="143">
        <f t="shared" si="2"/>
        <v>0</v>
      </c>
      <c r="H20" s="142"/>
      <c r="M20" s="143"/>
      <c r="Q20" s="191">
        <v>10.59788215</v>
      </c>
      <c r="R20" s="191">
        <v>63.066972280000002</v>
      </c>
      <c r="S20" s="192" t="s">
        <v>130</v>
      </c>
      <c r="T20" s="193">
        <v>6.5816E-3</v>
      </c>
      <c r="U20" s="193">
        <v>0.90232000000000001</v>
      </c>
      <c r="V20" s="187">
        <f t="shared" si="3"/>
        <v>6.5815999999999999</v>
      </c>
      <c r="W20" s="187">
        <f t="shared" si="3"/>
        <v>902.32</v>
      </c>
      <c r="X20">
        <f t="shared" si="4"/>
        <v>6.5815999999999999</v>
      </c>
      <c r="Y20">
        <f t="shared" si="4"/>
        <v>902.32</v>
      </c>
      <c r="AA20">
        <f t="shared" si="5"/>
        <v>9.872399999999999</v>
      </c>
      <c r="AB20">
        <f t="shared" si="6"/>
        <v>1353.48</v>
      </c>
      <c r="AD20" s="191">
        <v>10.24261153</v>
      </c>
      <c r="AE20" s="191">
        <v>62.881365160000001</v>
      </c>
      <c r="AF20" s="192" t="s">
        <v>125</v>
      </c>
      <c r="AG20" s="193">
        <v>-3.8384999999999999E-5</v>
      </c>
      <c r="AH20" s="193">
        <v>0.89931000000000005</v>
      </c>
      <c r="AI20" s="187">
        <f t="shared" si="7"/>
        <v>-3.8385000000000002E-2</v>
      </c>
      <c r="AJ20" s="187">
        <f t="shared" si="8"/>
        <v>899.31000000000006</v>
      </c>
      <c r="AK20">
        <f t="shared" si="9"/>
        <v>3.8385000000000002E-2</v>
      </c>
      <c r="AL20">
        <f t="shared" si="10"/>
        <v>899.31000000000006</v>
      </c>
      <c r="AN20">
        <f t="shared" si="11"/>
        <v>5.7577500000000004E-2</v>
      </c>
      <c r="AO20">
        <f t="shared" si="12"/>
        <v>1348.9650000000001</v>
      </c>
    </row>
    <row r="21" spans="1:41">
      <c r="A21" s="73">
        <v>9</v>
      </c>
      <c r="B21" s="142"/>
      <c r="E21">
        <f t="shared" si="0"/>
        <v>0</v>
      </c>
      <c r="F21">
        <f t="shared" si="1"/>
        <v>0</v>
      </c>
      <c r="G21" s="143">
        <f t="shared" si="2"/>
        <v>0</v>
      </c>
      <c r="H21" s="142"/>
      <c r="M21" s="143"/>
      <c r="Q21" s="191">
        <v>10.68065775</v>
      </c>
      <c r="R21" s="191">
        <v>63.110217460000001</v>
      </c>
      <c r="S21" s="192" t="s">
        <v>131</v>
      </c>
      <c r="T21" s="193">
        <v>4.3834E-3</v>
      </c>
      <c r="U21" s="193">
        <v>0.94144000000000005</v>
      </c>
      <c r="V21" s="187">
        <f t="shared" si="3"/>
        <v>4.3834</v>
      </c>
      <c r="W21" s="187">
        <f t="shared" si="3"/>
        <v>941.44</v>
      </c>
      <c r="X21">
        <f t="shared" si="4"/>
        <v>4.3834</v>
      </c>
      <c r="Y21">
        <f t="shared" si="4"/>
        <v>941.44</v>
      </c>
      <c r="AA21">
        <f t="shared" si="5"/>
        <v>6.5750999999999999</v>
      </c>
      <c r="AB21">
        <f t="shared" si="6"/>
        <v>1412.16</v>
      </c>
      <c r="AD21" s="191">
        <v>18.72072571</v>
      </c>
      <c r="AE21" s="191">
        <v>62.913124789999998</v>
      </c>
      <c r="AF21" s="192" t="s">
        <v>126</v>
      </c>
      <c r="AG21" s="193">
        <v>-1.9503999999999999E-3</v>
      </c>
      <c r="AH21" s="193">
        <v>0.64968000000000004</v>
      </c>
      <c r="AI21" s="187">
        <f t="shared" si="7"/>
        <v>-1.9503999999999999</v>
      </c>
      <c r="AJ21" s="187">
        <f t="shared" si="8"/>
        <v>649.68000000000006</v>
      </c>
      <c r="AK21">
        <f t="shared" si="9"/>
        <v>1.9503999999999999</v>
      </c>
      <c r="AL21">
        <f t="shared" si="10"/>
        <v>649.68000000000006</v>
      </c>
      <c r="AN21">
        <f t="shared" si="11"/>
        <v>2.9255999999999998</v>
      </c>
      <c r="AO21">
        <f t="shared" si="12"/>
        <v>974.5200000000001</v>
      </c>
    </row>
    <row r="22" spans="1:41">
      <c r="A22" s="73">
        <v>10</v>
      </c>
      <c r="B22" s="142"/>
      <c r="E22">
        <f t="shared" si="0"/>
        <v>0</v>
      </c>
      <c r="F22">
        <f t="shared" si="1"/>
        <v>0</v>
      </c>
      <c r="G22" s="143">
        <f t="shared" si="2"/>
        <v>0</v>
      </c>
      <c r="H22" s="142"/>
      <c r="M22" s="143"/>
      <c r="Q22" s="191">
        <v>10.787112929999999</v>
      </c>
      <c r="R22" s="191">
        <v>63.154853799999998</v>
      </c>
      <c r="S22" s="192" t="s">
        <v>132</v>
      </c>
      <c r="T22" s="193">
        <v>3.6221999999999999E-3</v>
      </c>
      <c r="U22" s="193">
        <v>0.94889999999999997</v>
      </c>
      <c r="V22" s="187">
        <f t="shared" si="3"/>
        <v>3.6221999999999999</v>
      </c>
      <c r="W22" s="187">
        <f t="shared" si="3"/>
        <v>948.9</v>
      </c>
      <c r="X22">
        <f t="shared" si="4"/>
        <v>3.6221999999999999</v>
      </c>
      <c r="Y22">
        <f t="shared" si="4"/>
        <v>948.9</v>
      </c>
      <c r="AA22">
        <f t="shared" si="5"/>
        <v>5.4333</v>
      </c>
      <c r="AB22">
        <f t="shared" si="6"/>
        <v>1423.35</v>
      </c>
      <c r="AD22" s="191">
        <v>10.37885904</v>
      </c>
      <c r="AE22" s="191">
        <v>62.952546130000002</v>
      </c>
      <c r="AF22" s="192" t="s">
        <v>127</v>
      </c>
      <c r="AG22" s="193">
        <v>-2.1549450000000001E-3</v>
      </c>
      <c r="AH22" s="193">
        <v>0.93454000000000004</v>
      </c>
      <c r="AI22" s="187">
        <f t="shared" si="7"/>
        <v>-2.1549450000000001</v>
      </c>
      <c r="AJ22" s="187">
        <f t="shared" si="8"/>
        <v>934.54000000000008</v>
      </c>
      <c r="AK22">
        <f t="shared" si="9"/>
        <v>2.1549450000000001</v>
      </c>
      <c r="AL22">
        <f t="shared" si="10"/>
        <v>934.54000000000008</v>
      </c>
      <c r="AN22">
        <f t="shared" si="11"/>
        <v>3.2324175000000004</v>
      </c>
      <c r="AO22">
        <f t="shared" si="12"/>
        <v>1401.8100000000002</v>
      </c>
    </row>
    <row r="23" spans="1:41">
      <c r="A23" s="73">
        <v>10</v>
      </c>
      <c r="B23" s="142"/>
      <c r="E23">
        <f t="shared" si="0"/>
        <v>0</v>
      </c>
      <c r="F23">
        <f t="shared" si="1"/>
        <v>0</v>
      </c>
      <c r="G23" s="143">
        <f t="shared" si="2"/>
        <v>0</v>
      </c>
      <c r="H23" s="142"/>
      <c r="M23" s="143"/>
      <c r="Q23" s="191">
        <v>10.8935681</v>
      </c>
      <c r="R23" s="191">
        <v>63.199490130000001</v>
      </c>
      <c r="S23" s="192" t="s">
        <v>133</v>
      </c>
      <c r="T23" s="193">
        <v>1.4051999999999999E-3</v>
      </c>
      <c r="U23" s="193">
        <v>0.96965000000000001</v>
      </c>
      <c r="V23" s="187">
        <f t="shared" si="3"/>
        <v>1.4052</v>
      </c>
      <c r="W23" s="187">
        <f t="shared" si="3"/>
        <v>969.65</v>
      </c>
      <c r="X23">
        <f t="shared" si="4"/>
        <v>1.4052</v>
      </c>
      <c r="Y23">
        <f t="shared" si="4"/>
        <v>969.65</v>
      </c>
      <c r="AA23">
        <f t="shared" si="5"/>
        <v>2.1078000000000001</v>
      </c>
      <c r="AB23">
        <f t="shared" si="6"/>
        <v>1454.4749999999999</v>
      </c>
      <c r="AD23" s="191">
        <v>10.51510654</v>
      </c>
      <c r="AE23" s="191">
        <v>63.023727100000002</v>
      </c>
      <c r="AF23" s="192" t="s">
        <v>128</v>
      </c>
      <c r="AG23" s="193">
        <v>1.9086800000000001E-3</v>
      </c>
      <c r="AH23" s="193">
        <v>0.95774999999999999</v>
      </c>
      <c r="AI23" s="187">
        <f t="shared" si="7"/>
        <v>1.9086800000000002</v>
      </c>
      <c r="AJ23" s="187">
        <f t="shared" si="8"/>
        <v>957.75</v>
      </c>
      <c r="AK23">
        <f t="shared" si="9"/>
        <v>1.9086800000000002</v>
      </c>
      <c r="AL23">
        <f t="shared" si="10"/>
        <v>957.75</v>
      </c>
      <c r="AN23">
        <f t="shared" si="11"/>
        <v>2.8630200000000001</v>
      </c>
      <c r="AO23">
        <f t="shared" si="12"/>
        <v>1436.625</v>
      </c>
    </row>
    <row r="24" spans="1:41">
      <c r="A24" s="73">
        <v>11</v>
      </c>
      <c r="B24" s="142"/>
      <c r="E24">
        <f t="shared" si="0"/>
        <v>0</v>
      </c>
      <c r="F24">
        <f t="shared" si="1"/>
        <v>0</v>
      </c>
      <c r="G24" s="143">
        <f t="shared" si="2"/>
        <v>0</v>
      </c>
      <c r="H24" s="142"/>
      <c r="M24" s="143"/>
      <c r="Q24" s="191">
        <v>10.89580709</v>
      </c>
      <c r="R24" s="191">
        <v>63.200428930000001</v>
      </c>
      <c r="S24" s="192" t="s">
        <v>134</v>
      </c>
      <c r="T24" s="193">
        <v>1.0322E-3</v>
      </c>
      <c r="U24" s="193">
        <v>0.96967000000000003</v>
      </c>
      <c r="V24" s="187">
        <f t="shared" si="3"/>
        <v>1.0322</v>
      </c>
      <c r="W24" s="187">
        <f t="shared" si="3"/>
        <v>969.67000000000007</v>
      </c>
      <c r="X24">
        <f t="shared" si="4"/>
        <v>1.0322</v>
      </c>
      <c r="Y24">
        <f t="shared" si="4"/>
        <v>969.67000000000007</v>
      </c>
      <c r="AA24">
        <f t="shared" si="5"/>
        <v>1.5483</v>
      </c>
      <c r="AB24">
        <f t="shared" si="6"/>
        <v>1454.5050000000001</v>
      </c>
      <c r="AD24" s="191">
        <v>18.404651909999998</v>
      </c>
      <c r="AE24" s="191">
        <v>63.057369080000001</v>
      </c>
      <c r="AF24" s="192" t="s">
        <v>129</v>
      </c>
      <c r="AG24" s="193">
        <v>2.1621499999999998E-3</v>
      </c>
      <c r="AH24" s="193">
        <v>0.6946</v>
      </c>
      <c r="AI24" s="187">
        <f t="shared" si="7"/>
        <v>2.16215</v>
      </c>
      <c r="AJ24" s="187">
        <f t="shared" si="8"/>
        <v>694.6</v>
      </c>
      <c r="AK24">
        <f t="shared" si="9"/>
        <v>2.16215</v>
      </c>
      <c r="AL24">
        <f t="shared" si="10"/>
        <v>694.6</v>
      </c>
      <c r="AN24">
        <f t="shared" si="11"/>
        <v>3.2432249999999998</v>
      </c>
      <c r="AO24">
        <f t="shared" si="12"/>
        <v>1041.9000000000001</v>
      </c>
    </row>
    <row r="25" spans="1:41">
      <c r="A25" s="73">
        <v>11</v>
      </c>
      <c r="B25" s="142"/>
      <c r="E25">
        <f t="shared" si="0"/>
        <v>0</v>
      </c>
      <c r="F25">
        <f t="shared" si="1"/>
        <v>0</v>
      </c>
      <c r="G25" s="143">
        <f t="shared" si="2"/>
        <v>0</v>
      </c>
      <c r="H25" s="142"/>
      <c r="M25" s="143"/>
      <c r="Q25" s="191">
        <v>10.898046069999999</v>
      </c>
      <c r="R25" s="191">
        <v>63.201367730000001</v>
      </c>
      <c r="S25" s="192" t="s">
        <v>135</v>
      </c>
      <c r="T25" s="193">
        <v>8.9561999999999997E-4</v>
      </c>
      <c r="U25" s="193">
        <v>0.96967000000000003</v>
      </c>
      <c r="V25" s="187">
        <f t="shared" si="3"/>
        <v>0.89561999999999997</v>
      </c>
      <c r="W25" s="187">
        <f t="shared" si="3"/>
        <v>969.67000000000007</v>
      </c>
      <c r="X25">
        <f t="shared" si="4"/>
        <v>0.89561999999999997</v>
      </c>
      <c r="Y25">
        <f t="shared" si="4"/>
        <v>969.67000000000007</v>
      </c>
      <c r="AA25">
        <f t="shared" si="5"/>
        <v>1.3434299999999999</v>
      </c>
      <c r="AB25">
        <f t="shared" si="6"/>
        <v>1454.5050000000001</v>
      </c>
      <c r="AD25" s="191">
        <v>10.59788215</v>
      </c>
      <c r="AE25" s="191">
        <v>63.066972280000002</v>
      </c>
      <c r="AF25" s="192" t="s">
        <v>130</v>
      </c>
      <c r="AG25" s="193">
        <v>6.7149999999999996E-3</v>
      </c>
      <c r="AH25" s="193">
        <v>0.98801000000000005</v>
      </c>
      <c r="AI25" s="187">
        <f t="shared" si="7"/>
        <v>6.7149999999999999</v>
      </c>
      <c r="AJ25" s="187">
        <f t="shared" si="8"/>
        <v>988.0100000000001</v>
      </c>
      <c r="AK25">
        <f t="shared" si="9"/>
        <v>6.7149999999999999</v>
      </c>
      <c r="AL25">
        <f t="shared" si="10"/>
        <v>988.0100000000001</v>
      </c>
      <c r="AN25">
        <f t="shared" si="11"/>
        <v>10.0725</v>
      </c>
      <c r="AO25">
        <f t="shared" si="12"/>
        <v>1482.0150000000001</v>
      </c>
    </row>
    <row r="26" spans="1:41">
      <c r="A26" s="73">
        <v>12</v>
      </c>
      <c r="B26" s="142"/>
      <c r="E26">
        <f t="shared" si="0"/>
        <v>0</v>
      </c>
      <c r="F26">
        <f t="shared" si="1"/>
        <v>0</v>
      </c>
      <c r="G26" s="143">
        <f t="shared" si="2"/>
        <v>0</v>
      </c>
      <c r="H26" s="142"/>
      <c r="M26" s="143"/>
      <c r="Q26" s="191">
        <v>18.08857811</v>
      </c>
      <c r="R26" s="191">
        <v>63.201613379999998</v>
      </c>
      <c r="S26" s="192" t="s">
        <v>136</v>
      </c>
      <c r="T26" s="193">
        <v>5.1631000000000003E-3</v>
      </c>
      <c r="U26" s="193">
        <v>0.65</v>
      </c>
      <c r="V26" s="187">
        <f t="shared" si="3"/>
        <v>5.1631</v>
      </c>
      <c r="W26" s="187">
        <f t="shared" si="3"/>
        <v>650</v>
      </c>
      <c r="X26">
        <f t="shared" si="4"/>
        <v>5.1631</v>
      </c>
      <c r="Y26">
        <f t="shared" si="4"/>
        <v>650</v>
      </c>
      <c r="AA26">
        <f t="shared" si="5"/>
        <v>7.74465</v>
      </c>
      <c r="AB26">
        <f t="shared" si="6"/>
        <v>975</v>
      </c>
      <c r="AD26" s="191">
        <v>10.68065775</v>
      </c>
      <c r="AE26" s="191">
        <v>63.110217460000001</v>
      </c>
      <c r="AF26" s="192" t="s">
        <v>131</v>
      </c>
      <c r="AG26" s="193">
        <v>4.0442000000000004E-3</v>
      </c>
      <c r="AH26" s="193">
        <v>1.0262</v>
      </c>
      <c r="AI26" s="187">
        <f t="shared" si="7"/>
        <v>4.0442</v>
      </c>
      <c r="AJ26" s="187">
        <f t="shared" si="8"/>
        <v>1026.2</v>
      </c>
      <c r="AK26">
        <f t="shared" si="9"/>
        <v>4.0442</v>
      </c>
      <c r="AL26">
        <f t="shared" si="10"/>
        <v>1026.2</v>
      </c>
      <c r="AN26">
        <f t="shared" si="11"/>
        <v>6.0663</v>
      </c>
      <c r="AO26">
        <f t="shared" si="12"/>
        <v>1539.3000000000002</v>
      </c>
    </row>
    <row r="27" spans="1:41">
      <c r="A27" s="73">
        <v>12</v>
      </c>
      <c r="B27" s="142"/>
      <c r="E27">
        <f t="shared" si="0"/>
        <v>0</v>
      </c>
      <c r="F27">
        <f t="shared" si="1"/>
        <v>0</v>
      </c>
      <c r="G27" s="143">
        <f t="shared" si="2"/>
        <v>0</v>
      </c>
      <c r="H27" s="142"/>
      <c r="M27" s="143"/>
      <c r="Q27" s="191">
        <v>10.89898213</v>
      </c>
      <c r="R27" s="191">
        <v>63.201760219999997</v>
      </c>
      <c r="S27" s="192" t="s">
        <v>137</v>
      </c>
      <c r="T27" s="193">
        <v>8.3850999999999999E-4</v>
      </c>
      <c r="U27" s="193">
        <v>0.96965000000000001</v>
      </c>
      <c r="V27" s="187">
        <f t="shared" si="3"/>
        <v>0.83850999999999998</v>
      </c>
      <c r="W27" s="187">
        <f t="shared" si="3"/>
        <v>969.65</v>
      </c>
      <c r="X27">
        <f t="shared" si="4"/>
        <v>0.83850999999999998</v>
      </c>
      <c r="Y27">
        <f t="shared" si="4"/>
        <v>969.65</v>
      </c>
      <c r="AA27">
        <f t="shared" si="5"/>
        <v>1.257765</v>
      </c>
      <c r="AB27">
        <f t="shared" si="6"/>
        <v>1454.4749999999999</v>
      </c>
      <c r="AD27" s="191">
        <v>10.787112929999999</v>
      </c>
      <c r="AE27" s="191">
        <v>63.154853799999998</v>
      </c>
      <c r="AF27" s="192" t="s">
        <v>132</v>
      </c>
      <c r="AG27" s="193">
        <v>3.4493000000000002E-3</v>
      </c>
      <c r="AH27" s="193">
        <v>1.0335000000000001</v>
      </c>
      <c r="AI27" s="187">
        <f t="shared" si="7"/>
        <v>3.4493</v>
      </c>
      <c r="AJ27" s="187">
        <f t="shared" si="8"/>
        <v>1033.5</v>
      </c>
      <c r="AK27">
        <f t="shared" si="9"/>
        <v>3.4493</v>
      </c>
      <c r="AL27">
        <f t="shared" si="10"/>
        <v>1033.5</v>
      </c>
      <c r="AN27">
        <f t="shared" si="11"/>
        <v>5.1739499999999996</v>
      </c>
      <c r="AO27">
        <f t="shared" si="12"/>
        <v>1550.25</v>
      </c>
    </row>
    <row r="28" spans="1:41">
      <c r="A28" s="73">
        <v>13</v>
      </c>
      <c r="B28" s="142"/>
      <c r="E28">
        <f t="shared" si="0"/>
        <v>0</v>
      </c>
      <c r="F28">
        <f t="shared" si="1"/>
        <v>0</v>
      </c>
      <c r="G28" s="143">
        <f t="shared" si="2"/>
        <v>0</v>
      </c>
      <c r="H28" s="142"/>
      <c r="M28" s="143"/>
      <c r="Q28" s="191">
        <v>10.8999182</v>
      </c>
      <c r="R28" s="191">
        <v>63.20215271</v>
      </c>
      <c r="S28" s="192" t="s">
        <v>138</v>
      </c>
      <c r="T28" s="193">
        <v>7.8170500000000005E-4</v>
      </c>
      <c r="U28" s="193">
        <v>0.97018000000000004</v>
      </c>
      <c r="V28" s="187">
        <f t="shared" si="3"/>
        <v>0.78170500000000009</v>
      </c>
      <c r="W28" s="187">
        <f t="shared" si="3"/>
        <v>970.18000000000006</v>
      </c>
      <c r="X28">
        <f t="shared" si="4"/>
        <v>0.78170500000000009</v>
      </c>
      <c r="Y28">
        <f t="shared" si="4"/>
        <v>970.18000000000006</v>
      </c>
      <c r="AA28">
        <f t="shared" si="5"/>
        <v>1.1725575000000001</v>
      </c>
      <c r="AB28">
        <f t="shared" si="6"/>
        <v>1455.27</v>
      </c>
      <c r="AD28" s="191">
        <v>10.8935681</v>
      </c>
      <c r="AE28" s="191">
        <v>63.199490130000001</v>
      </c>
      <c r="AF28" s="192" t="s">
        <v>133</v>
      </c>
      <c r="AG28" s="193">
        <v>1.188635E-3</v>
      </c>
      <c r="AH28" s="193">
        <v>1.0538000000000001</v>
      </c>
      <c r="AI28" s="187">
        <f t="shared" si="7"/>
        <v>1.1886349999999999</v>
      </c>
      <c r="AJ28" s="187">
        <f t="shared" si="8"/>
        <v>1053.8000000000002</v>
      </c>
      <c r="AK28">
        <f t="shared" si="9"/>
        <v>1.1886349999999999</v>
      </c>
      <c r="AL28">
        <f t="shared" si="10"/>
        <v>1053.8000000000002</v>
      </c>
      <c r="AN28">
        <f t="shared" si="11"/>
        <v>1.7829524999999999</v>
      </c>
      <c r="AO28">
        <f t="shared" si="12"/>
        <v>1580.7000000000003</v>
      </c>
    </row>
    <row r="29" spans="1:41">
      <c r="A29" s="73">
        <v>13</v>
      </c>
      <c r="B29" s="142"/>
      <c r="E29">
        <f t="shared" si="0"/>
        <v>0</v>
      </c>
      <c r="F29">
        <f t="shared" si="1"/>
        <v>0</v>
      </c>
      <c r="G29" s="143">
        <f t="shared" si="2"/>
        <v>0</v>
      </c>
      <c r="H29" s="142"/>
      <c r="M29" s="143"/>
      <c r="Q29" s="191">
        <v>10.95223625</v>
      </c>
      <c r="R29" s="191">
        <v>63.222576349999997</v>
      </c>
      <c r="S29" s="192" t="s">
        <v>139</v>
      </c>
      <c r="T29" s="193">
        <v>-1.0273000000000001E-3</v>
      </c>
      <c r="U29" s="193">
        <v>0.96941999999999995</v>
      </c>
      <c r="V29" s="187">
        <f t="shared" si="3"/>
        <v>-1.0273000000000001</v>
      </c>
      <c r="W29" s="187">
        <f t="shared" si="3"/>
        <v>969.42</v>
      </c>
      <c r="X29">
        <f t="shared" si="4"/>
        <v>1.0273000000000001</v>
      </c>
      <c r="Y29">
        <f t="shared" si="4"/>
        <v>969.42</v>
      </c>
      <c r="AA29">
        <f t="shared" si="5"/>
        <v>1.54095</v>
      </c>
      <c r="AB29">
        <f t="shared" si="6"/>
        <v>1454.1299999999999</v>
      </c>
      <c r="AD29" s="191">
        <v>10.89580709</v>
      </c>
      <c r="AE29" s="191">
        <v>63.200428930000001</v>
      </c>
      <c r="AF29" s="192" t="s">
        <v>134</v>
      </c>
      <c r="AG29" s="193">
        <v>7.8346999999999998E-4</v>
      </c>
      <c r="AH29" s="193">
        <v>1.0538000000000001</v>
      </c>
      <c r="AI29" s="187">
        <f t="shared" si="7"/>
        <v>0.78347</v>
      </c>
      <c r="AJ29" s="187">
        <f t="shared" si="8"/>
        <v>1053.8000000000002</v>
      </c>
      <c r="AK29">
        <f t="shared" si="9"/>
        <v>0.78347</v>
      </c>
      <c r="AL29">
        <f t="shared" si="10"/>
        <v>1053.8000000000002</v>
      </c>
      <c r="AN29">
        <f t="shared" si="11"/>
        <v>1.1752050000000001</v>
      </c>
      <c r="AO29">
        <f t="shared" si="12"/>
        <v>1580.7000000000003</v>
      </c>
    </row>
    <row r="30" spans="1:41">
      <c r="A30" s="73">
        <v>14</v>
      </c>
      <c r="B30" s="142"/>
      <c r="E30">
        <f t="shared" si="0"/>
        <v>0</v>
      </c>
      <c r="F30">
        <f t="shared" si="1"/>
        <v>0</v>
      </c>
      <c r="G30" s="143">
        <f t="shared" si="2"/>
        <v>0</v>
      </c>
      <c r="H30" s="142"/>
      <c r="M30" s="143"/>
      <c r="Q30" s="191">
        <v>17.982581849999999</v>
      </c>
      <c r="R30" s="191">
        <v>63.243000000000002</v>
      </c>
      <c r="S30" s="192" t="s">
        <v>140</v>
      </c>
      <c r="T30" s="193">
        <v>7.1956499999999996E-3</v>
      </c>
      <c r="U30" s="193">
        <v>0.67015000000000002</v>
      </c>
      <c r="V30" s="187">
        <f t="shared" si="3"/>
        <v>7.1956499999999997</v>
      </c>
      <c r="W30" s="187">
        <f t="shared" si="3"/>
        <v>670.15</v>
      </c>
      <c r="X30">
        <f t="shared" si="4"/>
        <v>7.1956499999999997</v>
      </c>
      <c r="Y30">
        <f t="shared" si="4"/>
        <v>670.15</v>
      </c>
      <c r="AA30">
        <f t="shared" si="5"/>
        <v>10.793474999999999</v>
      </c>
      <c r="AB30">
        <f t="shared" si="6"/>
        <v>1005.2249999999999</v>
      </c>
      <c r="AD30" s="191">
        <v>10.898046069999999</v>
      </c>
      <c r="AE30" s="191">
        <v>63.201367730000001</v>
      </c>
      <c r="AF30" s="192" t="s">
        <v>135</v>
      </c>
      <c r="AG30" s="193">
        <v>6.4004999999999997E-4</v>
      </c>
      <c r="AH30" s="193">
        <v>1.0538000000000001</v>
      </c>
      <c r="AI30" s="187">
        <f t="shared" si="7"/>
        <v>0.64005000000000001</v>
      </c>
      <c r="AJ30" s="187">
        <f t="shared" si="8"/>
        <v>1053.8000000000002</v>
      </c>
      <c r="AK30">
        <f t="shared" si="9"/>
        <v>0.64005000000000001</v>
      </c>
      <c r="AL30">
        <f t="shared" si="10"/>
        <v>1053.8000000000002</v>
      </c>
      <c r="AN30">
        <f t="shared" si="11"/>
        <v>0.96007500000000001</v>
      </c>
      <c r="AO30">
        <f t="shared" si="12"/>
        <v>1580.7000000000003</v>
      </c>
    </row>
    <row r="31" spans="1:41">
      <c r="A31" s="73">
        <v>14</v>
      </c>
      <c r="B31" s="142"/>
      <c r="E31">
        <f t="shared" si="0"/>
        <v>0</v>
      </c>
      <c r="F31">
        <f t="shared" si="1"/>
        <v>0</v>
      </c>
      <c r="G31" s="143">
        <f t="shared" si="2"/>
        <v>0</v>
      </c>
      <c r="H31" s="142"/>
      <c r="M31" s="143"/>
      <c r="Q31" s="191">
        <v>11.00455429</v>
      </c>
      <c r="R31" s="191">
        <v>63.243000000000002</v>
      </c>
      <c r="S31" s="192" t="s">
        <v>141</v>
      </c>
      <c r="T31" s="193">
        <v>-2.8436500000000001E-3</v>
      </c>
      <c r="U31" s="193">
        <v>0.96909999999999996</v>
      </c>
      <c r="V31" s="187">
        <f t="shared" si="3"/>
        <v>-2.8436500000000002</v>
      </c>
      <c r="W31" s="187">
        <f t="shared" si="3"/>
        <v>969.09999999999991</v>
      </c>
      <c r="X31">
        <f t="shared" si="4"/>
        <v>2.8436500000000002</v>
      </c>
      <c r="Y31">
        <f t="shared" si="4"/>
        <v>969.09999999999991</v>
      </c>
      <c r="AA31">
        <f t="shared" si="5"/>
        <v>4.2654750000000003</v>
      </c>
      <c r="AB31">
        <f t="shared" si="6"/>
        <v>1453.6499999999999</v>
      </c>
      <c r="AD31" s="191">
        <v>18.08857811</v>
      </c>
      <c r="AE31" s="191">
        <v>63.201613379999998</v>
      </c>
      <c r="AF31" s="192" t="s">
        <v>136</v>
      </c>
      <c r="AG31" s="193">
        <v>5.2325999999999996E-3</v>
      </c>
      <c r="AH31" s="193">
        <v>0.71675</v>
      </c>
      <c r="AI31" s="187">
        <f t="shared" si="7"/>
        <v>5.2325999999999997</v>
      </c>
      <c r="AJ31" s="187">
        <f t="shared" si="8"/>
        <v>716.75</v>
      </c>
      <c r="AK31">
        <f t="shared" si="9"/>
        <v>5.2325999999999997</v>
      </c>
      <c r="AL31">
        <f t="shared" si="10"/>
        <v>716.75</v>
      </c>
      <c r="AN31">
        <f t="shared" si="11"/>
        <v>7.8488999999999995</v>
      </c>
      <c r="AO31">
        <f t="shared" si="12"/>
        <v>1075.125</v>
      </c>
    </row>
    <row r="32" spans="1:41">
      <c r="A32" s="73">
        <v>15</v>
      </c>
      <c r="B32" s="142"/>
      <c r="E32">
        <f t="shared" si="0"/>
        <v>0</v>
      </c>
      <c r="F32">
        <f t="shared" si="1"/>
        <v>0</v>
      </c>
      <c r="G32" s="143">
        <f t="shared" si="2"/>
        <v>0</v>
      </c>
      <c r="H32" s="142"/>
      <c r="M32" s="143"/>
      <c r="Q32" s="191">
        <v>17.924852810000001</v>
      </c>
      <c r="R32" s="191">
        <v>63.265540510000001</v>
      </c>
      <c r="S32" s="192" t="s">
        <v>142</v>
      </c>
      <c r="T32" s="193">
        <v>8.2241999999999992E-3</v>
      </c>
      <c r="U32" s="193">
        <v>0.67320000000000002</v>
      </c>
      <c r="V32" s="187">
        <f t="shared" si="3"/>
        <v>8.2241999999999997</v>
      </c>
      <c r="W32" s="187">
        <f t="shared" si="3"/>
        <v>673.2</v>
      </c>
      <c r="X32">
        <f t="shared" si="4"/>
        <v>8.2241999999999997</v>
      </c>
      <c r="Y32">
        <f t="shared" si="4"/>
        <v>673.2</v>
      </c>
      <c r="AA32">
        <f t="shared" si="5"/>
        <v>12.3363</v>
      </c>
      <c r="AB32">
        <f t="shared" si="6"/>
        <v>1009.8000000000001</v>
      </c>
      <c r="AD32" s="191">
        <v>10.89898213</v>
      </c>
      <c r="AE32" s="191">
        <v>63.201760219999997</v>
      </c>
      <c r="AF32" s="192" t="s">
        <v>137</v>
      </c>
      <c r="AG32" s="193">
        <v>5.8009000000000001E-4</v>
      </c>
      <c r="AH32" s="193">
        <v>1.0538000000000001</v>
      </c>
      <c r="AI32" s="187">
        <f t="shared" si="7"/>
        <v>0.58008999999999999</v>
      </c>
      <c r="AJ32" s="187">
        <f t="shared" si="8"/>
        <v>1053.8000000000002</v>
      </c>
      <c r="AK32">
        <f t="shared" si="9"/>
        <v>0.58008999999999999</v>
      </c>
      <c r="AL32">
        <f t="shared" si="10"/>
        <v>1053.8000000000002</v>
      </c>
      <c r="AN32">
        <f t="shared" si="11"/>
        <v>0.87013499999999999</v>
      </c>
      <c r="AO32">
        <f t="shared" si="12"/>
        <v>1580.7000000000003</v>
      </c>
    </row>
    <row r="33" spans="1:41">
      <c r="A33" s="73">
        <v>15</v>
      </c>
      <c r="B33" s="142"/>
      <c r="E33">
        <f t="shared" si="0"/>
        <v>0</v>
      </c>
      <c r="F33">
        <f t="shared" si="1"/>
        <v>0</v>
      </c>
      <c r="G33" s="143">
        <f t="shared" si="2"/>
        <v>0</v>
      </c>
      <c r="H33" s="142"/>
      <c r="M33" s="143"/>
      <c r="Q33" s="191">
        <v>11.06296586</v>
      </c>
      <c r="R33" s="191">
        <v>63.265802399999998</v>
      </c>
      <c r="S33" s="192" t="s">
        <v>143</v>
      </c>
      <c r="T33" s="193">
        <v>-4.8799000000000004E-3</v>
      </c>
      <c r="U33" s="193">
        <v>0.96879000000000004</v>
      </c>
      <c r="V33" s="187">
        <f t="shared" si="3"/>
        <v>-4.8799000000000001</v>
      </c>
      <c r="W33" s="187">
        <f t="shared" si="3"/>
        <v>968.79000000000008</v>
      </c>
      <c r="X33">
        <f t="shared" si="4"/>
        <v>4.8799000000000001</v>
      </c>
      <c r="Y33">
        <f t="shared" si="4"/>
        <v>968.79000000000008</v>
      </c>
      <c r="AA33">
        <f t="shared" si="5"/>
        <v>7.3198500000000006</v>
      </c>
      <c r="AB33">
        <f t="shared" si="6"/>
        <v>1453.1850000000002</v>
      </c>
      <c r="AD33" s="191">
        <v>10.8999182</v>
      </c>
      <c r="AE33" s="191">
        <v>63.20215271</v>
      </c>
      <c r="AF33" s="192" t="s">
        <v>138</v>
      </c>
      <c r="AG33" s="193">
        <v>5.2041499999999998E-4</v>
      </c>
      <c r="AH33" s="193">
        <v>1.0543</v>
      </c>
      <c r="AI33" s="187">
        <f t="shared" si="7"/>
        <v>0.52041499999999996</v>
      </c>
      <c r="AJ33" s="187">
        <f t="shared" si="8"/>
        <v>1054.3</v>
      </c>
      <c r="AK33">
        <f t="shared" si="9"/>
        <v>0.52041499999999996</v>
      </c>
      <c r="AL33">
        <f t="shared" si="10"/>
        <v>1054.3</v>
      </c>
      <c r="AN33">
        <f t="shared" si="11"/>
        <v>0.7806225</v>
      </c>
      <c r="AO33">
        <f t="shared" si="12"/>
        <v>1581.4499999999998</v>
      </c>
    </row>
    <row r="34" spans="1:41">
      <c r="A34" s="73">
        <v>16</v>
      </c>
      <c r="B34" s="142"/>
      <c r="E34">
        <f t="shared" si="0"/>
        <v>0</v>
      </c>
      <c r="F34">
        <f t="shared" si="1"/>
        <v>0</v>
      </c>
      <c r="G34" s="143">
        <f t="shared" si="2"/>
        <v>0</v>
      </c>
      <c r="H34" s="142"/>
      <c r="M34" s="143"/>
      <c r="Q34" s="191">
        <v>17.867123759999998</v>
      </c>
      <c r="R34" s="191">
        <v>63.28808102</v>
      </c>
      <c r="S34" s="192" t="s">
        <v>144</v>
      </c>
      <c r="T34" s="193">
        <v>6.7516E-3</v>
      </c>
      <c r="U34" s="193">
        <v>0.69511999999999996</v>
      </c>
      <c r="V34" s="187">
        <f t="shared" si="3"/>
        <v>6.7515999999999998</v>
      </c>
      <c r="W34" s="187">
        <f t="shared" si="3"/>
        <v>695.12</v>
      </c>
      <c r="X34">
        <f t="shared" si="4"/>
        <v>6.7515999999999998</v>
      </c>
      <c r="Y34">
        <f t="shared" si="4"/>
        <v>695.12</v>
      </c>
      <c r="AA34">
        <f t="shared" si="5"/>
        <v>10.1274</v>
      </c>
      <c r="AB34">
        <f t="shared" si="6"/>
        <v>1042.68</v>
      </c>
      <c r="AD34" s="191">
        <v>10.95223625</v>
      </c>
      <c r="AE34" s="191">
        <v>63.222576349999997</v>
      </c>
      <c r="AF34" s="192" t="s">
        <v>139</v>
      </c>
      <c r="AG34" s="193">
        <v>-1.3293999999999999E-3</v>
      </c>
      <c r="AH34" s="193">
        <v>1.0533999999999999</v>
      </c>
      <c r="AI34" s="187">
        <f t="shared" si="7"/>
        <v>-1.3293999999999999</v>
      </c>
      <c r="AJ34" s="187">
        <f t="shared" si="8"/>
        <v>1053.3999999999999</v>
      </c>
      <c r="AK34">
        <f t="shared" si="9"/>
        <v>1.3293999999999999</v>
      </c>
      <c r="AL34">
        <f t="shared" si="10"/>
        <v>1053.3999999999999</v>
      </c>
      <c r="AN34">
        <f t="shared" si="11"/>
        <v>1.9941</v>
      </c>
      <c r="AO34">
        <f t="shared" si="12"/>
        <v>1580.1</v>
      </c>
    </row>
    <row r="35" spans="1:41">
      <c r="A35" s="73">
        <v>16</v>
      </c>
      <c r="B35" s="142"/>
      <c r="E35">
        <f t="shared" si="0"/>
        <v>0</v>
      </c>
      <c r="F35">
        <f t="shared" si="1"/>
        <v>0</v>
      </c>
      <c r="G35" s="143">
        <f t="shared" si="2"/>
        <v>0</v>
      </c>
      <c r="H35" s="142"/>
      <c r="M35" s="143"/>
      <c r="Q35" s="191">
        <v>11.12137742</v>
      </c>
      <c r="R35" s="191">
        <v>63.288604800000002</v>
      </c>
      <c r="S35" s="192" t="s">
        <v>145</v>
      </c>
      <c r="T35" s="193">
        <v>-6.8577000000000004E-3</v>
      </c>
      <c r="U35" s="193">
        <v>0.96887000000000001</v>
      </c>
      <c r="V35" s="187">
        <f t="shared" si="3"/>
        <v>-6.8577000000000004</v>
      </c>
      <c r="W35" s="187">
        <f t="shared" si="3"/>
        <v>968.87</v>
      </c>
      <c r="X35">
        <f t="shared" si="4"/>
        <v>6.8577000000000004</v>
      </c>
      <c r="Y35">
        <f t="shared" si="4"/>
        <v>968.87</v>
      </c>
      <c r="AA35">
        <f t="shared" si="5"/>
        <v>10.28655</v>
      </c>
      <c r="AB35">
        <f t="shared" si="6"/>
        <v>1453.3050000000001</v>
      </c>
      <c r="AD35" s="191">
        <v>17.982581849999999</v>
      </c>
      <c r="AE35" s="191">
        <v>63.243000000000002</v>
      </c>
      <c r="AF35" s="192" t="s">
        <v>140</v>
      </c>
      <c r="AG35" s="193">
        <v>7.2400499999999996E-3</v>
      </c>
      <c r="AH35" s="193">
        <v>0.73973999999999995</v>
      </c>
      <c r="AI35" s="187">
        <f t="shared" si="7"/>
        <v>7.2400499999999992</v>
      </c>
      <c r="AJ35" s="187">
        <f t="shared" si="8"/>
        <v>739.74</v>
      </c>
      <c r="AK35">
        <f t="shared" si="9"/>
        <v>7.2400499999999992</v>
      </c>
      <c r="AL35">
        <f t="shared" si="10"/>
        <v>739.74</v>
      </c>
      <c r="AN35">
        <f t="shared" si="11"/>
        <v>10.860074999999998</v>
      </c>
      <c r="AO35">
        <f t="shared" si="12"/>
        <v>1109.6100000000001</v>
      </c>
    </row>
    <row r="36" spans="1:41">
      <c r="A36" s="73">
        <v>17</v>
      </c>
      <c r="B36" s="142"/>
      <c r="E36">
        <f t="shared" si="0"/>
        <v>0</v>
      </c>
      <c r="F36">
        <f t="shared" si="1"/>
        <v>0</v>
      </c>
      <c r="G36" s="143">
        <f t="shared" si="2"/>
        <v>0</v>
      </c>
      <c r="H36" s="142"/>
      <c r="M36" s="143"/>
      <c r="Q36" s="191">
        <v>17.823480140000001</v>
      </c>
      <c r="R36" s="191">
        <v>63.303885710000003</v>
      </c>
      <c r="S36" s="192" t="s">
        <v>146</v>
      </c>
      <c r="T36" s="193">
        <v>4.1933500000000002E-3</v>
      </c>
      <c r="U36" s="193">
        <v>0.72392999999999996</v>
      </c>
      <c r="V36" s="187">
        <f t="shared" si="3"/>
        <v>4.1933500000000006</v>
      </c>
      <c r="W36" s="187">
        <f t="shared" si="3"/>
        <v>723.93</v>
      </c>
      <c r="X36">
        <f t="shared" si="4"/>
        <v>4.1933500000000006</v>
      </c>
      <c r="Y36">
        <f t="shared" si="4"/>
        <v>723.93</v>
      </c>
      <c r="AA36">
        <f t="shared" si="5"/>
        <v>6.2900250000000009</v>
      </c>
      <c r="AB36">
        <f t="shared" si="6"/>
        <v>1085.895</v>
      </c>
      <c r="AD36" s="191">
        <v>11.00455429</v>
      </c>
      <c r="AE36" s="191">
        <v>63.243000000000002</v>
      </c>
      <c r="AF36" s="192" t="s">
        <v>141</v>
      </c>
      <c r="AG36" s="193">
        <v>-3.1865000000000001E-3</v>
      </c>
      <c r="AH36" s="193">
        <v>1.0529999999999999</v>
      </c>
      <c r="AI36" s="187">
        <f t="shared" si="7"/>
        <v>-3.1865000000000001</v>
      </c>
      <c r="AJ36" s="187">
        <f t="shared" si="8"/>
        <v>1053</v>
      </c>
      <c r="AK36">
        <f t="shared" si="9"/>
        <v>3.1865000000000001</v>
      </c>
      <c r="AL36">
        <f t="shared" si="10"/>
        <v>1053</v>
      </c>
      <c r="AN36">
        <f t="shared" si="11"/>
        <v>4.7797499999999999</v>
      </c>
      <c r="AO36">
        <f t="shared" si="12"/>
        <v>1579.5</v>
      </c>
    </row>
    <row r="37" spans="1:41">
      <c r="A37" s="73">
        <v>17</v>
      </c>
      <c r="B37" s="142"/>
      <c r="E37">
        <f t="shared" si="0"/>
        <v>0</v>
      </c>
      <c r="F37">
        <f t="shared" si="1"/>
        <v>0</v>
      </c>
      <c r="G37" s="143">
        <f t="shared" si="2"/>
        <v>0</v>
      </c>
      <c r="H37" s="142"/>
      <c r="M37" s="143"/>
      <c r="Q37" s="191">
        <v>17.77983652</v>
      </c>
      <c r="R37" s="191">
        <v>63.319690389999998</v>
      </c>
      <c r="S37" s="192" t="s">
        <v>147</v>
      </c>
      <c r="T37" s="193">
        <v>-9.7318999999999997E-4</v>
      </c>
      <c r="U37" s="193">
        <v>0.75183</v>
      </c>
      <c r="V37" s="187">
        <f t="shared" si="3"/>
        <v>-0.97319</v>
      </c>
      <c r="W37" s="187">
        <f t="shared" si="3"/>
        <v>751.83</v>
      </c>
      <c r="X37">
        <f t="shared" si="4"/>
        <v>0.97319</v>
      </c>
      <c r="Y37">
        <f t="shared" si="4"/>
        <v>751.83</v>
      </c>
      <c r="AA37">
        <f t="shared" si="5"/>
        <v>1.4597850000000001</v>
      </c>
      <c r="AB37">
        <f t="shared" si="6"/>
        <v>1127.7450000000001</v>
      </c>
      <c r="AD37" s="191">
        <v>17.924852810000001</v>
      </c>
      <c r="AE37" s="191">
        <v>63.265540510000001</v>
      </c>
      <c r="AF37" s="192" t="s">
        <v>142</v>
      </c>
      <c r="AG37" s="193">
        <v>8.2121E-3</v>
      </c>
      <c r="AH37" s="193">
        <v>0.74341999999999997</v>
      </c>
      <c r="AI37" s="187">
        <f t="shared" si="7"/>
        <v>8.2120999999999995</v>
      </c>
      <c r="AJ37" s="187">
        <f t="shared" si="8"/>
        <v>743.42</v>
      </c>
      <c r="AK37">
        <f t="shared" si="9"/>
        <v>8.2120999999999995</v>
      </c>
      <c r="AL37">
        <f t="shared" si="10"/>
        <v>743.42</v>
      </c>
      <c r="AN37">
        <f t="shared" si="11"/>
        <v>12.318149999999999</v>
      </c>
      <c r="AO37">
        <f t="shared" si="12"/>
        <v>1115.1299999999999</v>
      </c>
    </row>
    <row r="38" spans="1:41">
      <c r="A38" s="73">
        <v>18</v>
      </c>
      <c r="B38" s="142"/>
      <c r="E38">
        <f t="shared" si="0"/>
        <v>0</v>
      </c>
      <c r="F38">
        <f t="shared" si="1"/>
        <v>0</v>
      </c>
      <c r="G38" s="143">
        <f t="shared" si="2"/>
        <v>0</v>
      </c>
      <c r="H38" s="142"/>
      <c r="M38" s="143"/>
      <c r="Q38" s="191">
        <v>17.711721480000001</v>
      </c>
      <c r="R38" s="191">
        <v>63.344356929999996</v>
      </c>
      <c r="S38" s="192" t="s">
        <v>148</v>
      </c>
      <c r="T38" s="193">
        <v>-9.4472500000000008E-3</v>
      </c>
      <c r="U38" s="193">
        <v>0.76903999999999995</v>
      </c>
      <c r="V38" s="187">
        <f t="shared" si="3"/>
        <v>-9.4472500000000004</v>
      </c>
      <c r="W38" s="187">
        <f t="shared" si="3"/>
        <v>769.04</v>
      </c>
      <c r="X38">
        <f t="shared" si="4"/>
        <v>9.4472500000000004</v>
      </c>
      <c r="Y38">
        <f t="shared" si="4"/>
        <v>769.04</v>
      </c>
      <c r="AA38">
        <f t="shared" si="5"/>
        <v>14.170875000000001</v>
      </c>
      <c r="AB38">
        <f t="shared" si="6"/>
        <v>1153.56</v>
      </c>
      <c r="AD38" s="191">
        <v>11.06296586</v>
      </c>
      <c r="AE38" s="191">
        <v>63.265802399999998</v>
      </c>
      <c r="AF38" s="192" t="s">
        <v>143</v>
      </c>
      <c r="AG38" s="193">
        <v>-5.2681999999999998E-3</v>
      </c>
      <c r="AH38" s="193">
        <v>1.0526</v>
      </c>
      <c r="AI38" s="187">
        <f t="shared" si="7"/>
        <v>-5.2682000000000002</v>
      </c>
      <c r="AJ38" s="187">
        <f t="shared" si="8"/>
        <v>1052.5999999999999</v>
      </c>
      <c r="AK38">
        <f t="shared" si="9"/>
        <v>5.2682000000000002</v>
      </c>
      <c r="AL38">
        <f t="shared" si="10"/>
        <v>1052.5999999999999</v>
      </c>
      <c r="AN38">
        <f t="shared" si="11"/>
        <v>7.9023000000000003</v>
      </c>
      <c r="AO38">
        <f t="shared" si="12"/>
        <v>1578.8999999999999</v>
      </c>
    </row>
    <row r="39" spans="1:41">
      <c r="A39" s="73">
        <v>18</v>
      </c>
      <c r="B39" s="142"/>
      <c r="E39">
        <f t="shared" si="0"/>
        <v>0</v>
      </c>
      <c r="F39">
        <f t="shared" si="1"/>
        <v>0</v>
      </c>
      <c r="G39" s="143">
        <f t="shared" si="2"/>
        <v>0</v>
      </c>
      <c r="H39" s="142"/>
      <c r="M39" s="143"/>
      <c r="Q39" s="191">
        <v>17.643606429999998</v>
      </c>
      <c r="R39" s="191">
        <v>63.369023460000001</v>
      </c>
      <c r="S39" s="192" t="s">
        <v>149</v>
      </c>
      <c r="T39" s="193">
        <v>-1.0083999999999999E-2</v>
      </c>
      <c r="U39" s="193">
        <v>0.76661999999999997</v>
      </c>
      <c r="V39" s="187">
        <f t="shared" si="3"/>
        <v>-10.084</v>
      </c>
      <c r="W39" s="187">
        <f t="shared" si="3"/>
        <v>766.62</v>
      </c>
      <c r="X39">
        <f t="shared" si="4"/>
        <v>10.084</v>
      </c>
      <c r="Y39">
        <f t="shared" si="4"/>
        <v>766.62</v>
      </c>
      <c r="AA39">
        <f t="shared" si="5"/>
        <v>15.125999999999999</v>
      </c>
      <c r="AB39">
        <f t="shared" si="6"/>
        <v>1149.93</v>
      </c>
      <c r="AD39" s="191">
        <v>17.867123759999998</v>
      </c>
      <c r="AE39" s="191">
        <v>63.28808102</v>
      </c>
      <c r="AF39" s="192" t="s">
        <v>144</v>
      </c>
      <c r="AG39" s="193">
        <v>6.57735E-3</v>
      </c>
      <c r="AH39" s="193">
        <v>0.76627999999999996</v>
      </c>
      <c r="AI39" s="187">
        <f t="shared" si="7"/>
        <v>6.57735</v>
      </c>
      <c r="AJ39" s="187">
        <f t="shared" si="8"/>
        <v>766.28</v>
      </c>
      <c r="AK39">
        <f t="shared" si="9"/>
        <v>6.57735</v>
      </c>
      <c r="AL39">
        <f t="shared" si="10"/>
        <v>766.28</v>
      </c>
      <c r="AN39">
        <f t="shared" si="11"/>
        <v>9.8660250000000005</v>
      </c>
      <c r="AO39">
        <f t="shared" si="12"/>
        <v>1149.42</v>
      </c>
    </row>
    <row r="40" spans="1:41">
      <c r="A40" s="73">
        <v>19</v>
      </c>
      <c r="B40" s="142"/>
      <c r="E40">
        <f t="shared" si="0"/>
        <v>0</v>
      </c>
      <c r="F40">
        <f t="shared" si="1"/>
        <v>0</v>
      </c>
      <c r="G40" s="143">
        <f t="shared" si="2"/>
        <v>0</v>
      </c>
      <c r="H40" s="142"/>
      <c r="M40" s="143"/>
      <c r="Q40" s="191">
        <v>11.459478689999999</v>
      </c>
      <c r="R40" s="191">
        <v>63.401627449999999</v>
      </c>
      <c r="S40" s="192" t="s">
        <v>150</v>
      </c>
      <c r="T40" s="193">
        <v>-1.3587499999999999E-3</v>
      </c>
      <c r="U40" s="193">
        <v>0.97872999999999999</v>
      </c>
      <c r="V40" s="187">
        <f t="shared" si="3"/>
        <v>-1.3587499999999999</v>
      </c>
      <c r="W40" s="187">
        <f t="shared" si="3"/>
        <v>978.73</v>
      </c>
      <c r="X40">
        <f t="shared" si="4"/>
        <v>1.3587499999999999</v>
      </c>
      <c r="Y40">
        <f t="shared" si="4"/>
        <v>978.73</v>
      </c>
      <c r="AA40">
        <f t="shared" si="5"/>
        <v>2.038125</v>
      </c>
      <c r="AB40">
        <f t="shared" si="6"/>
        <v>1468.095</v>
      </c>
      <c r="AD40" s="191">
        <v>11.12137742</v>
      </c>
      <c r="AE40" s="191">
        <v>63.288604800000002</v>
      </c>
      <c r="AF40" s="192" t="s">
        <v>145</v>
      </c>
      <c r="AG40" s="193">
        <v>-7.2380999999999999E-3</v>
      </c>
      <c r="AH40" s="193">
        <v>1.0519000000000001</v>
      </c>
      <c r="AI40" s="187">
        <f t="shared" si="7"/>
        <v>-7.2381000000000002</v>
      </c>
      <c r="AJ40" s="187">
        <f t="shared" si="8"/>
        <v>1051.9000000000001</v>
      </c>
      <c r="AK40">
        <f t="shared" si="9"/>
        <v>7.2381000000000002</v>
      </c>
      <c r="AL40">
        <f t="shared" si="10"/>
        <v>1051.9000000000001</v>
      </c>
      <c r="AN40">
        <f t="shared" si="11"/>
        <v>10.857150000000001</v>
      </c>
      <c r="AO40">
        <f t="shared" si="12"/>
        <v>1577.8500000000001</v>
      </c>
    </row>
    <row r="41" spans="1:41">
      <c r="A41" s="73">
        <v>19</v>
      </c>
      <c r="B41" s="142"/>
      <c r="E41">
        <f t="shared" si="0"/>
        <v>0</v>
      </c>
      <c r="F41">
        <f t="shared" si="1"/>
        <v>0</v>
      </c>
      <c r="G41" s="143">
        <f t="shared" si="2"/>
        <v>0</v>
      </c>
      <c r="H41" s="142"/>
      <c r="M41" s="143"/>
      <c r="Q41" s="191">
        <v>17.490788989999999</v>
      </c>
      <c r="R41" s="191">
        <v>63.415948839999999</v>
      </c>
      <c r="S41" s="192" t="s">
        <v>151</v>
      </c>
      <c r="T41" s="193">
        <v>-6.1748000000000003E-3</v>
      </c>
      <c r="U41" s="193">
        <v>0.76619999999999999</v>
      </c>
      <c r="V41" s="187">
        <f t="shared" si="3"/>
        <v>-6.1748000000000003</v>
      </c>
      <c r="W41" s="187">
        <f t="shared" si="3"/>
        <v>766.2</v>
      </c>
      <c r="X41">
        <f t="shared" si="4"/>
        <v>6.1748000000000003</v>
      </c>
      <c r="Y41">
        <f t="shared" si="4"/>
        <v>766.2</v>
      </c>
      <c r="AA41">
        <f t="shared" si="5"/>
        <v>9.2622</v>
      </c>
      <c r="AB41">
        <f t="shared" si="6"/>
        <v>1149.3000000000002</v>
      </c>
      <c r="AD41" s="191">
        <v>17.823480140000001</v>
      </c>
      <c r="AE41" s="191">
        <v>63.303885710000003</v>
      </c>
      <c r="AF41" s="192" t="s">
        <v>146</v>
      </c>
      <c r="AG41" s="193">
        <v>3.9197499999999996E-3</v>
      </c>
      <c r="AH41" s="193">
        <v>0.79593000000000003</v>
      </c>
      <c r="AI41" s="187">
        <f t="shared" si="7"/>
        <v>3.9197499999999996</v>
      </c>
      <c r="AJ41" s="187">
        <f t="shared" si="8"/>
        <v>795.93000000000006</v>
      </c>
      <c r="AK41">
        <f t="shared" si="9"/>
        <v>3.9197499999999996</v>
      </c>
      <c r="AL41">
        <f t="shared" si="10"/>
        <v>795.93000000000006</v>
      </c>
      <c r="AN41">
        <f t="shared" si="11"/>
        <v>5.879624999999999</v>
      </c>
      <c r="AO41">
        <f t="shared" si="12"/>
        <v>1193.895</v>
      </c>
    </row>
    <row r="42" spans="1:41">
      <c r="A42" s="73">
        <v>20</v>
      </c>
      <c r="B42" s="142"/>
      <c r="E42">
        <f t="shared" si="0"/>
        <v>0</v>
      </c>
      <c r="F42">
        <f t="shared" si="1"/>
        <v>0</v>
      </c>
      <c r="G42" s="143">
        <f t="shared" si="2"/>
        <v>0</v>
      </c>
      <c r="H42" s="142"/>
      <c r="M42" s="143"/>
      <c r="Q42" s="191">
        <v>17.33797156</v>
      </c>
      <c r="R42" s="191">
        <v>63.462874210000003</v>
      </c>
      <c r="S42" s="192" t="s">
        <v>152</v>
      </c>
      <c r="T42" s="193">
        <v>-1.9602500000000002E-3</v>
      </c>
      <c r="U42" s="193">
        <v>0.76578999999999997</v>
      </c>
      <c r="V42" s="187">
        <f t="shared" si="3"/>
        <v>-1.9602500000000003</v>
      </c>
      <c r="W42" s="187">
        <f t="shared" si="3"/>
        <v>765.79</v>
      </c>
      <c r="X42">
        <f t="shared" si="4"/>
        <v>1.9602500000000003</v>
      </c>
      <c r="Y42">
        <f t="shared" si="4"/>
        <v>765.79</v>
      </c>
      <c r="AA42">
        <f t="shared" si="5"/>
        <v>2.9403750000000004</v>
      </c>
      <c r="AB42">
        <f t="shared" si="6"/>
        <v>1148.6849999999999</v>
      </c>
      <c r="AD42" s="191">
        <v>17.77983652</v>
      </c>
      <c r="AE42" s="191">
        <v>63.319690389999998</v>
      </c>
      <c r="AF42" s="192" t="s">
        <v>147</v>
      </c>
      <c r="AG42" s="193">
        <v>-1.4020899999999999E-3</v>
      </c>
      <c r="AH42" s="193">
        <v>0.82443999999999995</v>
      </c>
      <c r="AI42" s="187">
        <f t="shared" si="7"/>
        <v>-1.4020899999999998</v>
      </c>
      <c r="AJ42" s="187">
        <f t="shared" si="8"/>
        <v>824.43999999999994</v>
      </c>
      <c r="AK42">
        <f t="shared" si="9"/>
        <v>1.4020899999999998</v>
      </c>
      <c r="AL42">
        <f t="shared" si="10"/>
        <v>824.43999999999994</v>
      </c>
      <c r="AN42">
        <f t="shared" si="11"/>
        <v>2.103135</v>
      </c>
      <c r="AO42">
        <f t="shared" si="12"/>
        <v>1236.6599999999999</v>
      </c>
    </row>
    <row r="43" spans="1:41">
      <c r="A43" s="73">
        <v>20</v>
      </c>
      <c r="B43" s="142"/>
      <c r="E43">
        <f t="shared" si="0"/>
        <v>0</v>
      </c>
      <c r="F43">
        <f t="shared" si="1"/>
        <v>0</v>
      </c>
      <c r="G43" s="143">
        <f t="shared" si="2"/>
        <v>0</v>
      </c>
      <c r="H43" s="142"/>
      <c r="M43" s="143"/>
      <c r="Q43" s="191">
        <v>11.79757996</v>
      </c>
      <c r="R43" s="191">
        <v>63.514650109999998</v>
      </c>
      <c r="S43" s="192" t="s">
        <v>153</v>
      </c>
      <c r="T43" s="193">
        <v>1.3389999999999999E-3</v>
      </c>
      <c r="U43" s="193">
        <v>1.0199</v>
      </c>
      <c r="V43" s="187">
        <f t="shared" si="3"/>
        <v>1.339</v>
      </c>
      <c r="W43" s="187">
        <f t="shared" si="3"/>
        <v>1019.9</v>
      </c>
      <c r="X43">
        <f t="shared" si="4"/>
        <v>1.339</v>
      </c>
      <c r="Y43">
        <f t="shared" si="4"/>
        <v>1019.9</v>
      </c>
      <c r="AA43">
        <f t="shared" si="5"/>
        <v>2.0084999999999997</v>
      </c>
      <c r="AB43">
        <f t="shared" si="6"/>
        <v>1529.85</v>
      </c>
      <c r="AD43" s="191">
        <v>17.711721480000001</v>
      </c>
      <c r="AE43" s="191">
        <v>63.344356929999996</v>
      </c>
      <c r="AF43" s="192" t="s">
        <v>148</v>
      </c>
      <c r="AG43" s="193">
        <v>-1.008155E-2</v>
      </c>
      <c r="AH43" s="193">
        <v>0.84182000000000001</v>
      </c>
      <c r="AI43" s="187">
        <f t="shared" si="7"/>
        <v>-10.08155</v>
      </c>
      <c r="AJ43" s="187">
        <f t="shared" si="8"/>
        <v>841.82</v>
      </c>
      <c r="AK43">
        <f t="shared" si="9"/>
        <v>10.08155</v>
      </c>
      <c r="AL43">
        <f t="shared" si="10"/>
        <v>841.82</v>
      </c>
      <c r="AN43">
        <f t="shared" si="11"/>
        <v>15.122325</v>
      </c>
      <c r="AO43">
        <f t="shared" si="12"/>
        <v>1262.73</v>
      </c>
    </row>
    <row r="44" spans="1:41">
      <c r="A44" s="73">
        <v>21</v>
      </c>
      <c r="B44" s="142"/>
      <c r="E44">
        <f t="shared" si="0"/>
        <v>0</v>
      </c>
      <c r="F44">
        <f t="shared" si="1"/>
        <v>0</v>
      </c>
      <c r="G44" s="143">
        <f t="shared" si="2"/>
        <v>0</v>
      </c>
      <c r="H44" s="142"/>
      <c r="M44" s="143"/>
      <c r="Q44" s="191">
        <v>16.962053189999999</v>
      </c>
      <c r="R44" s="191">
        <v>63.578306779999998</v>
      </c>
      <c r="S44" s="192" t="s">
        <v>154</v>
      </c>
      <c r="T44" s="194">
        <v>-6.0625E-6</v>
      </c>
      <c r="U44" s="193">
        <v>0.76287000000000005</v>
      </c>
      <c r="V44" s="187">
        <f t="shared" si="3"/>
        <v>-6.0625000000000002E-3</v>
      </c>
      <c r="W44" s="187">
        <f t="shared" si="3"/>
        <v>762.87</v>
      </c>
      <c r="X44">
        <f t="shared" si="4"/>
        <v>6.0625000000000002E-3</v>
      </c>
      <c r="Y44">
        <f t="shared" si="4"/>
        <v>762.87</v>
      </c>
      <c r="AA44">
        <f t="shared" si="5"/>
        <v>9.0937500000000011E-3</v>
      </c>
      <c r="AB44">
        <f t="shared" si="6"/>
        <v>1144.3050000000001</v>
      </c>
      <c r="AD44" s="191">
        <v>17.643606429999998</v>
      </c>
      <c r="AE44" s="191">
        <v>63.369023460000001</v>
      </c>
      <c r="AF44" s="192" t="s">
        <v>149</v>
      </c>
      <c r="AG44" s="194">
        <v>-1.0699E-2</v>
      </c>
      <c r="AH44" s="193">
        <v>0.83933999999999997</v>
      </c>
      <c r="AI44" s="187">
        <f t="shared" si="7"/>
        <v>-10.699</v>
      </c>
      <c r="AJ44" s="187">
        <f t="shared" si="8"/>
        <v>839.33999999999992</v>
      </c>
      <c r="AK44">
        <f t="shared" si="9"/>
        <v>10.699</v>
      </c>
      <c r="AL44">
        <f t="shared" si="10"/>
        <v>839.33999999999992</v>
      </c>
      <c r="AN44">
        <f t="shared" si="11"/>
        <v>16.048500000000001</v>
      </c>
      <c r="AO44">
        <f t="shared" si="12"/>
        <v>1259.0099999999998</v>
      </c>
    </row>
    <row r="45" spans="1:41">
      <c r="A45" s="73">
        <v>21</v>
      </c>
      <c r="B45" s="142"/>
      <c r="E45">
        <f t="shared" si="0"/>
        <v>0</v>
      </c>
      <c r="F45">
        <f t="shared" si="1"/>
        <v>0</v>
      </c>
      <c r="G45" s="143">
        <f t="shared" si="2"/>
        <v>0</v>
      </c>
      <c r="H45" s="142"/>
      <c r="M45" s="143"/>
      <c r="Q45" s="191">
        <v>12.026466510000001</v>
      </c>
      <c r="R45" s="191">
        <v>63.578757539999998</v>
      </c>
      <c r="S45" s="192" t="s">
        <v>155</v>
      </c>
      <c r="T45" s="193">
        <v>-1.3433500000000001E-3</v>
      </c>
      <c r="U45" s="193">
        <v>1.0398000000000001</v>
      </c>
      <c r="V45" s="187">
        <f t="shared" si="3"/>
        <v>-1.34335</v>
      </c>
      <c r="W45" s="187">
        <f t="shared" si="3"/>
        <v>1039.8</v>
      </c>
      <c r="X45">
        <f t="shared" si="4"/>
        <v>1.34335</v>
      </c>
      <c r="Y45">
        <f t="shared" si="4"/>
        <v>1039.8</v>
      </c>
      <c r="AA45">
        <f t="shared" si="5"/>
        <v>2.0150250000000001</v>
      </c>
      <c r="AB45">
        <f t="shared" si="6"/>
        <v>1559.6999999999998</v>
      </c>
      <c r="AD45" s="191">
        <v>11.459478689999999</v>
      </c>
      <c r="AE45" s="191">
        <v>63.401627449999999</v>
      </c>
      <c r="AF45" s="192" t="s">
        <v>150</v>
      </c>
      <c r="AG45" s="193">
        <v>-7.9075E-4</v>
      </c>
      <c r="AH45" s="193">
        <v>1.0388999999999999</v>
      </c>
      <c r="AI45" s="187">
        <f t="shared" si="7"/>
        <v>-0.79074999999999995</v>
      </c>
      <c r="AJ45" s="187">
        <f t="shared" si="8"/>
        <v>1038.8999999999999</v>
      </c>
      <c r="AK45">
        <f t="shared" si="9"/>
        <v>0.79074999999999995</v>
      </c>
      <c r="AL45">
        <f t="shared" si="10"/>
        <v>1038.8999999999999</v>
      </c>
      <c r="AN45">
        <f t="shared" si="11"/>
        <v>1.1861249999999999</v>
      </c>
      <c r="AO45">
        <f t="shared" si="12"/>
        <v>1558.35</v>
      </c>
    </row>
    <row r="46" spans="1:41">
      <c r="A46" s="73">
        <v>22</v>
      </c>
      <c r="B46" s="142"/>
      <c r="E46">
        <f t="shared" si="0"/>
        <v>0</v>
      </c>
      <c r="F46">
        <f t="shared" si="1"/>
        <v>0</v>
      </c>
      <c r="G46" s="143">
        <f t="shared" si="2"/>
        <v>0</v>
      </c>
      <c r="H46" s="142"/>
      <c r="M46" s="143"/>
      <c r="Q46" s="191">
        <v>16.731660590000001</v>
      </c>
      <c r="R46" s="191">
        <v>63.636755630000003</v>
      </c>
      <c r="S46" s="192" t="s">
        <v>156</v>
      </c>
      <c r="T46" s="193">
        <v>5.4338499999999996E-4</v>
      </c>
      <c r="U46" s="193">
        <v>0.76222999999999996</v>
      </c>
      <c r="V46" s="187">
        <f t="shared" si="3"/>
        <v>0.54338500000000001</v>
      </c>
      <c r="W46" s="187">
        <f t="shared" si="3"/>
        <v>762.23</v>
      </c>
      <c r="X46">
        <f t="shared" si="4"/>
        <v>0.54338500000000001</v>
      </c>
      <c r="Y46">
        <f t="shared" si="4"/>
        <v>762.23</v>
      </c>
      <c r="AA46">
        <f t="shared" si="5"/>
        <v>0.81507750000000001</v>
      </c>
      <c r="AB46">
        <f t="shared" si="6"/>
        <v>1143.345</v>
      </c>
      <c r="AD46" s="191">
        <v>17.490788989999999</v>
      </c>
      <c r="AE46" s="191">
        <v>63.415948839999999</v>
      </c>
      <c r="AF46" s="192" t="s">
        <v>151</v>
      </c>
      <c r="AG46" s="193">
        <v>-6.1936999999999999E-3</v>
      </c>
      <c r="AH46" s="193">
        <v>0.83882000000000001</v>
      </c>
      <c r="AI46" s="187">
        <f t="shared" si="7"/>
        <v>-6.1936999999999998</v>
      </c>
      <c r="AJ46" s="187">
        <f t="shared" si="8"/>
        <v>838.82</v>
      </c>
      <c r="AK46">
        <f t="shared" si="9"/>
        <v>6.1936999999999998</v>
      </c>
      <c r="AL46">
        <f t="shared" si="10"/>
        <v>838.82</v>
      </c>
      <c r="AN46">
        <f t="shared" si="11"/>
        <v>9.2905499999999996</v>
      </c>
      <c r="AO46">
        <f t="shared" si="12"/>
        <v>1258.23</v>
      </c>
    </row>
    <row r="47" spans="1:41">
      <c r="A47" s="73">
        <v>22</v>
      </c>
      <c r="B47" s="142"/>
      <c r="E47">
        <f t="shared" si="0"/>
        <v>0</v>
      </c>
      <c r="F47">
        <f t="shared" si="1"/>
        <v>0</v>
      </c>
      <c r="G47" s="143">
        <f t="shared" si="2"/>
        <v>0</v>
      </c>
      <c r="H47" s="142"/>
      <c r="M47" s="143"/>
      <c r="Q47" s="191">
        <v>12.374067459999999</v>
      </c>
      <c r="R47" s="191">
        <v>63.657768760000003</v>
      </c>
      <c r="S47" s="192" t="s">
        <v>157</v>
      </c>
      <c r="T47" s="193">
        <v>2.7082499999999998E-4</v>
      </c>
      <c r="U47" s="193">
        <v>1.0491999999999999</v>
      </c>
      <c r="V47" s="187">
        <f t="shared" si="3"/>
        <v>0.27082499999999998</v>
      </c>
      <c r="W47" s="187">
        <f t="shared" si="3"/>
        <v>1049.1999999999998</v>
      </c>
      <c r="X47">
        <f t="shared" si="4"/>
        <v>0.27082499999999998</v>
      </c>
      <c r="Y47">
        <f t="shared" si="4"/>
        <v>1049.1999999999998</v>
      </c>
      <c r="AA47">
        <f t="shared" si="5"/>
        <v>0.40623749999999997</v>
      </c>
      <c r="AB47">
        <f t="shared" si="6"/>
        <v>1573.7999999999997</v>
      </c>
      <c r="AD47" s="191">
        <v>17.33797156</v>
      </c>
      <c r="AE47" s="191">
        <v>63.462874210000003</v>
      </c>
      <c r="AF47" s="192" t="s">
        <v>152</v>
      </c>
      <c r="AG47" s="193">
        <v>-1.340955E-3</v>
      </c>
      <c r="AH47" s="193">
        <v>0.83833000000000002</v>
      </c>
      <c r="AI47" s="187">
        <f t="shared" si="7"/>
        <v>-1.3409550000000001</v>
      </c>
      <c r="AJ47" s="187">
        <f t="shared" si="8"/>
        <v>838.33</v>
      </c>
      <c r="AK47">
        <f t="shared" si="9"/>
        <v>1.3409550000000001</v>
      </c>
      <c r="AL47">
        <f t="shared" si="10"/>
        <v>838.33</v>
      </c>
      <c r="AN47">
        <f t="shared" si="11"/>
        <v>2.0114325000000002</v>
      </c>
      <c r="AO47">
        <f t="shared" si="12"/>
        <v>1257.4950000000001</v>
      </c>
    </row>
    <row r="48" spans="1:41">
      <c r="A48" s="73">
        <v>23</v>
      </c>
      <c r="B48" s="142"/>
      <c r="E48">
        <f t="shared" si="0"/>
        <v>0</v>
      </c>
      <c r="F48">
        <f t="shared" si="1"/>
        <v>0</v>
      </c>
      <c r="G48" s="143">
        <f t="shared" si="2"/>
        <v>0</v>
      </c>
      <c r="H48" s="142"/>
      <c r="M48" s="143"/>
      <c r="Q48" s="191">
        <v>16.54235405</v>
      </c>
      <c r="R48" s="191">
        <v>63.677361949999998</v>
      </c>
      <c r="S48" s="192" t="s">
        <v>158</v>
      </c>
      <c r="T48" s="193">
        <v>-1.84245E-3</v>
      </c>
      <c r="U48" s="193">
        <v>0.76968000000000003</v>
      </c>
      <c r="V48" s="187">
        <f t="shared" si="3"/>
        <v>-1.8424500000000001</v>
      </c>
      <c r="W48" s="187">
        <f t="shared" si="3"/>
        <v>769.68000000000006</v>
      </c>
      <c r="X48">
        <f t="shared" si="4"/>
        <v>1.8424500000000001</v>
      </c>
      <c r="Y48">
        <f t="shared" si="4"/>
        <v>769.68000000000006</v>
      </c>
      <c r="AA48">
        <f t="shared" si="5"/>
        <v>2.7636750000000001</v>
      </c>
      <c r="AB48">
        <f t="shared" si="6"/>
        <v>1154.52</v>
      </c>
      <c r="AD48" s="191">
        <v>11.79757996</v>
      </c>
      <c r="AE48" s="191">
        <v>63.514650109999998</v>
      </c>
      <c r="AF48" s="192" t="s">
        <v>153</v>
      </c>
      <c r="AG48" s="193">
        <v>1.2377E-3</v>
      </c>
      <c r="AH48" s="193">
        <v>1.0569999999999999</v>
      </c>
      <c r="AI48" s="187">
        <f t="shared" si="7"/>
        <v>1.2377</v>
      </c>
      <c r="AJ48" s="187">
        <f t="shared" si="8"/>
        <v>1057</v>
      </c>
      <c r="AK48">
        <f t="shared" si="9"/>
        <v>1.2377</v>
      </c>
      <c r="AL48">
        <f t="shared" si="10"/>
        <v>1057</v>
      </c>
      <c r="AN48">
        <f t="shared" si="11"/>
        <v>1.8565499999999999</v>
      </c>
      <c r="AO48">
        <f t="shared" si="12"/>
        <v>1585.5</v>
      </c>
    </row>
    <row r="49" spans="1:41">
      <c r="A49" s="73">
        <v>23</v>
      </c>
      <c r="B49" s="142"/>
      <c r="E49">
        <f t="shared" si="0"/>
        <v>0</v>
      </c>
      <c r="F49">
        <f t="shared" si="1"/>
        <v>0</v>
      </c>
      <c r="G49" s="143">
        <f t="shared" si="2"/>
        <v>0</v>
      </c>
      <c r="H49" s="142"/>
      <c r="M49" s="143"/>
      <c r="Q49" s="191">
        <v>16.35304751</v>
      </c>
      <c r="R49" s="191">
        <v>63.717968280000001</v>
      </c>
      <c r="S49" s="192" t="s">
        <v>159</v>
      </c>
      <c r="T49" s="194">
        <v>6.57905E-5</v>
      </c>
      <c r="U49" s="193">
        <v>0.78624000000000005</v>
      </c>
      <c r="V49" s="187">
        <f t="shared" si="3"/>
        <v>6.5790500000000002E-2</v>
      </c>
      <c r="W49" s="187">
        <f t="shared" si="3"/>
        <v>786.24</v>
      </c>
      <c r="X49">
        <f t="shared" si="4"/>
        <v>6.5790500000000002E-2</v>
      </c>
      <c r="Y49">
        <f t="shared" si="4"/>
        <v>786.24</v>
      </c>
      <c r="AA49">
        <f t="shared" si="5"/>
        <v>9.8685750000000003E-2</v>
      </c>
      <c r="AB49">
        <f t="shared" si="6"/>
        <v>1179.3600000000001</v>
      </c>
      <c r="AD49" s="191">
        <v>16.962053189999999</v>
      </c>
      <c r="AE49" s="191">
        <v>63.578306779999998</v>
      </c>
      <c r="AF49" s="192" t="s">
        <v>154</v>
      </c>
      <c r="AG49" s="194">
        <v>7.2918500000000003E-5</v>
      </c>
      <c r="AH49" s="193">
        <v>0.82411000000000001</v>
      </c>
      <c r="AI49" s="187">
        <f t="shared" si="7"/>
        <v>7.2918499999999997E-2</v>
      </c>
      <c r="AJ49" s="187">
        <f t="shared" si="8"/>
        <v>824.11</v>
      </c>
      <c r="AK49">
        <f t="shared" si="9"/>
        <v>7.2918499999999997E-2</v>
      </c>
      <c r="AL49">
        <f t="shared" si="10"/>
        <v>824.11</v>
      </c>
      <c r="AN49">
        <f t="shared" si="11"/>
        <v>0.10937775</v>
      </c>
      <c r="AO49">
        <f t="shared" si="12"/>
        <v>1236.165</v>
      </c>
    </row>
    <row r="50" spans="1:41">
      <c r="A50" s="73">
        <v>24</v>
      </c>
      <c r="B50" s="142"/>
      <c r="E50">
        <f t="shared" si="0"/>
        <v>0</v>
      </c>
      <c r="F50">
        <f t="shared" si="1"/>
        <v>0</v>
      </c>
      <c r="G50" s="143">
        <f t="shared" si="2"/>
        <v>0</v>
      </c>
      <c r="H50" s="142"/>
      <c r="M50" s="143"/>
      <c r="Q50" s="191">
        <v>16.26688914</v>
      </c>
      <c r="R50" s="191">
        <v>63.736449280000002</v>
      </c>
      <c r="S50" s="192" t="s">
        <v>160</v>
      </c>
      <c r="T50" s="193">
        <v>-3.0864999999999999E-4</v>
      </c>
      <c r="U50" s="193">
        <v>0.79264999999999997</v>
      </c>
      <c r="V50" s="187">
        <f t="shared" si="3"/>
        <v>-0.30864999999999998</v>
      </c>
      <c r="W50" s="187">
        <f t="shared" si="3"/>
        <v>792.65</v>
      </c>
      <c r="X50">
        <f t="shared" si="4"/>
        <v>0.30864999999999998</v>
      </c>
      <c r="Y50">
        <f t="shared" si="4"/>
        <v>792.65</v>
      </c>
      <c r="AA50">
        <f t="shared" si="5"/>
        <v>0.46297499999999997</v>
      </c>
      <c r="AB50">
        <f t="shared" si="6"/>
        <v>1188.9749999999999</v>
      </c>
      <c r="AD50" s="191">
        <v>12.026466510000001</v>
      </c>
      <c r="AE50" s="191">
        <v>63.578757539999998</v>
      </c>
      <c r="AF50" s="192" t="s">
        <v>155</v>
      </c>
      <c r="AG50" s="193">
        <v>-1.3180500000000001E-3</v>
      </c>
      <c r="AH50" s="193">
        <v>1.0697000000000001</v>
      </c>
      <c r="AI50" s="187">
        <f t="shared" si="7"/>
        <v>-1.3180500000000002</v>
      </c>
      <c r="AJ50" s="187">
        <f t="shared" si="8"/>
        <v>1069.7</v>
      </c>
      <c r="AK50">
        <f t="shared" si="9"/>
        <v>1.3180500000000002</v>
      </c>
      <c r="AL50">
        <f t="shared" si="10"/>
        <v>1069.7</v>
      </c>
      <c r="AN50">
        <f t="shared" si="11"/>
        <v>1.9770750000000001</v>
      </c>
      <c r="AO50">
        <f t="shared" si="12"/>
        <v>1604.5500000000002</v>
      </c>
    </row>
    <row r="51" spans="1:41">
      <c r="A51" s="73">
        <v>24</v>
      </c>
      <c r="B51" s="142"/>
      <c r="E51">
        <f t="shared" si="0"/>
        <v>0</v>
      </c>
      <c r="F51">
        <f t="shared" si="1"/>
        <v>0</v>
      </c>
      <c r="G51" s="143">
        <f t="shared" si="2"/>
        <v>0</v>
      </c>
      <c r="H51" s="142"/>
      <c r="M51" s="143"/>
      <c r="Q51" s="191">
        <v>12.721668409999999</v>
      </c>
      <c r="R51" s="191">
        <v>63.736779980000001</v>
      </c>
      <c r="S51" s="192" t="s">
        <v>161</v>
      </c>
      <c r="T51" s="193">
        <v>-1.01283E-2</v>
      </c>
      <c r="U51" s="193">
        <v>1.0707</v>
      </c>
      <c r="V51" s="187">
        <f t="shared" si="3"/>
        <v>-10.128299999999999</v>
      </c>
      <c r="W51" s="187">
        <f t="shared" si="3"/>
        <v>1070.7</v>
      </c>
      <c r="X51">
        <f t="shared" si="4"/>
        <v>10.128299999999999</v>
      </c>
      <c r="Y51">
        <f t="shared" si="4"/>
        <v>1070.7</v>
      </c>
      <c r="AA51">
        <f t="shared" si="5"/>
        <v>15.192449999999999</v>
      </c>
      <c r="AB51">
        <f t="shared" si="6"/>
        <v>1606.0500000000002</v>
      </c>
      <c r="AD51" s="191">
        <v>16.731660590000001</v>
      </c>
      <c r="AE51" s="191">
        <v>63.636755630000003</v>
      </c>
      <c r="AF51" s="192" t="s">
        <v>156</v>
      </c>
      <c r="AG51" s="193">
        <v>5.5006499999999997E-4</v>
      </c>
      <c r="AH51" s="193">
        <v>0.80554000000000003</v>
      </c>
      <c r="AI51" s="187">
        <f t="shared" si="7"/>
        <v>0.55006500000000003</v>
      </c>
      <c r="AJ51" s="187">
        <f t="shared" si="8"/>
        <v>805.54000000000008</v>
      </c>
      <c r="AK51">
        <f t="shared" si="9"/>
        <v>0.55006500000000003</v>
      </c>
      <c r="AL51">
        <f t="shared" si="10"/>
        <v>805.54000000000008</v>
      </c>
      <c r="AN51">
        <f t="shared" si="11"/>
        <v>0.82509750000000004</v>
      </c>
      <c r="AO51">
        <f t="shared" si="12"/>
        <v>1208.3100000000002</v>
      </c>
    </row>
    <row r="52" spans="1:41">
      <c r="E52">
        <f t="shared" si="0"/>
        <v>0</v>
      </c>
      <c r="F52">
        <f t="shared" si="1"/>
        <v>0</v>
      </c>
      <c r="G52" s="143">
        <f t="shared" si="2"/>
        <v>0</v>
      </c>
      <c r="Q52" s="191">
        <v>12.940508919999999</v>
      </c>
      <c r="R52" s="191">
        <v>63.775200040000001</v>
      </c>
      <c r="S52" s="192" t="s">
        <v>162</v>
      </c>
      <c r="T52" s="193">
        <v>-2.4015500000000001E-3</v>
      </c>
      <c r="U52" s="193">
        <v>1.0703</v>
      </c>
      <c r="V52" s="187">
        <f t="shared" ref="V52:W66" si="13">T52*1000</f>
        <v>-2.4015500000000003</v>
      </c>
      <c r="W52" s="187">
        <f t="shared" si="13"/>
        <v>1070.3</v>
      </c>
      <c r="X52">
        <f t="shared" ref="X52:Y66" si="14">ABS(V52)</f>
        <v>2.4015500000000003</v>
      </c>
      <c r="Y52">
        <f t="shared" si="14"/>
        <v>1070.3</v>
      </c>
      <c r="AA52">
        <f t="shared" si="5"/>
        <v>3.6023250000000004</v>
      </c>
      <c r="AB52">
        <f t="shared" si="6"/>
        <v>1605.4499999999998</v>
      </c>
      <c r="AD52" s="191">
        <v>12.374067459999999</v>
      </c>
      <c r="AE52" s="191">
        <v>63.657768760000003</v>
      </c>
      <c r="AF52" s="192" t="s">
        <v>157</v>
      </c>
      <c r="AG52" s="193">
        <v>4.4781999999999998E-4</v>
      </c>
      <c r="AH52" s="193">
        <v>1.0649</v>
      </c>
      <c r="AI52" s="187">
        <f t="shared" si="7"/>
        <v>0.44782</v>
      </c>
      <c r="AJ52" s="187">
        <f t="shared" si="8"/>
        <v>1064.8999999999999</v>
      </c>
      <c r="AK52">
        <f t="shared" si="9"/>
        <v>0.44782</v>
      </c>
      <c r="AL52">
        <f t="shared" si="10"/>
        <v>1064.8999999999999</v>
      </c>
      <c r="AN52">
        <f t="shared" si="11"/>
        <v>0.67172999999999994</v>
      </c>
      <c r="AO52">
        <f t="shared" si="12"/>
        <v>1597.35</v>
      </c>
    </row>
    <row r="53" spans="1:41">
      <c r="E53">
        <f t="shared" si="0"/>
        <v>0</v>
      </c>
      <c r="F53">
        <f t="shared" si="1"/>
        <v>0</v>
      </c>
      <c r="G53" s="143">
        <f t="shared" si="2"/>
        <v>0</v>
      </c>
      <c r="Q53" s="191">
        <v>12.9481514</v>
      </c>
      <c r="R53" s="191">
        <v>63.776541770000001</v>
      </c>
      <c r="S53" s="192" t="s">
        <v>163</v>
      </c>
      <c r="T53" s="193">
        <v>-8.3242500000000003E-4</v>
      </c>
      <c r="U53" s="193">
        <v>1.0693999999999999</v>
      </c>
      <c r="V53" s="187">
        <f t="shared" si="13"/>
        <v>-0.83242500000000008</v>
      </c>
      <c r="W53" s="187">
        <f t="shared" si="13"/>
        <v>1069.3999999999999</v>
      </c>
      <c r="X53">
        <f t="shared" si="14"/>
        <v>0.83242500000000008</v>
      </c>
      <c r="Y53">
        <f t="shared" si="14"/>
        <v>1069.3999999999999</v>
      </c>
      <c r="AA53">
        <f t="shared" si="5"/>
        <v>1.2486375000000001</v>
      </c>
      <c r="AB53">
        <f t="shared" si="6"/>
        <v>1604.1</v>
      </c>
      <c r="AD53" s="191">
        <v>16.54235405</v>
      </c>
      <c r="AE53" s="191">
        <v>63.677361949999998</v>
      </c>
      <c r="AF53" s="192" t="s">
        <v>158</v>
      </c>
      <c r="AG53" s="193">
        <v>-2.1767499999999999E-3</v>
      </c>
      <c r="AH53" s="193">
        <v>0.79930000000000001</v>
      </c>
      <c r="AI53" s="187">
        <f t="shared" si="7"/>
        <v>-2.1767499999999997</v>
      </c>
      <c r="AJ53" s="187">
        <f t="shared" si="8"/>
        <v>799.3</v>
      </c>
      <c r="AK53">
        <f t="shared" si="9"/>
        <v>2.1767499999999997</v>
      </c>
      <c r="AL53">
        <f t="shared" si="10"/>
        <v>799.3</v>
      </c>
      <c r="AN53">
        <f t="shared" si="11"/>
        <v>3.2651249999999994</v>
      </c>
      <c r="AO53">
        <f t="shared" si="12"/>
        <v>1198.9499999999998</v>
      </c>
    </row>
    <row r="54" spans="1:41">
      <c r="E54">
        <f t="shared" si="0"/>
        <v>0</v>
      </c>
      <c r="F54">
        <f t="shared" si="1"/>
        <v>0</v>
      </c>
      <c r="G54" s="143">
        <f t="shared" si="2"/>
        <v>0</v>
      </c>
      <c r="Q54" s="191">
        <v>16.032785610000001</v>
      </c>
      <c r="R54" s="191">
        <v>63.777615519999998</v>
      </c>
      <c r="S54" s="192" t="s">
        <v>164</v>
      </c>
      <c r="T54" s="193">
        <v>-2.87125E-4</v>
      </c>
      <c r="U54" s="193">
        <v>0.78739999999999999</v>
      </c>
      <c r="V54" s="187">
        <f t="shared" si="13"/>
        <v>-0.28712500000000002</v>
      </c>
      <c r="W54" s="187">
        <f t="shared" si="13"/>
        <v>787.4</v>
      </c>
      <c r="X54">
        <f t="shared" si="14"/>
        <v>0.28712500000000002</v>
      </c>
      <c r="Y54">
        <f t="shared" si="14"/>
        <v>787.4</v>
      </c>
      <c r="AA54">
        <f t="shared" si="5"/>
        <v>0.4306875</v>
      </c>
      <c r="AB54">
        <f t="shared" si="6"/>
        <v>1181.0999999999999</v>
      </c>
      <c r="AD54" s="191">
        <v>16.35304751</v>
      </c>
      <c r="AE54" s="191">
        <v>63.717968280000001</v>
      </c>
      <c r="AF54" s="192" t="s">
        <v>159</v>
      </c>
      <c r="AG54" s="193">
        <v>1.8418699999999999E-4</v>
      </c>
      <c r="AH54" s="193">
        <v>0.80542000000000002</v>
      </c>
      <c r="AI54" s="187">
        <f t="shared" si="7"/>
        <v>0.18418699999999999</v>
      </c>
      <c r="AJ54" s="187">
        <f t="shared" si="8"/>
        <v>805.42000000000007</v>
      </c>
      <c r="AK54">
        <f t="shared" si="9"/>
        <v>0.18418699999999999</v>
      </c>
      <c r="AL54">
        <f t="shared" si="10"/>
        <v>805.42000000000007</v>
      </c>
      <c r="AN54">
        <f t="shared" si="11"/>
        <v>0.27628049999999998</v>
      </c>
      <c r="AO54">
        <f t="shared" si="12"/>
        <v>1208.1300000000001</v>
      </c>
    </row>
    <row r="55" spans="1:41">
      <c r="E55">
        <f t="shared" si="0"/>
        <v>0</v>
      </c>
      <c r="F55">
        <f t="shared" si="1"/>
        <v>0</v>
      </c>
      <c r="G55" s="143">
        <f t="shared" si="2"/>
        <v>0</v>
      </c>
      <c r="Q55" s="191">
        <v>12.955793870000001</v>
      </c>
      <c r="R55" s="191">
        <v>63.777883490000001</v>
      </c>
      <c r="S55" s="192" t="s">
        <v>165</v>
      </c>
      <c r="T55" s="193">
        <v>3.8052499999999999E-4</v>
      </c>
      <c r="U55" s="193">
        <v>1.0518000000000001</v>
      </c>
      <c r="V55" s="187">
        <f t="shared" si="13"/>
        <v>0.380525</v>
      </c>
      <c r="W55" s="187">
        <f t="shared" si="13"/>
        <v>1051.8000000000002</v>
      </c>
      <c r="X55">
        <f t="shared" si="14"/>
        <v>0.380525</v>
      </c>
      <c r="Y55">
        <f t="shared" si="14"/>
        <v>1051.8000000000002</v>
      </c>
      <c r="AA55">
        <f t="shared" si="5"/>
        <v>0.5707875</v>
      </c>
      <c r="AB55">
        <f t="shared" si="6"/>
        <v>1577.7000000000003</v>
      </c>
      <c r="AD55" s="191">
        <v>16.26688914</v>
      </c>
      <c r="AE55" s="191">
        <v>63.736449280000002</v>
      </c>
      <c r="AF55" s="192" t="s">
        <v>160</v>
      </c>
      <c r="AG55" s="193">
        <v>2.5322700000000002E-4</v>
      </c>
      <c r="AH55" s="193">
        <v>0.80528999999999995</v>
      </c>
      <c r="AI55" s="187">
        <f t="shared" si="7"/>
        <v>0.25322700000000004</v>
      </c>
      <c r="AJ55" s="187">
        <f t="shared" si="8"/>
        <v>805.29</v>
      </c>
      <c r="AK55">
        <f t="shared" si="9"/>
        <v>0.25322700000000004</v>
      </c>
      <c r="AL55">
        <f t="shared" si="10"/>
        <v>805.29</v>
      </c>
      <c r="AN55">
        <f t="shared" si="11"/>
        <v>0.37984050000000003</v>
      </c>
      <c r="AO55">
        <f t="shared" si="12"/>
        <v>1207.9349999999999</v>
      </c>
    </row>
    <row r="56" spans="1:41">
      <c r="E56">
        <f t="shared" si="0"/>
        <v>0</v>
      </c>
      <c r="F56">
        <f t="shared" si="1"/>
        <v>0</v>
      </c>
      <c r="G56" s="143">
        <f t="shared" si="2"/>
        <v>0</v>
      </c>
      <c r="Q56" s="191">
        <v>13.12715519</v>
      </c>
      <c r="R56" s="191">
        <v>63.799230729999998</v>
      </c>
      <c r="S56" s="192" t="s">
        <v>166</v>
      </c>
      <c r="T56" s="193">
        <v>7.5078999999999996E-3</v>
      </c>
      <c r="U56" s="193">
        <v>1.0468</v>
      </c>
      <c r="V56" s="187">
        <f t="shared" si="13"/>
        <v>7.5078999999999994</v>
      </c>
      <c r="W56" s="187">
        <f t="shared" si="13"/>
        <v>1046.8</v>
      </c>
      <c r="X56">
        <f t="shared" si="14"/>
        <v>7.5078999999999994</v>
      </c>
      <c r="Y56">
        <f t="shared" si="14"/>
        <v>1046.8</v>
      </c>
      <c r="AA56">
        <f t="shared" si="5"/>
        <v>11.261849999999999</v>
      </c>
      <c r="AB56">
        <f t="shared" si="6"/>
        <v>1570.1999999999998</v>
      </c>
      <c r="AD56" s="191">
        <v>12.721668409999999</v>
      </c>
      <c r="AE56" s="191">
        <v>63.736779980000001</v>
      </c>
      <c r="AF56" s="192" t="s">
        <v>161</v>
      </c>
      <c r="AG56" s="193">
        <v>-1.004845E-2</v>
      </c>
      <c r="AH56" s="193">
        <v>1.0714999999999999</v>
      </c>
      <c r="AI56" s="187">
        <f t="shared" si="7"/>
        <v>-10.048450000000001</v>
      </c>
      <c r="AJ56" s="187">
        <f t="shared" si="8"/>
        <v>1071.5</v>
      </c>
      <c r="AK56">
        <f t="shared" si="9"/>
        <v>10.048450000000001</v>
      </c>
      <c r="AL56">
        <f t="shared" si="10"/>
        <v>1071.5</v>
      </c>
      <c r="AN56">
        <f t="shared" si="11"/>
        <v>15.072675</v>
      </c>
      <c r="AO56">
        <f t="shared" si="12"/>
        <v>1607.25</v>
      </c>
    </row>
    <row r="57" spans="1:41">
      <c r="E57">
        <f t="shared" si="0"/>
        <v>0</v>
      </c>
      <c r="F57">
        <f t="shared" si="1"/>
        <v>0</v>
      </c>
      <c r="G57" s="143">
        <f t="shared" si="2"/>
        <v>0</v>
      </c>
      <c r="Q57">
        <v>13.298516510000001</v>
      </c>
      <c r="R57">
        <v>63.820577960000001</v>
      </c>
      <c r="S57" s="187">
        <v>45272</v>
      </c>
      <c r="T57" s="195">
        <v>7.7685499999999999E-3</v>
      </c>
      <c r="U57" s="195">
        <v>1.032</v>
      </c>
      <c r="V57" s="187">
        <f t="shared" si="13"/>
        <v>7.7685500000000003</v>
      </c>
      <c r="W57" s="187">
        <f t="shared" si="13"/>
        <v>1032</v>
      </c>
      <c r="X57">
        <f t="shared" si="14"/>
        <v>7.7685500000000003</v>
      </c>
      <c r="Y57">
        <f t="shared" si="14"/>
        <v>1032</v>
      </c>
      <c r="AA57">
        <f t="shared" si="5"/>
        <v>11.652825</v>
      </c>
      <c r="AB57">
        <f t="shared" si="6"/>
        <v>1548</v>
      </c>
      <c r="AD57">
        <v>12.940508919999999</v>
      </c>
      <c r="AE57">
        <v>63.775200040000001</v>
      </c>
      <c r="AF57" s="187">
        <v>45276</v>
      </c>
      <c r="AG57" s="195">
        <v>-2.4250999999999999E-3</v>
      </c>
      <c r="AH57" s="195">
        <v>1.071</v>
      </c>
      <c r="AI57" s="187">
        <f t="shared" si="7"/>
        <v>-2.4251</v>
      </c>
      <c r="AJ57" s="187">
        <f t="shared" si="8"/>
        <v>1071</v>
      </c>
      <c r="AK57">
        <f t="shared" si="9"/>
        <v>2.4251</v>
      </c>
      <c r="AL57">
        <f t="shared" si="10"/>
        <v>1071</v>
      </c>
      <c r="AN57">
        <f t="shared" si="11"/>
        <v>3.6376499999999998</v>
      </c>
      <c r="AO57">
        <f t="shared" si="12"/>
        <v>1606.5</v>
      </c>
    </row>
    <row r="58" spans="1:41">
      <c r="E58">
        <f t="shared" si="0"/>
        <v>0</v>
      </c>
      <c r="F58">
        <f t="shared" si="1"/>
        <v>0</v>
      </c>
      <c r="G58" s="143">
        <f t="shared" si="2"/>
        <v>0</v>
      </c>
      <c r="Q58">
        <v>15.5618356</v>
      </c>
      <c r="R58">
        <v>63.842391919999997</v>
      </c>
      <c r="S58" s="187">
        <v>45263</v>
      </c>
      <c r="T58" s="195">
        <v>7.5056000000000005E-4</v>
      </c>
      <c r="U58" s="187">
        <v>0.79122999999999999</v>
      </c>
      <c r="V58" s="187">
        <f t="shared" si="13"/>
        <v>0.75056</v>
      </c>
      <c r="W58" s="187">
        <f t="shared" si="13"/>
        <v>791.23</v>
      </c>
      <c r="X58">
        <f t="shared" si="14"/>
        <v>0.75056</v>
      </c>
      <c r="Y58">
        <f t="shared" si="14"/>
        <v>791.23</v>
      </c>
      <c r="AA58">
        <f t="shared" si="5"/>
        <v>1.12584</v>
      </c>
      <c r="AB58">
        <f t="shared" si="6"/>
        <v>1186.845</v>
      </c>
      <c r="AD58">
        <v>12.9481514</v>
      </c>
      <c r="AE58">
        <v>63.776541770000001</v>
      </c>
      <c r="AF58" s="187">
        <v>45275</v>
      </c>
      <c r="AG58" s="195">
        <v>-8.6729500000000002E-4</v>
      </c>
      <c r="AH58" s="187">
        <v>1.07</v>
      </c>
      <c r="AI58" s="187">
        <f t="shared" si="7"/>
        <v>-0.86729500000000004</v>
      </c>
      <c r="AJ58" s="187">
        <f t="shared" si="8"/>
        <v>1070</v>
      </c>
      <c r="AK58">
        <f t="shared" si="9"/>
        <v>0.86729500000000004</v>
      </c>
      <c r="AL58">
        <f t="shared" si="10"/>
        <v>1070</v>
      </c>
      <c r="AN58">
        <f t="shared" si="11"/>
        <v>1.3009425000000001</v>
      </c>
      <c r="AO58">
        <f t="shared" si="12"/>
        <v>1605</v>
      </c>
    </row>
    <row r="59" spans="1:41">
      <c r="E59">
        <f t="shared" si="0"/>
        <v>0</v>
      </c>
      <c r="F59">
        <f t="shared" si="1"/>
        <v>0</v>
      </c>
      <c r="G59" s="143">
        <f t="shared" si="2"/>
        <v>0</v>
      </c>
      <c r="Q59">
        <v>13.48091936</v>
      </c>
      <c r="R59">
        <v>63.843300679999999</v>
      </c>
      <c r="S59" s="187">
        <v>45271</v>
      </c>
      <c r="T59" s="187">
        <v>3.4399000000000001E-3</v>
      </c>
      <c r="U59" s="187">
        <v>1.0261</v>
      </c>
      <c r="V59" s="187">
        <f t="shared" si="13"/>
        <v>3.4399000000000002</v>
      </c>
      <c r="W59" s="187">
        <f t="shared" si="13"/>
        <v>1026.0999999999999</v>
      </c>
      <c r="X59">
        <f t="shared" si="14"/>
        <v>3.4399000000000002</v>
      </c>
      <c r="Y59">
        <f t="shared" si="14"/>
        <v>1026.0999999999999</v>
      </c>
      <c r="AA59">
        <f t="shared" si="5"/>
        <v>5.1598500000000005</v>
      </c>
      <c r="AB59">
        <f t="shared" si="6"/>
        <v>1539.1499999999999</v>
      </c>
      <c r="AD59">
        <v>16.032785610000001</v>
      </c>
      <c r="AE59">
        <v>63.777615519999998</v>
      </c>
      <c r="AF59" s="187">
        <v>45262</v>
      </c>
      <c r="AG59" s="187">
        <v>-9.8071000000000003E-5</v>
      </c>
      <c r="AH59" s="187">
        <v>0.79391</v>
      </c>
      <c r="AI59" s="187">
        <f t="shared" si="7"/>
        <v>-9.8071000000000005E-2</v>
      </c>
      <c r="AJ59" s="187">
        <f t="shared" si="8"/>
        <v>793.91</v>
      </c>
      <c r="AK59">
        <f t="shared" si="9"/>
        <v>9.8071000000000005E-2</v>
      </c>
      <c r="AL59">
        <f t="shared" si="10"/>
        <v>793.91</v>
      </c>
      <c r="AN59">
        <f t="shared" si="11"/>
        <v>0.1471065</v>
      </c>
      <c r="AO59">
        <f t="shared" si="12"/>
        <v>1190.865</v>
      </c>
    </row>
    <row r="60" spans="1:41">
      <c r="E60">
        <f t="shared" si="0"/>
        <v>0</v>
      </c>
      <c r="F60">
        <f t="shared" si="1"/>
        <v>0</v>
      </c>
      <c r="G60" s="143">
        <f t="shared" si="2"/>
        <v>0</v>
      </c>
      <c r="Q60">
        <v>15.325290620000001</v>
      </c>
      <c r="R60">
        <v>63.865948609999997</v>
      </c>
      <c r="S60" s="187">
        <v>45264</v>
      </c>
      <c r="T60" s="187">
        <v>-2.1142999999999999E-3</v>
      </c>
      <c r="U60" s="187">
        <v>0.82123000000000002</v>
      </c>
      <c r="V60" s="187">
        <f t="shared" si="13"/>
        <v>-2.1143000000000001</v>
      </c>
      <c r="W60" s="187">
        <f t="shared" si="13"/>
        <v>821.23</v>
      </c>
      <c r="X60">
        <f t="shared" si="14"/>
        <v>2.1143000000000001</v>
      </c>
      <c r="Y60">
        <f t="shared" si="14"/>
        <v>821.23</v>
      </c>
      <c r="AA60">
        <f t="shared" si="5"/>
        <v>3.1714500000000001</v>
      </c>
      <c r="AB60">
        <f t="shared" si="6"/>
        <v>1231.845</v>
      </c>
      <c r="AD60">
        <v>12.955793870000001</v>
      </c>
      <c r="AE60">
        <v>63.777883490000001</v>
      </c>
      <c r="AF60" s="187">
        <v>45274</v>
      </c>
      <c r="AG60" s="187">
        <v>3.3374499999999998E-4</v>
      </c>
      <c r="AH60" s="187">
        <v>1.05</v>
      </c>
      <c r="AI60" s="187">
        <f t="shared" si="7"/>
        <v>0.33374499999999996</v>
      </c>
      <c r="AJ60" s="187">
        <f t="shared" si="8"/>
        <v>1050</v>
      </c>
      <c r="AK60">
        <f t="shared" si="9"/>
        <v>0.33374499999999996</v>
      </c>
      <c r="AL60">
        <f t="shared" si="10"/>
        <v>1050</v>
      </c>
      <c r="AN60">
        <f t="shared" si="11"/>
        <v>0.50061749999999994</v>
      </c>
      <c r="AO60">
        <f t="shared" si="12"/>
        <v>1575</v>
      </c>
    </row>
    <row r="61" spans="1:41">
      <c r="E61">
        <f t="shared" si="0"/>
        <v>0</v>
      </c>
      <c r="F61">
        <f t="shared" si="1"/>
        <v>0</v>
      </c>
      <c r="G61" s="143">
        <f t="shared" si="2"/>
        <v>0</v>
      </c>
      <c r="Q61">
        <v>13.66332221</v>
      </c>
      <c r="R61">
        <v>63.866023409999997</v>
      </c>
      <c r="S61" s="187">
        <v>45270</v>
      </c>
      <c r="T61" s="187">
        <v>-2.1291499999999998E-3</v>
      </c>
      <c r="U61" s="187">
        <v>0.99494000000000005</v>
      </c>
      <c r="V61" s="187">
        <f t="shared" si="13"/>
        <v>-2.1291499999999997</v>
      </c>
      <c r="W61" s="187">
        <f t="shared" si="13"/>
        <v>994.94</v>
      </c>
      <c r="X61">
        <f t="shared" si="14"/>
        <v>2.1291499999999997</v>
      </c>
      <c r="Y61">
        <f t="shared" si="14"/>
        <v>994.94</v>
      </c>
      <c r="AA61">
        <f t="shared" si="5"/>
        <v>3.1937249999999997</v>
      </c>
      <c r="AB61">
        <f t="shared" si="6"/>
        <v>1492.41</v>
      </c>
      <c r="AD61">
        <v>13.12715519</v>
      </c>
      <c r="AE61">
        <v>63.799230729999998</v>
      </c>
      <c r="AF61" s="187">
        <v>45273</v>
      </c>
      <c r="AG61" s="187">
        <v>7.4486500000000002E-3</v>
      </c>
      <c r="AH61" s="187">
        <v>1.0425</v>
      </c>
      <c r="AI61" s="187">
        <f t="shared" si="7"/>
        <v>7.4486500000000007</v>
      </c>
      <c r="AJ61" s="187">
        <f t="shared" si="8"/>
        <v>1042.5</v>
      </c>
      <c r="AK61">
        <f t="shared" si="9"/>
        <v>7.4486500000000007</v>
      </c>
      <c r="AL61">
        <f t="shared" si="10"/>
        <v>1042.5</v>
      </c>
      <c r="AN61">
        <f t="shared" si="11"/>
        <v>11.172975000000001</v>
      </c>
      <c r="AO61">
        <f t="shared" si="12"/>
        <v>1563.75</v>
      </c>
    </row>
    <row r="62" spans="1:41">
      <c r="E62">
        <f t="shared" si="0"/>
        <v>0</v>
      </c>
      <c r="F62">
        <f t="shared" si="1"/>
        <v>0</v>
      </c>
      <c r="G62" s="143">
        <f t="shared" si="2"/>
        <v>0</v>
      </c>
      <c r="Q62">
        <v>14.85081048</v>
      </c>
      <c r="R62">
        <v>63.895391109999998</v>
      </c>
      <c r="S62" s="187">
        <v>45265</v>
      </c>
      <c r="T62" s="195">
        <v>1.278155E-3</v>
      </c>
      <c r="U62" s="187">
        <v>0.86902000000000001</v>
      </c>
      <c r="V62" s="187">
        <f t="shared" si="13"/>
        <v>1.2781549999999999</v>
      </c>
      <c r="W62" s="187">
        <f t="shared" si="13"/>
        <v>869.02</v>
      </c>
      <c r="X62">
        <f t="shared" si="14"/>
        <v>1.2781549999999999</v>
      </c>
      <c r="Y62">
        <f t="shared" si="14"/>
        <v>869.02</v>
      </c>
      <c r="AA62">
        <f t="shared" si="5"/>
        <v>1.9172324999999999</v>
      </c>
      <c r="AB62">
        <f t="shared" si="6"/>
        <v>1303.53</v>
      </c>
      <c r="AD62">
        <v>13.298516510000001</v>
      </c>
      <c r="AE62">
        <v>63.820577960000001</v>
      </c>
      <c r="AF62" s="187">
        <v>45272</v>
      </c>
      <c r="AG62" s="195">
        <v>7.8951999999999998E-3</v>
      </c>
      <c r="AH62" s="187">
        <v>1.0259</v>
      </c>
      <c r="AI62" s="187">
        <f t="shared" si="7"/>
        <v>7.8952</v>
      </c>
      <c r="AJ62" s="187">
        <f t="shared" si="8"/>
        <v>1025.9000000000001</v>
      </c>
      <c r="AK62">
        <f t="shared" si="9"/>
        <v>7.8952</v>
      </c>
      <c r="AL62">
        <f t="shared" si="10"/>
        <v>1025.9000000000001</v>
      </c>
      <c r="AN62">
        <f t="shared" si="11"/>
        <v>11.8428</v>
      </c>
      <c r="AO62">
        <f t="shared" si="12"/>
        <v>1538.8500000000001</v>
      </c>
    </row>
    <row r="63" spans="1:41">
      <c r="E63">
        <f t="shared" si="0"/>
        <v>0</v>
      </c>
      <c r="F63">
        <f t="shared" si="1"/>
        <v>0</v>
      </c>
      <c r="G63" s="143">
        <f t="shared" si="2"/>
        <v>0</v>
      </c>
      <c r="Q63">
        <v>14.13780744</v>
      </c>
      <c r="R63">
        <v>63.895411770000003</v>
      </c>
      <c r="S63" s="187">
        <v>45269</v>
      </c>
      <c r="T63" s="187">
        <v>-2.2415500000000001E-3</v>
      </c>
      <c r="U63" s="187">
        <v>0.92900000000000005</v>
      </c>
      <c r="V63" s="187">
        <f t="shared" si="13"/>
        <v>-2.2415500000000002</v>
      </c>
      <c r="W63" s="187">
        <f t="shared" si="13"/>
        <v>929</v>
      </c>
      <c r="X63">
        <f t="shared" si="14"/>
        <v>2.2415500000000002</v>
      </c>
      <c r="Y63">
        <f t="shared" si="14"/>
        <v>929</v>
      </c>
      <c r="AA63">
        <f t="shared" si="5"/>
        <v>3.3623250000000002</v>
      </c>
      <c r="AB63">
        <f t="shared" si="6"/>
        <v>1393.5</v>
      </c>
      <c r="AD63">
        <v>15.5618356</v>
      </c>
      <c r="AE63">
        <v>63.842391919999997</v>
      </c>
      <c r="AF63" s="187">
        <v>45263</v>
      </c>
      <c r="AG63" s="187">
        <v>7.9866500000000005E-4</v>
      </c>
      <c r="AH63" s="187">
        <v>0.78954000000000002</v>
      </c>
      <c r="AI63" s="187">
        <f t="shared" si="7"/>
        <v>0.79866500000000007</v>
      </c>
      <c r="AJ63" s="187">
        <f t="shared" si="8"/>
        <v>789.54</v>
      </c>
      <c r="AK63">
        <f t="shared" si="9"/>
        <v>0.79866500000000007</v>
      </c>
      <c r="AL63">
        <f t="shared" si="10"/>
        <v>789.54</v>
      </c>
      <c r="AN63">
        <f t="shared" si="11"/>
        <v>1.1979975</v>
      </c>
      <c r="AO63">
        <f t="shared" si="12"/>
        <v>1184.31</v>
      </c>
    </row>
    <row r="64" spans="1:41">
      <c r="E64">
        <f t="shared" si="0"/>
        <v>0</v>
      </c>
      <c r="F64">
        <f t="shared" si="1"/>
        <v>0</v>
      </c>
      <c r="G64" s="143">
        <f t="shared" si="2"/>
        <v>0</v>
      </c>
      <c r="Q64">
        <v>14.76536246</v>
      </c>
      <c r="R64">
        <v>63.897509069999998</v>
      </c>
      <c r="S64" s="187">
        <v>45266</v>
      </c>
      <c r="T64" s="187">
        <v>7.5177499999999999E-4</v>
      </c>
      <c r="U64" s="187">
        <v>0.89480999999999999</v>
      </c>
      <c r="V64" s="187">
        <f t="shared" si="13"/>
        <v>0.75177499999999997</v>
      </c>
      <c r="W64" s="187">
        <f t="shared" si="13"/>
        <v>894.81</v>
      </c>
      <c r="X64">
        <f t="shared" si="14"/>
        <v>0.75177499999999997</v>
      </c>
      <c r="Y64">
        <f t="shared" si="14"/>
        <v>894.81</v>
      </c>
      <c r="AA64">
        <f t="shared" si="5"/>
        <v>1.1276625</v>
      </c>
      <c r="AB64">
        <f t="shared" si="6"/>
        <v>1342.2149999999999</v>
      </c>
      <c r="AD64">
        <v>13.48091936</v>
      </c>
      <c r="AE64">
        <v>63.843300679999999</v>
      </c>
      <c r="AF64" s="187">
        <v>45271</v>
      </c>
      <c r="AG64" s="187">
        <v>3.6101000000000002E-3</v>
      </c>
      <c r="AH64" s="187">
        <v>1.0189999999999999</v>
      </c>
      <c r="AI64" s="187">
        <f t="shared" si="7"/>
        <v>3.6101000000000001</v>
      </c>
      <c r="AJ64" s="187">
        <f t="shared" si="8"/>
        <v>1018.9999999999999</v>
      </c>
      <c r="AK64">
        <f t="shared" si="9"/>
        <v>3.6101000000000001</v>
      </c>
      <c r="AL64">
        <f t="shared" si="10"/>
        <v>1018.9999999999999</v>
      </c>
      <c r="AN64">
        <f t="shared" si="11"/>
        <v>5.4151500000000006</v>
      </c>
      <c r="AO64">
        <f t="shared" si="12"/>
        <v>1528.4999999999998</v>
      </c>
    </row>
    <row r="65" spans="5:41">
      <c r="E65">
        <f t="shared" si="0"/>
        <v>0</v>
      </c>
      <c r="F65">
        <f t="shared" si="1"/>
        <v>0</v>
      </c>
      <c r="G65" s="143">
        <f t="shared" si="2"/>
        <v>0</v>
      </c>
      <c r="Q65">
        <v>14.613167669999999</v>
      </c>
      <c r="R65">
        <v>63.90128146</v>
      </c>
      <c r="S65" s="187">
        <v>45267</v>
      </c>
      <c r="T65" s="187">
        <v>-1.2058500000000001E-3</v>
      </c>
      <c r="U65" s="187">
        <v>0.90491999999999995</v>
      </c>
      <c r="V65" s="187">
        <f t="shared" si="13"/>
        <v>-1.2058500000000001</v>
      </c>
      <c r="W65" s="187">
        <f t="shared" si="13"/>
        <v>904.92</v>
      </c>
      <c r="X65">
        <f t="shared" si="14"/>
        <v>1.2058500000000001</v>
      </c>
      <c r="Y65">
        <f t="shared" si="14"/>
        <v>904.92</v>
      </c>
      <c r="AA65">
        <f t="shared" si="5"/>
        <v>1.8087750000000002</v>
      </c>
      <c r="AB65">
        <f t="shared" si="6"/>
        <v>1357.3799999999999</v>
      </c>
      <c r="AD65">
        <v>15.325290620000001</v>
      </c>
      <c r="AE65">
        <v>63.865948609999997</v>
      </c>
      <c r="AF65" s="187">
        <v>45264</v>
      </c>
      <c r="AG65" s="187">
        <v>-2.0214E-3</v>
      </c>
      <c r="AH65" s="187">
        <v>0.81374000000000002</v>
      </c>
      <c r="AI65" s="187">
        <f t="shared" si="7"/>
        <v>-2.0213999999999999</v>
      </c>
      <c r="AJ65" s="187">
        <f t="shared" si="8"/>
        <v>813.74</v>
      </c>
      <c r="AK65">
        <f t="shared" si="9"/>
        <v>2.0213999999999999</v>
      </c>
      <c r="AL65">
        <f t="shared" si="10"/>
        <v>813.74</v>
      </c>
      <c r="AN65">
        <f t="shared" si="11"/>
        <v>3.0320999999999998</v>
      </c>
      <c r="AO65">
        <f t="shared" si="12"/>
        <v>1220.6100000000001</v>
      </c>
    </row>
    <row r="66" spans="5:41">
      <c r="E66">
        <f t="shared" si="0"/>
        <v>0</v>
      </c>
      <c r="F66">
        <f t="shared" si="1"/>
        <v>0</v>
      </c>
      <c r="G66" s="143">
        <f t="shared" si="2"/>
        <v>0</v>
      </c>
      <c r="Q66">
        <v>14.375451269999999</v>
      </c>
      <c r="R66">
        <v>63.901287590000003</v>
      </c>
      <c r="S66" s="187">
        <v>45268</v>
      </c>
      <c r="T66" s="187">
        <v>4.3417999999999999E-4</v>
      </c>
      <c r="U66" s="187">
        <v>0.91249000000000002</v>
      </c>
      <c r="V66" s="187">
        <f t="shared" si="13"/>
        <v>0.43418000000000001</v>
      </c>
      <c r="W66" s="187">
        <f t="shared" si="13"/>
        <v>912.49</v>
      </c>
      <c r="X66">
        <f t="shared" si="14"/>
        <v>0.43418000000000001</v>
      </c>
      <c r="Y66">
        <f t="shared" si="14"/>
        <v>912.49</v>
      </c>
      <c r="AA66">
        <f t="shared" si="5"/>
        <v>0.65127000000000002</v>
      </c>
      <c r="AB66">
        <f t="shared" si="6"/>
        <v>1368.7350000000001</v>
      </c>
      <c r="AD66">
        <v>13.66332221</v>
      </c>
      <c r="AE66">
        <v>63.866023409999997</v>
      </c>
      <c r="AF66" s="187">
        <v>45270</v>
      </c>
      <c r="AG66" s="187">
        <v>-1.95605E-3</v>
      </c>
      <c r="AH66" s="187">
        <v>0.98446999999999996</v>
      </c>
      <c r="AI66" s="187">
        <f t="shared" si="7"/>
        <v>-1.9560500000000001</v>
      </c>
      <c r="AJ66" s="187">
        <f t="shared" si="8"/>
        <v>984.46999999999991</v>
      </c>
      <c r="AK66">
        <f t="shared" si="9"/>
        <v>1.9560500000000001</v>
      </c>
      <c r="AL66">
        <f t="shared" si="10"/>
        <v>984.46999999999991</v>
      </c>
      <c r="AN66">
        <f t="shared" si="11"/>
        <v>2.934075</v>
      </c>
      <c r="AO66">
        <f t="shared" si="12"/>
        <v>1476.7049999999999</v>
      </c>
    </row>
    <row r="67" spans="5:41">
      <c r="E67">
        <f t="shared" si="0"/>
        <v>0</v>
      </c>
      <c r="F67">
        <f t="shared" si="1"/>
        <v>0</v>
      </c>
      <c r="G67" s="143">
        <f t="shared" si="2"/>
        <v>0</v>
      </c>
      <c r="AD67">
        <v>14.85081048</v>
      </c>
      <c r="AE67">
        <v>63.895391109999998</v>
      </c>
      <c r="AF67" s="187">
        <v>45265</v>
      </c>
      <c r="AG67" s="187">
        <v>1.4539049999999999E-3</v>
      </c>
      <c r="AH67" s="187">
        <v>0.85589000000000004</v>
      </c>
      <c r="AI67" s="187">
        <f t="shared" ref="AI67:AI71" si="15">AG67*1000</f>
        <v>1.453905</v>
      </c>
      <c r="AJ67" s="187">
        <f t="shared" ref="AJ67:AJ71" si="16">AH67*1000</f>
        <v>855.89</v>
      </c>
      <c r="AK67">
        <f t="shared" ref="AK67:AK71" si="17">ABS(AI67)</f>
        <v>1.453905</v>
      </c>
      <c r="AL67">
        <f t="shared" ref="AL67:AL71" si="18">ABS(AJ67)</f>
        <v>855.89</v>
      </c>
      <c r="AN67">
        <f t="shared" ref="AN67:AN71" si="19">AK67*1.5</f>
        <v>2.1808575000000001</v>
      </c>
      <c r="AO67">
        <f t="shared" ref="AO67:AO71" si="20">AL67*1.5</f>
        <v>1283.835</v>
      </c>
    </row>
    <row r="68" spans="5:41">
      <c r="E68">
        <f t="shared" si="0"/>
        <v>0</v>
      </c>
      <c r="F68">
        <f t="shared" si="1"/>
        <v>0</v>
      </c>
      <c r="G68" s="143">
        <f t="shared" si="2"/>
        <v>0</v>
      </c>
      <c r="AD68">
        <v>14.13780744</v>
      </c>
      <c r="AE68">
        <v>63.895411770000003</v>
      </c>
      <c r="AF68" s="187">
        <v>45269</v>
      </c>
      <c r="AG68" s="187">
        <v>-2.1413500000000002E-3</v>
      </c>
      <c r="AH68" s="187">
        <v>0.91478999999999999</v>
      </c>
      <c r="AI68" s="187">
        <f t="shared" si="15"/>
        <v>-2.1413500000000001</v>
      </c>
      <c r="AJ68" s="187">
        <f t="shared" si="16"/>
        <v>914.79</v>
      </c>
      <c r="AK68">
        <f t="shared" si="17"/>
        <v>2.1413500000000001</v>
      </c>
      <c r="AL68">
        <f t="shared" si="18"/>
        <v>914.79</v>
      </c>
      <c r="AN68">
        <f t="shared" si="19"/>
        <v>3.2120250000000001</v>
      </c>
      <c r="AO68">
        <f t="shared" si="20"/>
        <v>1372.1849999999999</v>
      </c>
    </row>
    <row r="69" spans="5:41">
      <c r="E69">
        <f t="shared" ref="E69:E113" si="21">B69*$A$2</f>
        <v>0</v>
      </c>
      <c r="F69">
        <f t="shared" ref="F69:F113" si="22">C69*$A$2</f>
        <v>0</v>
      </c>
      <c r="G69" s="143">
        <f t="shared" ref="G69:G113" si="23">D69*$A$2</f>
        <v>0</v>
      </c>
      <c r="AD69">
        <v>14.76536246</v>
      </c>
      <c r="AE69">
        <v>63.897509069999998</v>
      </c>
      <c r="AF69" s="187">
        <v>45266</v>
      </c>
      <c r="AG69" s="187">
        <v>9.2822499999999997E-4</v>
      </c>
      <c r="AH69" s="187">
        <v>0.87844</v>
      </c>
      <c r="AI69" s="187">
        <f t="shared" si="15"/>
        <v>0.92822499999999997</v>
      </c>
      <c r="AJ69" s="187">
        <f t="shared" si="16"/>
        <v>878.44</v>
      </c>
      <c r="AK69">
        <f t="shared" si="17"/>
        <v>0.92822499999999997</v>
      </c>
      <c r="AL69">
        <f t="shared" si="18"/>
        <v>878.44</v>
      </c>
      <c r="AN69">
        <f t="shared" si="19"/>
        <v>1.3923375</v>
      </c>
      <c r="AO69">
        <f t="shared" si="20"/>
        <v>1317.66</v>
      </c>
    </row>
    <row r="70" spans="5:41">
      <c r="E70">
        <f t="shared" si="21"/>
        <v>0</v>
      </c>
      <c r="F70">
        <f t="shared" si="22"/>
        <v>0</v>
      </c>
      <c r="G70" s="143">
        <f t="shared" si="23"/>
        <v>0</v>
      </c>
      <c r="AD70">
        <v>14.613167669999999</v>
      </c>
      <c r="AE70">
        <v>63.90128146</v>
      </c>
      <c r="AF70" s="187">
        <v>45267</v>
      </c>
      <c r="AG70" s="187">
        <v>-1.0943750000000001E-3</v>
      </c>
      <c r="AH70" s="187">
        <v>0.88819999999999999</v>
      </c>
      <c r="AI70" s="187">
        <f t="shared" si="15"/>
        <v>-1.0943750000000001</v>
      </c>
      <c r="AJ70" s="187">
        <f t="shared" si="16"/>
        <v>888.2</v>
      </c>
      <c r="AK70">
        <f t="shared" si="17"/>
        <v>1.0943750000000001</v>
      </c>
      <c r="AL70">
        <f t="shared" si="18"/>
        <v>888.2</v>
      </c>
      <c r="AN70">
        <f t="shared" si="19"/>
        <v>1.6415625</v>
      </c>
      <c r="AO70">
        <f t="shared" si="20"/>
        <v>1332.3000000000002</v>
      </c>
    </row>
    <row r="71" spans="5:41">
      <c r="E71">
        <f t="shared" si="21"/>
        <v>0</v>
      </c>
      <c r="F71">
        <f t="shared" si="22"/>
        <v>0</v>
      </c>
      <c r="G71" s="143">
        <f t="shared" si="23"/>
        <v>0</v>
      </c>
      <c r="AD71">
        <v>14.375451269999999</v>
      </c>
      <c r="AE71">
        <v>63.901287590000003</v>
      </c>
      <c r="AF71" s="187">
        <v>45268</v>
      </c>
      <c r="AG71" s="187">
        <v>5.1487799999999997E-4</v>
      </c>
      <c r="AH71" s="187">
        <v>0.89661999999999997</v>
      </c>
      <c r="AI71" s="187">
        <f t="shared" si="15"/>
        <v>0.51487799999999995</v>
      </c>
      <c r="AJ71" s="187">
        <f t="shared" si="16"/>
        <v>896.62</v>
      </c>
      <c r="AK71">
        <f t="shared" si="17"/>
        <v>0.51487799999999995</v>
      </c>
      <c r="AL71">
        <f t="shared" si="18"/>
        <v>896.62</v>
      </c>
      <c r="AN71">
        <f t="shared" si="19"/>
        <v>0.77231699999999992</v>
      </c>
      <c r="AO71">
        <f t="shared" si="20"/>
        <v>1344.93</v>
      </c>
    </row>
    <row r="72" spans="5:41">
      <c r="E72">
        <f t="shared" si="21"/>
        <v>0</v>
      </c>
      <c r="F72">
        <f t="shared" si="22"/>
        <v>0</v>
      </c>
      <c r="G72" s="143">
        <f t="shared" si="23"/>
        <v>0</v>
      </c>
    </row>
    <row r="73" spans="5:41">
      <c r="E73">
        <f t="shared" si="21"/>
        <v>0</v>
      </c>
      <c r="F73">
        <f t="shared" si="22"/>
        <v>0</v>
      </c>
      <c r="G73" s="143">
        <f t="shared" si="23"/>
        <v>0</v>
      </c>
    </row>
    <row r="74" spans="5:41">
      <c r="E74">
        <f t="shared" si="21"/>
        <v>0</v>
      </c>
      <c r="F74">
        <f t="shared" si="22"/>
        <v>0</v>
      </c>
      <c r="G74" s="143">
        <f t="shared" si="23"/>
        <v>0</v>
      </c>
    </row>
    <row r="75" spans="5:41">
      <c r="E75">
        <f t="shared" si="21"/>
        <v>0</v>
      </c>
      <c r="F75">
        <f t="shared" si="22"/>
        <v>0</v>
      </c>
      <c r="G75" s="143">
        <f t="shared" si="23"/>
        <v>0</v>
      </c>
    </row>
    <row r="76" spans="5:41">
      <c r="E76">
        <f t="shared" si="21"/>
        <v>0</v>
      </c>
      <c r="F76">
        <f t="shared" si="22"/>
        <v>0</v>
      </c>
      <c r="G76" s="143">
        <f t="shared" si="23"/>
        <v>0</v>
      </c>
      <c r="V76" s="195"/>
      <c r="AI76" s="195"/>
    </row>
    <row r="77" spans="5:41">
      <c r="E77">
        <f t="shared" si="21"/>
        <v>0</v>
      </c>
      <c r="F77">
        <f t="shared" si="22"/>
        <v>0</v>
      </c>
      <c r="G77" s="143">
        <f t="shared" si="23"/>
        <v>0</v>
      </c>
      <c r="T77" s="195"/>
      <c r="AG77" s="195"/>
    </row>
    <row r="78" spans="5:41">
      <c r="E78">
        <f t="shared" si="21"/>
        <v>0</v>
      </c>
      <c r="F78">
        <f t="shared" si="22"/>
        <v>0</v>
      </c>
      <c r="G78" s="143">
        <f t="shared" si="23"/>
        <v>0</v>
      </c>
    </row>
    <row r="79" spans="5:41">
      <c r="E79">
        <f t="shared" si="21"/>
        <v>0</v>
      </c>
      <c r="F79">
        <f t="shared" si="22"/>
        <v>0</v>
      </c>
      <c r="G79" s="143">
        <f t="shared" si="23"/>
        <v>0</v>
      </c>
      <c r="U79" s="195"/>
      <c r="V79" s="195"/>
      <c r="AH79" s="195"/>
      <c r="AI79" s="195"/>
    </row>
    <row r="80" spans="5:41">
      <c r="E80">
        <f t="shared" si="21"/>
        <v>0</v>
      </c>
      <c r="F80">
        <f t="shared" si="22"/>
        <v>0</v>
      </c>
      <c r="G80" s="143">
        <f t="shared" si="23"/>
        <v>0</v>
      </c>
      <c r="T80" s="195"/>
      <c r="V80" s="195"/>
      <c r="AG80" s="195"/>
      <c r="AI80" s="195"/>
    </row>
    <row r="81" spans="5:35">
      <c r="E81">
        <f t="shared" si="21"/>
        <v>0</v>
      </c>
      <c r="F81">
        <f t="shared" si="22"/>
        <v>0</v>
      </c>
      <c r="G81" s="143">
        <f t="shared" si="23"/>
        <v>0</v>
      </c>
      <c r="T81" s="195"/>
      <c r="AG81" s="195"/>
    </row>
    <row r="82" spans="5:35">
      <c r="E82">
        <f t="shared" si="21"/>
        <v>0</v>
      </c>
      <c r="F82">
        <f t="shared" si="22"/>
        <v>0</v>
      </c>
      <c r="G82" s="143">
        <f t="shared" si="23"/>
        <v>0</v>
      </c>
    </row>
    <row r="83" spans="5:35">
      <c r="E83">
        <f t="shared" si="21"/>
        <v>0</v>
      </c>
      <c r="F83">
        <f t="shared" si="22"/>
        <v>0</v>
      </c>
      <c r="G83" s="143">
        <f t="shared" si="23"/>
        <v>0</v>
      </c>
    </row>
    <row r="84" spans="5:35">
      <c r="E84">
        <f t="shared" si="21"/>
        <v>0</v>
      </c>
      <c r="F84">
        <f t="shared" si="22"/>
        <v>0</v>
      </c>
      <c r="G84" s="143">
        <f t="shared" si="23"/>
        <v>0</v>
      </c>
      <c r="U84" s="195"/>
      <c r="AH84" s="195"/>
    </row>
    <row r="85" spans="5:35">
      <c r="E85">
        <f t="shared" si="21"/>
        <v>0</v>
      </c>
      <c r="F85">
        <f t="shared" si="22"/>
        <v>0</v>
      </c>
      <c r="G85" s="143">
        <f t="shared" si="23"/>
        <v>0</v>
      </c>
    </row>
    <row r="86" spans="5:35">
      <c r="E86">
        <f t="shared" si="21"/>
        <v>0</v>
      </c>
      <c r="F86">
        <f t="shared" si="22"/>
        <v>0</v>
      </c>
      <c r="G86" s="143">
        <f t="shared" si="23"/>
        <v>0</v>
      </c>
      <c r="U86" s="195"/>
      <c r="V86" s="195"/>
      <c r="AH86" s="195"/>
      <c r="AI86" s="195"/>
    </row>
    <row r="87" spans="5:35">
      <c r="E87">
        <f t="shared" si="21"/>
        <v>0</v>
      </c>
      <c r="F87">
        <f t="shared" si="22"/>
        <v>0</v>
      </c>
      <c r="G87" s="143">
        <f t="shared" si="23"/>
        <v>0</v>
      </c>
      <c r="T87" s="195"/>
      <c r="U87" s="195"/>
      <c r="V87" s="195"/>
      <c r="AG87" s="195"/>
      <c r="AH87" s="195"/>
      <c r="AI87" s="195"/>
    </row>
    <row r="88" spans="5:35">
      <c r="E88">
        <f t="shared" si="21"/>
        <v>0</v>
      </c>
      <c r="F88">
        <f t="shared" si="22"/>
        <v>0</v>
      </c>
      <c r="G88" s="143">
        <f t="shared" si="23"/>
        <v>0</v>
      </c>
      <c r="T88" s="195"/>
      <c r="V88" s="195"/>
      <c r="AG88" s="195"/>
      <c r="AI88" s="195"/>
    </row>
    <row r="89" spans="5:35">
      <c r="E89">
        <f t="shared" si="21"/>
        <v>0</v>
      </c>
      <c r="F89">
        <f t="shared" si="22"/>
        <v>0</v>
      </c>
      <c r="G89" s="143">
        <f t="shared" si="23"/>
        <v>0</v>
      </c>
      <c r="T89" s="195"/>
      <c r="AG89" s="195"/>
    </row>
    <row r="90" spans="5:35">
      <c r="E90">
        <f t="shared" si="21"/>
        <v>0</v>
      </c>
      <c r="F90">
        <f t="shared" si="22"/>
        <v>0</v>
      </c>
      <c r="G90" s="143">
        <f t="shared" si="23"/>
        <v>0</v>
      </c>
    </row>
    <row r="91" spans="5:35">
      <c r="E91">
        <f t="shared" si="21"/>
        <v>0</v>
      </c>
      <c r="F91">
        <f t="shared" si="22"/>
        <v>0</v>
      </c>
      <c r="G91" s="143">
        <f t="shared" si="23"/>
        <v>0</v>
      </c>
      <c r="V91" s="195"/>
      <c r="AI91" s="195"/>
    </row>
    <row r="92" spans="5:35">
      <c r="E92">
        <f t="shared" si="21"/>
        <v>0</v>
      </c>
      <c r="F92">
        <f t="shared" si="22"/>
        <v>0</v>
      </c>
      <c r="G92" s="143">
        <f t="shared" si="23"/>
        <v>0</v>
      </c>
      <c r="T92" s="195"/>
      <c r="AG92" s="195"/>
    </row>
    <row r="93" spans="5:35">
      <c r="E93">
        <f t="shared" si="21"/>
        <v>0</v>
      </c>
      <c r="F93">
        <f t="shared" si="22"/>
        <v>0</v>
      </c>
      <c r="G93" s="143">
        <f t="shared" si="23"/>
        <v>0</v>
      </c>
    </row>
    <row r="94" spans="5:35">
      <c r="E94">
        <f t="shared" si="21"/>
        <v>0</v>
      </c>
      <c r="F94">
        <f t="shared" si="22"/>
        <v>0</v>
      </c>
      <c r="G94" s="143">
        <f t="shared" si="23"/>
        <v>0</v>
      </c>
    </row>
    <row r="95" spans="5:35">
      <c r="E95">
        <f t="shared" si="21"/>
        <v>0</v>
      </c>
      <c r="F95">
        <f t="shared" si="22"/>
        <v>0</v>
      </c>
      <c r="G95" s="143">
        <f t="shared" si="23"/>
        <v>0</v>
      </c>
    </row>
    <row r="96" spans="5:35">
      <c r="E96">
        <f t="shared" si="21"/>
        <v>0</v>
      </c>
      <c r="F96">
        <f t="shared" si="22"/>
        <v>0</v>
      </c>
      <c r="G96" s="143">
        <f t="shared" si="23"/>
        <v>0</v>
      </c>
    </row>
    <row r="97" spans="5:36">
      <c r="E97">
        <f t="shared" si="21"/>
        <v>0</v>
      </c>
      <c r="F97">
        <f t="shared" si="22"/>
        <v>0</v>
      </c>
      <c r="G97" s="143">
        <f t="shared" si="23"/>
        <v>0</v>
      </c>
      <c r="V97" s="195"/>
      <c r="AI97" s="195"/>
    </row>
    <row r="98" spans="5:36">
      <c r="E98">
        <f t="shared" si="21"/>
        <v>0</v>
      </c>
      <c r="F98">
        <f t="shared" si="22"/>
        <v>0</v>
      </c>
      <c r="G98" s="143">
        <f t="shared" si="23"/>
        <v>0</v>
      </c>
      <c r="T98" s="195"/>
      <c r="AG98" s="195"/>
    </row>
    <row r="99" spans="5:36">
      <c r="E99">
        <f t="shared" si="21"/>
        <v>0</v>
      </c>
      <c r="F99">
        <f t="shared" si="22"/>
        <v>0</v>
      </c>
      <c r="G99" s="143">
        <f t="shared" si="23"/>
        <v>0</v>
      </c>
    </row>
    <row r="100" spans="5:36">
      <c r="E100">
        <f t="shared" si="21"/>
        <v>0</v>
      </c>
      <c r="F100">
        <f t="shared" si="22"/>
        <v>0</v>
      </c>
      <c r="G100" s="143">
        <f t="shared" si="23"/>
        <v>0</v>
      </c>
    </row>
    <row r="101" spans="5:36">
      <c r="E101">
        <f t="shared" si="21"/>
        <v>0</v>
      </c>
      <c r="F101">
        <f t="shared" si="22"/>
        <v>0</v>
      </c>
      <c r="G101" s="143">
        <f t="shared" si="23"/>
        <v>0</v>
      </c>
      <c r="V101" s="195"/>
      <c r="AI101" s="195"/>
    </row>
    <row r="102" spans="5:36">
      <c r="E102">
        <f t="shared" si="21"/>
        <v>0</v>
      </c>
      <c r="F102">
        <f t="shared" si="22"/>
        <v>0</v>
      </c>
      <c r="G102" s="143">
        <f t="shared" si="23"/>
        <v>0</v>
      </c>
      <c r="T102" s="195"/>
      <c r="W102" s="195"/>
      <c r="AG102" s="195"/>
      <c r="AJ102" s="195"/>
    </row>
    <row r="103" spans="5:36">
      <c r="E103">
        <f t="shared" si="21"/>
        <v>0</v>
      </c>
      <c r="F103">
        <f t="shared" si="22"/>
        <v>0</v>
      </c>
      <c r="G103" s="143">
        <f t="shared" si="23"/>
        <v>0</v>
      </c>
      <c r="V103" s="195"/>
      <c r="AI103" s="195"/>
    </row>
    <row r="104" spans="5:36">
      <c r="E104">
        <f t="shared" si="21"/>
        <v>0</v>
      </c>
      <c r="F104">
        <f t="shared" si="22"/>
        <v>0</v>
      </c>
      <c r="G104" s="143">
        <f t="shared" si="23"/>
        <v>0</v>
      </c>
      <c r="T104" s="195"/>
      <c r="AG104" s="195"/>
    </row>
    <row r="105" spans="5:36">
      <c r="E105">
        <f t="shared" si="21"/>
        <v>0</v>
      </c>
      <c r="F105">
        <f t="shared" si="22"/>
        <v>0</v>
      </c>
      <c r="G105" s="143">
        <f t="shared" si="23"/>
        <v>0</v>
      </c>
    </row>
    <row r="106" spans="5:36">
      <c r="E106">
        <f t="shared" si="21"/>
        <v>0</v>
      </c>
      <c r="F106">
        <f t="shared" si="22"/>
        <v>0</v>
      </c>
      <c r="G106" s="143">
        <f t="shared" si="23"/>
        <v>0</v>
      </c>
      <c r="U106" s="195"/>
      <c r="AH106" s="195"/>
    </row>
    <row r="107" spans="5:36">
      <c r="E107">
        <f t="shared" si="21"/>
        <v>0</v>
      </c>
      <c r="F107">
        <f t="shared" si="22"/>
        <v>0</v>
      </c>
      <c r="G107" s="143">
        <f t="shared" si="23"/>
        <v>0</v>
      </c>
    </row>
    <row r="108" spans="5:36">
      <c r="E108">
        <f t="shared" si="21"/>
        <v>0</v>
      </c>
      <c r="F108">
        <f t="shared" si="22"/>
        <v>0</v>
      </c>
      <c r="G108" s="143">
        <f t="shared" si="23"/>
        <v>0</v>
      </c>
    </row>
    <row r="109" spans="5:36">
      <c r="E109">
        <f t="shared" si="21"/>
        <v>0</v>
      </c>
      <c r="F109">
        <f t="shared" si="22"/>
        <v>0</v>
      </c>
      <c r="G109" s="143">
        <f t="shared" si="23"/>
        <v>0</v>
      </c>
    </row>
    <row r="110" spans="5:36">
      <c r="E110">
        <f t="shared" si="21"/>
        <v>0</v>
      </c>
      <c r="F110">
        <f t="shared" si="22"/>
        <v>0</v>
      </c>
      <c r="G110" s="143">
        <f t="shared" si="23"/>
        <v>0</v>
      </c>
    </row>
    <row r="111" spans="5:36">
      <c r="E111">
        <f t="shared" si="21"/>
        <v>0</v>
      </c>
      <c r="F111">
        <f t="shared" si="22"/>
        <v>0</v>
      </c>
      <c r="G111" s="143">
        <f t="shared" si="23"/>
        <v>0</v>
      </c>
    </row>
    <row r="112" spans="5:36">
      <c r="E112">
        <f t="shared" si="21"/>
        <v>0</v>
      </c>
      <c r="F112">
        <f t="shared" si="22"/>
        <v>0</v>
      </c>
      <c r="G112" s="143">
        <f t="shared" si="23"/>
        <v>0</v>
      </c>
    </row>
    <row r="113" spans="5:36">
      <c r="E113">
        <f t="shared" si="21"/>
        <v>0</v>
      </c>
      <c r="F113">
        <f t="shared" si="22"/>
        <v>0</v>
      </c>
      <c r="G113" s="143">
        <f t="shared" si="23"/>
        <v>0</v>
      </c>
      <c r="V113" s="195"/>
      <c r="AI113" s="195"/>
    </row>
    <row r="114" spans="5:36">
      <c r="T114" s="195"/>
      <c r="AG114" s="195"/>
    </row>
    <row r="118" spans="5:36">
      <c r="U118" s="195"/>
      <c r="V118" s="195"/>
      <c r="AH118" s="195"/>
      <c r="AI118" s="195"/>
    </row>
    <row r="119" spans="5:36">
      <c r="T119" s="195"/>
      <c r="AG119" s="195"/>
    </row>
    <row r="121" spans="5:36">
      <c r="W121" s="195"/>
      <c r="AJ121" s="195"/>
    </row>
    <row r="122" spans="5:36">
      <c r="U122" s="195"/>
      <c r="V122" s="195"/>
      <c r="W122" s="195"/>
      <c r="AH122" s="195"/>
      <c r="AI122" s="195"/>
      <c r="AJ122" s="195"/>
    </row>
    <row r="123" spans="5:36">
      <c r="T123" s="195"/>
      <c r="U123" s="195"/>
      <c r="V123" s="195"/>
      <c r="W123" s="195"/>
      <c r="AG123" s="195"/>
      <c r="AH123" s="195"/>
      <c r="AI123" s="195"/>
      <c r="AJ123" s="195"/>
    </row>
    <row r="124" spans="5:36">
      <c r="T124" s="195"/>
      <c r="U124" s="195"/>
      <c r="AG124" s="195"/>
      <c r="AH124" s="195"/>
    </row>
    <row r="126" spans="5:36">
      <c r="U126" s="195"/>
      <c r="V126" s="195"/>
      <c r="AH126" s="195"/>
      <c r="AI126" s="195"/>
    </row>
    <row r="127" spans="5:36">
      <c r="T127" s="195"/>
      <c r="U127" s="195"/>
      <c r="W127" s="195"/>
      <c r="AG127" s="195"/>
      <c r="AH127" s="195"/>
      <c r="AJ127" s="195"/>
    </row>
    <row r="128" spans="5:36">
      <c r="U128" s="195"/>
      <c r="AH128" s="195"/>
    </row>
    <row r="130" spans="19:36">
      <c r="U130" s="195"/>
      <c r="V130" s="195"/>
      <c r="AH130" s="195"/>
      <c r="AI130" s="195"/>
    </row>
    <row r="131" spans="19:36">
      <c r="T131" s="195"/>
      <c r="V131" s="195"/>
      <c r="AG131" s="195"/>
      <c r="AI131" s="195"/>
    </row>
    <row r="132" spans="19:36">
      <c r="T132" s="195"/>
      <c r="V132" s="195"/>
      <c r="AG132" s="195"/>
      <c r="AI132" s="195"/>
    </row>
    <row r="133" spans="19:36">
      <c r="T133" s="195"/>
      <c r="U133" s="195"/>
      <c r="V133" s="195"/>
      <c r="W133" s="195"/>
      <c r="AG133" s="195"/>
      <c r="AH133" s="195"/>
      <c r="AI133" s="195"/>
      <c r="AJ133" s="195"/>
    </row>
    <row r="134" spans="19:36">
      <c r="S134" s="195"/>
      <c r="T134" s="195"/>
      <c r="U134" s="195"/>
      <c r="V134" s="195"/>
      <c r="W134" s="195"/>
      <c r="AF134" s="195"/>
      <c r="AG134" s="195"/>
      <c r="AH134" s="195"/>
      <c r="AI134" s="195"/>
      <c r="AJ134" s="195"/>
    </row>
    <row r="135" spans="19:36">
      <c r="T135" s="195"/>
      <c r="U135" s="195"/>
      <c r="V135" s="195"/>
      <c r="AG135" s="195"/>
      <c r="AH135" s="195"/>
      <c r="AI135" s="195"/>
    </row>
    <row r="136" spans="19:36">
      <c r="T136" s="195"/>
      <c r="AG136" s="195"/>
    </row>
  </sheetData>
  <mergeCells count="8">
    <mergeCell ref="AA2:AB2"/>
    <mergeCell ref="AN2:AO2"/>
    <mergeCell ref="B2:D2"/>
    <mergeCell ref="B1:G1"/>
    <mergeCell ref="E2:G2"/>
    <mergeCell ref="H1:M1"/>
    <mergeCell ref="H2:J2"/>
    <mergeCell ref="K2:M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bde63af-7d40-456b-8f37-78fb516ca947">SMWSTCTP-152972749-265157</_dlc_DocId>
    <_dlc_DocIdUrl xmlns="cbde63af-7d40-456b-8f37-78fb516ca947">
      <Url>https://jacobsengineering.sharepoint.com/sites/CP_SMWCTPDetailedDesign/_layouts/15/DocIdRedir.aspx?ID=SMWSTCTP-152972749-265157</Url>
      <Description>SMWSTCTP-152972749-265157</Description>
    </_dlc_DocIdUrl>
    <Notes xmlns="c4fd32be-39c3-41d8-90dc-71a5ac8b93d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B7C6A2FE0F8E49AD905AA238B476F1" ma:contentTypeVersion="14" ma:contentTypeDescription="Create a new document." ma:contentTypeScope="" ma:versionID="06525e865d887fb11f433f613e08c18e">
  <xsd:schema xmlns:xsd="http://www.w3.org/2001/XMLSchema" xmlns:xs="http://www.w3.org/2001/XMLSchema" xmlns:p="http://schemas.microsoft.com/office/2006/metadata/properties" xmlns:ns2="c4fd32be-39c3-41d8-90dc-71a5ac8b93d2" xmlns:ns3="cbde63af-7d40-456b-8f37-78fb516ca947" targetNamespace="http://schemas.microsoft.com/office/2006/metadata/properties" ma:root="true" ma:fieldsID="e1194eeca91ef107f122118de07469b2" ns2:_="" ns3:_="">
    <xsd:import namespace="c4fd32be-39c3-41d8-90dc-71a5ac8b93d2"/>
    <xsd:import namespace="cbde63af-7d40-456b-8f37-78fb516ca9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Notes" minOccurs="0"/>
                <xsd:element ref="ns3:_dlc_DocId" minOccurs="0"/>
                <xsd:element ref="ns3:_dlc_DocIdUrl" minOccurs="0"/>
                <xsd:element ref="ns3:_dlc_DocIdPersistId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d32be-39c3-41d8-90dc-71a5ac8b93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de63af-7d40-456b-8f37-78fb516ca94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61D6DEC-C774-43C0-8CB0-1FC844D110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AA2FAC-6535-4834-9495-18001C2D0946}">
  <ds:schemaRefs>
    <ds:schemaRef ds:uri="http://schemas.microsoft.com/office/2006/metadata/properties"/>
    <ds:schemaRef ds:uri="http://schemas.microsoft.com/office/infopath/2007/PartnerControls"/>
    <ds:schemaRef ds:uri="cbde63af-7d40-456b-8f37-78fb516ca947"/>
    <ds:schemaRef ds:uri="c4fd32be-39c3-41d8-90dc-71a5ac8b93d2"/>
  </ds:schemaRefs>
</ds:datastoreItem>
</file>

<file path=customXml/itemProps3.xml><?xml version="1.0" encoding="utf-8"?>
<ds:datastoreItem xmlns:ds="http://schemas.openxmlformats.org/officeDocument/2006/customXml" ds:itemID="{C1E00BFE-E143-4998-8716-7C48008221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d32be-39c3-41d8-90dc-71a5ac8b93d2"/>
    <ds:schemaRef ds:uri="cbde63af-7d40-456b-8f37-78fb516ca9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2180B07-0897-419A-9A7F-0168B48D55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BM</vt:lpstr>
      <vt:lpstr>SF</vt:lpstr>
      <vt:lpstr>Results (ULS)</vt:lpstr>
      <vt:lpstr>D</vt:lpstr>
      <vt:lpstr>BM!Print_Area</vt:lpstr>
      <vt:lpstr>SF!Print_Area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2024-06-10T23:51:13Z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0x0101006EB7C6A2FE0F8E49AD905AA238B476F1</vt:lpwstr>
  </property>
  <property fmtid="{D5CDD505-2E9C-101B-9397-08002B2CF9AE}" pid="3" name="_dlc_DocIdItemGuid">
    <vt:lpwstr>97c279c8-b818-4c71-bc80-8d1cfc28e93a</vt:lpwstr>
  </property>
</Properties>
</file>